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OVO PLANO DE MIDIA MAR | JUN" sheetId="1" r:id="rId4"/>
    <sheet state="hidden" name="NOVO PLANO DE MIDIA JUL | AGO" sheetId="2" r:id="rId5"/>
    <sheet state="hidden" name="PLAN x REAL" sheetId="3" r:id="rId6"/>
    <sheet state="hidden" name="BRA" sheetId="4" r:id="rId7"/>
    <sheet state="hidden" name="KPIs" sheetId="5" r:id="rId8"/>
    <sheet state="hidden" name="INVESTMENTS" sheetId="6" r:id="rId9"/>
    <sheet state="hidden" name="TAXONOMY" sheetId="7" r:id="rId10"/>
    <sheet state="visible" name="MEDIA PLAN" sheetId="8" r:id="rId11"/>
    <sheet state="hidden" name=" MEDIAPLAN TAXONOMY DÓLARES" sheetId="9" r:id="rId12"/>
    <sheet state="hidden" name="VERIZON" sheetId="10" r:id="rId13"/>
  </sheets>
  <definedNames>
    <definedName hidden="1" localSheetId="7" name="_xlnm._FilterDatabase">'MEDIA PLAN'!$A$11:$AL$22</definedName>
    <definedName hidden="1" localSheetId="8" name="_xlnm._FilterDatabase">' MEDIAPLAN TAXONOMY DÓLARES'!$A$2:$AL$16</definedName>
  </definedNames>
  <calcPr/>
  <extLst>
    <ext uri="GoogleSheetsCustomDataVersion1">
      <go:sheetsCustomData xmlns:go="http://customooxmlschemas.google.com/" r:id="rId14" roundtripDataSignature="AMtx7mi556vTmQSXh8BDrhpHLtgy3aGe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======
ID#AAAAHSkiafk
Maria Fernanda Pérez    (2020-05-09 00:14:48)
+adri@kontrabando.com.mx la fecha de esta campaña no coincide con la que está en archivos manuales.</t>
      </text>
    </comment>
    <comment authorId="0" ref="I10">
      <text>
        <t xml:space="preserve">======
ID#AAAAHSkiagA
Maria Fernanda Pérez    (2020-05-09 00:14:48)
+adri@kontrabando.com.mx la fecha de esta campaña no coincide con la que está en archivos manuales.</t>
      </text>
    </comment>
    <comment authorId="0" ref="I11">
      <text>
        <t xml:space="preserve">======
ID#AAAAHSkiafY
Maria Fernanda Pérez    (2020-05-09 00:14:48)
+adri@kontrabando.com.mx la fecha de esta campaña no coincide con la que está en archivos manuales.</t>
      </text>
    </comment>
    <comment authorId="0" ref="I8">
      <text>
        <t xml:space="preserve">======
ID#AAAAHSkiafw
Maria Fernanda Pérez    (2020-05-09 00:14:48)
+adri@kontrabando.com.mx la fecha de esta campaña no coincide con la que está en archivos manuales.</t>
      </text>
    </comment>
    <comment authorId="0" ref="I5">
      <text>
        <t xml:space="preserve">======
ID#AAAAHSkiaf0
Maria Fernanda Pérez    (2020-05-08 23:41:39)
+adri@kontrabando.com.mx , me ayudarías a localizar esta campaña en la plataforma de Google Ads y decirte de cuándo a cuándo corrió en ella? también cuáles fueron sus resultados en impresiones y video views, no consigo encontrarla en la base de google ads en adverity.
_Asignada a ti_</t>
      </text>
    </comment>
    <comment authorId="0" ref="I3">
      <text>
        <t xml:space="preserve">======
ID#AAAAHSkiafs
Maria Fernanda Pérez    (2020-05-08 23:18:28)
+adri@kontrabando.com.mx En la plataforma aparece como Awareness en lugar de Consideracion</t>
      </text>
    </comment>
    <comment authorId="0" ref="I2">
      <text>
        <t xml:space="preserve">======
ID#AAAAHSkiaf4
Maria Fernanda Pérez    (2020-05-08 23:17:11)
+adri@kontrabando.com.mx le quito el &amp;Instagram porque en la plataforma no aparece</t>
      </text>
    </comment>
    <comment authorId="0" ref="K3">
      <text>
        <t xml:space="preserve">======
ID#AAAAHSkiaf8
Maria Fernanda Pérez    (2020-05-08 23:13:23)
+adri@kontrabando.com.mx Consideración? En la plataforma únicamente aparece una campaña con etiquetada como Awareness.</t>
      </text>
    </comment>
    <comment authorId="0" ref="I4">
      <text>
        <t xml:space="preserve">======
ID#AAAAHSkiafE
Maria Fernanda Pérez    (2020-05-08 22:49:56)
+adri@kontrabando.com.mx esta campaña es muy misteriosa jajaja AondeConvem es... lo que creo que significa?</t>
      </text>
    </comment>
    <comment authorId="0" ref="I7">
      <text>
        <t xml:space="preserve">======
ID#AAAAHSkiafM
Maria Fernanda Pérez    (2020-05-08 22:27:29)
Guys; I modified these Verizon campaigns. First: their adverity identifier wasn't unique. Second: they're different from the manual campaigns file.
------
ID#AAAAHSkiafQ
Maria Fernanda Pérez    (2020-05-08 22:27:51)
_Marcar como resuelto_
------
ID#AAAAHSkiafU
Maria Fernanda Pérez    (2020-05-08 22:27:58)
_Reabierto_</t>
      </text>
    </comment>
  </commentList>
  <extLst>
    <ext uri="GoogleSheetsCustomDataVersion1">
      <go:sheetsCustomData xmlns:go="http://customooxmlschemas.google.com/" r:id="rId1" roundtripDataSignature="AMtx7mgjIp3Ekxx9lD0bjBKbFcKqqesol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ID#AAAAHSkiafc
    (2020-11-18 22:57:19)
Adri, este de always on debería estar aquí?
	-Rafaela Bravim</t>
      </text>
    </comment>
    <comment authorId="0" ref="I17">
      <text>
        <t xml:space="preserve">======
ID#AAAAHSkiafI
    (2020-11-18 22:57:19)
@adri@ktbo.mx @alexandre@kontrabando.com.mx 
Esta campaña aparece como: "KTBO_2020_BRA_Kelloggs_Pringles_Seasonal_QueSaco_Twitch-CPV_EveningLeisureTime" en el Other Data file. Podemos corregir este formato para que el tipo de compra esté en el lugar correcto, como lo indica el Other Data file (Twitch-CPV)? Muchas gracias :)
_Asignada a Adriana Gómez_
	-Maria Fernanda Pérez
listo :)
	-Adriana Gómez</t>
      </text>
    </comment>
  </commentList>
  <extLst>
    <ext uri="GoogleSheetsCustomDataVersion1">
      <go:sheetsCustomData xmlns:go="http://customooxmlschemas.google.com/" r:id="rId1" roundtripDataSignature="AMtx7mjHf+A3ZKOJKm+md0Ej9OOPjN9T8g=="/>
    </ext>
  </extLst>
</comments>
</file>

<file path=xl/sharedStrings.xml><?xml version="1.0" encoding="utf-8"?>
<sst xmlns="http://schemas.openxmlformats.org/spreadsheetml/2006/main" count="1900" uniqueCount="276">
  <si>
    <t xml:space="preserve">Campaign </t>
  </si>
  <si>
    <t>QUE SACO</t>
  </si>
  <si>
    <t>Region</t>
  </si>
  <si>
    <t>BRAZIL</t>
  </si>
  <si>
    <t>Investment</t>
  </si>
  <si>
    <t>MAR</t>
  </si>
  <si>
    <t>APR</t>
  </si>
  <si>
    <t>MAY</t>
  </si>
  <si>
    <t>JUN</t>
  </si>
  <si>
    <t>Target</t>
  </si>
  <si>
    <t>% of Investment per target</t>
  </si>
  <si>
    <t>Objective</t>
  </si>
  <si>
    <t>Investment per Platform</t>
  </si>
  <si>
    <t>Platform</t>
  </si>
  <si>
    <t>Format</t>
  </si>
  <si>
    <t>CPV</t>
  </si>
  <si>
    <t>CPC</t>
  </si>
  <si>
    <t>CPM</t>
  </si>
  <si>
    <t>Views</t>
  </si>
  <si>
    <t>Clicks</t>
  </si>
  <si>
    <t>Impressions</t>
  </si>
  <si>
    <t>S1</t>
  </si>
  <si>
    <t>S2</t>
  </si>
  <si>
    <t>S3</t>
  </si>
  <si>
    <t>S4</t>
  </si>
  <si>
    <t>GENERAL AUDIENCE</t>
  </si>
  <si>
    <t>Awareness</t>
  </si>
  <si>
    <t>Facebook</t>
  </si>
  <si>
    <t xml:space="preserve">Video Ad + Gifs </t>
  </si>
  <si>
    <t>-</t>
  </si>
  <si>
    <t>IMPRESSIONS</t>
  </si>
  <si>
    <t>Colab Ads</t>
  </si>
  <si>
    <t>Twitter</t>
  </si>
  <si>
    <t>Gifs + Tweet</t>
  </si>
  <si>
    <t xml:space="preserve"> </t>
  </si>
  <si>
    <t xml:space="preserve">Youtube </t>
  </si>
  <si>
    <t>Video Ad + Bumper</t>
  </si>
  <si>
    <t>VIEWS</t>
  </si>
  <si>
    <t>Verizon</t>
  </si>
  <si>
    <t>Video 30"</t>
  </si>
  <si>
    <t>Banner</t>
  </si>
  <si>
    <t>Expansive Banner</t>
  </si>
  <si>
    <t>Creators</t>
  </si>
  <si>
    <t>Influencers</t>
  </si>
  <si>
    <t>Brand Awareness</t>
  </si>
  <si>
    <t>GAMERS</t>
  </si>
  <si>
    <t>Gifs + Carrousel</t>
  </si>
  <si>
    <t>Consideration</t>
  </si>
  <si>
    <t>Instagram</t>
  </si>
  <si>
    <t>Stories + Post</t>
  </si>
  <si>
    <t>Video Ad</t>
  </si>
  <si>
    <t>Twitch</t>
  </si>
  <si>
    <t>Video 30"+ 15"</t>
  </si>
  <si>
    <t>Trial</t>
  </si>
  <si>
    <t>Aondeconvem</t>
  </si>
  <si>
    <t>Banner + Push Notification</t>
  </si>
  <si>
    <t>Rappi</t>
  </si>
  <si>
    <t>Banners</t>
  </si>
  <si>
    <t>CLICKS</t>
  </si>
  <si>
    <t>Video 15"</t>
  </si>
  <si>
    <t>XBOX Video</t>
  </si>
  <si>
    <t>Billboard - Game</t>
  </si>
  <si>
    <t>Tiles - Game</t>
  </si>
  <si>
    <t>Tiles - Share</t>
  </si>
  <si>
    <t>Native Stream</t>
  </si>
  <si>
    <t>Get Out of Your Can</t>
  </si>
  <si>
    <t>Pipocando Games</t>
  </si>
  <si>
    <t>Pringles Play</t>
  </si>
  <si>
    <t>Total</t>
  </si>
  <si>
    <t>MAR JUN</t>
  </si>
  <si>
    <t xml:space="preserve">Produção </t>
  </si>
  <si>
    <t>JUL AGO</t>
  </si>
  <si>
    <t>TOTAL</t>
  </si>
  <si>
    <t>Total Universe</t>
  </si>
  <si>
    <t>Reach</t>
  </si>
  <si>
    <t>COV</t>
  </si>
  <si>
    <t>Freq</t>
  </si>
  <si>
    <t>3+</t>
  </si>
  <si>
    <t>JUL</t>
  </si>
  <si>
    <t>AUG</t>
  </si>
  <si>
    <t>Page post</t>
  </si>
  <si>
    <t>Gaming</t>
  </si>
  <si>
    <t>E- commerce</t>
  </si>
  <si>
    <t>App Partners</t>
  </si>
  <si>
    <t>FB</t>
  </si>
  <si>
    <t>TW</t>
  </si>
  <si>
    <t>YT</t>
  </si>
  <si>
    <t>PLANED</t>
  </si>
  <si>
    <t>REALIZED</t>
  </si>
  <si>
    <t>COMMENTS</t>
  </si>
  <si>
    <t>%</t>
  </si>
  <si>
    <t>R$</t>
  </si>
  <si>
    <t>PLANNED</t>
  </si>
  <si>
    <t>N/A</t>
  </si>
  <si>
    <t>We are reaching a CPM way bellow what we belived would be, so we were able to reach more results with a CPM of 11,43 instead of 16,00</t>
  </si>
  <si>
    <t xml:space="preserve">
Verizon number is much higher than planned as the budget increased because it was transferred
 money from the banners a. video</t>
  </si>
  <si>
    <t>we move inversión to video because the materials wasn´t approved at the planned time</t>
  </si>
  <si>
    <t>Verizon Video</t>
  </si>
  <si>
    <t xml:space="preserve">Since we didn't had the banners approved we had the investment realocated to the video format, that's why we have such a high percentage after 1 month of campaign </t>
  </si>
  <si>
    <t>Pipocando</t>
  </si>
  <si>
    <t>Since we are talking about a content that is constantly active for the users and fans of the channel we already expected a higher delivery compared to the planned KPI</t>
  </si>
  <si>
    <t>Facebook GA</t>
  </si>
  <si>
    <t>For the first month of the campaign we had a higher CPM then expected in 3,80 reais, right now for the second month of the campaign we are with a CPM of 1,67</t>
  </si>
  <si>
    <t>Landing Page + Banners</t>
  </si>
  <si>
    <t>PROVISIONADO</t>
  </si>
  <si>
    <t>DIFERENÇA</t>
  </si>
  <si>
    <t>PRODUÇÃO</t>
  </si>
  <si>
    <t>Q2</t>
  </si>
  <si>
    <t>PLANEJADO</t>
  </si>
  <si>
    <t>Q3</t>
  </si>
  <si>
    <t>Cliques</t>
  </si>
  <si>
    <t>Alcance</t>
  </si>
  <si>
    <t>Planejado</t>
  </si>
  <si>
    <t>Realizado</t>
  </si>
  <si>
    <t>Facebook (impressões)</t>
  </si>
  <si>
    <t>Twitter (impressões)</t>
  </si>
  <si>
    <t>Youtube (views)</t>
  </si>
  <si>
    <t>Pipocando (views)</t>
  </si>
  <si>
    <t>OLD</t>
  </si>
  <si>
    <t>NEW</t>
  </si>
  <si>
    <t>MEDIA PARTNER</t>
  </si>
  <si>
    <t>INVESTMENT</t>
  </si>
  <si>
    <t>FACEBOOK</t>
  </si>
  <si>
    <t>FACEBOOK ECOMMERCE</t>
  </si>
  <si>
    <t>INSTAGRAM</t>
  </si>
  <si>
    <t>FACEBOOK PAGE POST</t>
  </si>
  <si>
    <t>TWITTER</t>
  </si>
  <si>
    <t>YOUTUBE</t>
  </si>
  <si>
    <t>VERIZON</t>
  </si>
  <si>
    <t>TWITCH</t>
  </si>
  <si>
    <t>AONDECONVEM</t>
  </si>
  <si>
    <t>PIPOCANDO</t>
  </si>
  <si>
    <t>PIPOCANDO GAMES</t>
  </si>
  <si>
    <t>GET OUT OF YOUR CAN</t>
  </si>
  <si>
    <t>br media</t>
  </si>
  <si>
    <t>PRINGLES PLAY</t>
  </si>
  <si>
    <t>e-brainz</t>
  </si>
  <si>
    <t>RAPPI</t>
  </si>
  <si>
    <t>KTBO</t>
  </si>
  <si>
    <t>e-Brainz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</si>
  <si>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</si>
  <si>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</si>
  <si>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</si>
  <si>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</si>
  <si>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</si>
  <si>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</si>
  <si>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</si>
  <si>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</si>
  <si>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</si>
  <si>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</si>
  <si>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</si>
  <si>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</si>
  <si>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</si>
  <si>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</si>
  <si>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</si>
  <si>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</si>
  <si>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</si>
  <si>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</si>
  <si>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</si>
  <si>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</si>
  <si>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</si>
  <si>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</si>
  <si>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</si>
  <si>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</si>
  <si>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</si>
  <si>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</si>
  <si>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</si>
  <si>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</si>
  <si>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</si>
  <si>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</si>
  <si>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</si>
  <si>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</si>
  <si>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</si>
  <si>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</si>
  <si>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</si>
  <si>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</si>
  <si>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</si>
  <si>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 BR</t>
  </si>
  <si>
    <t>Kelloggs</t>
  </si>
  <si>
    <t>Pringles</t>
  </si>
  <si>
    <t>MERCOSUR</t>
  </si>
  <si>
    <t>BR</t>
  </si>
  <si>
    <t>Sao Paulo</t>
  </si>
  <si>
    <t>Facebook | Instagram</t>
  </si>
  <si>
    <t>KTBO_2020_BRA_Kelloggs_Pringles_Seasonal_QueSaco_Facebook_Facebook_Awareness_CPM_EveningLeisureTime</t>
  </si>
  <si>
    <t>Season</t>
  </si>
  <si>
    <t>Mobile | Desk</t>
  </si>
  <si>
    <t>Portuguese</t>
  </si>
  <si>
    <t>No</t>
  </si>
  <si>
    <t>Reales</t>
  </si>
  <si>
    <t>PP | Video</t>
  </si>
  <si>
    <t>KTBO_2020_BRA_Kelloggs_Pringles_Seasonal_QueSaco_Facebook_Instagram_Awareness_CPM_EveningLeisureTime</t>
  </si>
  <si>
    <t>2.30</t>
  </si>
  <si>
    <t>PP</t>
  </si>
  <si>
    <t>Traditional Display Media</t>
  </si>
  <si>
    <t>AondeConvem</t>
  </si>
  <si>
    <t>KTBO_2020_BRA_Kelloggs_Pringles_Seasonality_QueSaco_AondeConvem_EveningLeisureTime</t>
  </si>
  <si>
    <t xml:space="preserve"> 133,485.67</t>
  </si>
  <si>
    <t>Banner | Notification</t>
  </si>
  <si>
    <t>Google</t>
  </si>
  <si>
    <t>Youtube</t>
  </si>
  <si>
    <t>KTBO_2020_BRA_Kelloggs_Pringles_Seasonal_QueSaco_Google_Youtube_AffinityandTopics_CPV_EveningLeisureTime</t>
  </si>
  <si>
    <t>Video</t>
  </si>
  <si>
    <t>KTBO_2020_BRA_Kelloggs_Pringles_Seasonal_QueSaco_Twitter_Twitter_Awareness_CPM_EveningLeisureTime</t>
  </si>
  <si>
    <t>GF | Tweet</t>
  </si>
  <si>
    <t>Programmatic</t>
  </si>
  <si>
    <t>KTBO_2020_BRA_Kelloggs_Pringles_Seasonal_QueSaco_Verizon-CPM_EveningLeisureTime_CPM</t>
  </si>
  <si>
    <t>KTBO_2020_BRA_Kelloggs_Pringles_Seasonal_QueSaco_Verizon-CPC_EveningLeisureTime_CPC</t>
  </si>
  <si>
    <t>Click</t>
  </si>
  <si>
    <t>Tiles</t>
  </si>
  <si>
    <t>KTBO_2020_BRA_Kelloggs_Pringles_Seasonal_QueSaco_Verizon-CPV_EveningLeisureTime_CPV</t>
  </si>
  <si>
    <t>KTBO_2020_BRA_Kelloggs_Pringles_Seasonal_QueSaco_Twitch_EveningLeisureTime_CPV</t>
  </si>
  <si>
    <t>KTBO_2020_BRA_Kelloggs_Pringles_Seasonal_QueSaco_AppPartners_EveningLeisureTime_CPC</t>
  </si>
  <si>
    <t>Push notifications</t>
  </si>
  <si>
    <t>KTBO_2020_BRA_Kelloggs_Pringles_Seasonal_Google_Youtube_QueSaco_AffinityandTopics_CPV_EveningLeisureTime</t>
  </si>
  <si>
    <t>Other</t>
  </si>
  <si>
    <t>KTBO_2020_BRA_KELLOGGS_PRINGLES_SEASONAL_QUESACO_RAPPI_CPC_EVENINGLEISURETIME</t>
  </si>
  <si>
    <t>KTBO_2020_BRA_Kelloggs_Pringles_Seasonal_QueSaco_Twitter_Twitter_Awareness_CPM_EveningWe</t>
  </si>
  <si>
    <t>KTBO_2020_BRA_Kelloggs_Pringles_Seasonal_QueSaco_Twitch-CPV_EveningLeisureTime</t>
  </si>
  <si>
    <t>Engagement</t>
  </si>
  <si>
    <t>KTBO_2020_BRA_Kelloggs_Pringles_Seasonal_QueSaco_XBOX-CPM_EveningLeisureTime_CPM</t>
  </si>
  <si>
    <t>KTBO_2020_BRA_Kelloggs_Pringles_Seasonal_QueSaco_Pipocando_CPV_EveningLeisureTime</t>
  </si>
  <si>
    <t>XBOX</t>
  </si>
  <si>
    <t>IMS</t>
  </si>
  <si>
    <t>KTBO_2020_BRA_Kelloggs_Pringles_Seasonal_QueSaco_Rappi_CPC_EveningLeisureTime</t>
  </si>
  <si>
    <t>KTBO_2020_BRA_Kelloggs_Pringles_AlwaysOn_QueSaco_Facebook_Instagram_Awareness_CPM_EveningLeisureTime_Millennials_JUNE_Collabads</t>
  </si>
  <si>
    <t>31/06/2020</t>
  </si>
  <si>
    <t>KTBO_2020_BRA_Kelloggs_Pringles_Seasonal_QueSaco_AppPartners_CPC_EveningLeisureTime</t>
  </si>
  <si>
    <t>KTBO_2020_BRA_Kelloggs_Pringles_Seasonal_QueSaco_AondeConvem-CPC_EveningLeisureTime</t>
  </si>
  <si>
    <t>Account Director:</t>
  </si>
  <si>
    <t>Vitor Manzi</t>
  </si>
  <si>
    <t>Date:</t>
  </si>
  <si>
    <t>Email:</t>
  </si>
  <si>
    <t>vitor.manzi@verizonmedia.com</t>
  </si>
  <si>
    <t>Client:</t>
  </si>
  <si>
    <t>Kellogg's</t>
  </si>
  <si>
    <t>Cel.:</t>
  </si>
  <si>
    <t>(11) 95114-3770</t>
  </si>
  <si>
    <t>Campaign:</t>
  </si>
  <si>
    <t>Campanha</t>
  </si>
  <si>
    <t>Mercados</t>
  </si>
  <si>
    <t>Período</t>
  </si>
  <si>
    <t>Canal</t>
  </si>
  <si>
    <t>Nome Audiência</t>
  </si>
  <si>
    <t>Potencial Audiência</t>
  </si>
  <si>
    <t>%Reach</t>
  </si>
  <si>
    <t>Formato</t>
  </si>
  <si>
    <t>Impressões estimadas</t>
  </si>
  <si>
    <t>CTR Estimado</t>
  </si>
  <si>
    <t>Clicks Estimados</t>
  </si>
  <si>
    <t>Freq.</t>
  </si>
  <si>
    <t>Complete Rate</t>
  </si>
  <si>
    <t>Views Completos</t>
  </si>
  <si>
    <t>Tipo do Compra</t>
  </si>
  <si>
    <t>Valor Tabela (CPV, CPM ou CPC)</t>
  </si>
  <si>
    <t>ABR</t>
  </si>
  <si>
    <t>MAI</t>
  </si>
  <si>
    <t>AGO</t>
  </si>
  <si>
    <t>Investimento Líquido</t>
  </si>
  <si>
    <r>
      <t xml:space="preserve">Kellogg's </t>
    </r>
    <r>
      <rPr>
        <rFont val="Arial"/>
        <sz val="12.0"/>
      </rPr>
      <t xml:space="preserve">
Pringles</t>
    </r>
  </si>
  <si>
    <t>Nacional</t>
  </si>
  <si>
    <t>Março a Agosto</t>
  </si>
  <si>
    <t>Verizon DSP</t>
  </si>
  <si>
    <r>
      <rPr>
        <rFont val="Arial"/>
        <b/>
        <sz val="12.0"/>
      </rPr>
      <t>AS 18-34</t>
    </r>
    <r>
      <rPr>
        <rFont val="Arial"/>
        <sz val="12.0"/>
      </rPr>
      <t xml:space="preserve">
</t>
    </r>
    <r>
      <rPr>
        <rFont val="Arial"/>
        <color theme="4"/>
        <sz val="12.0"/>
      </rPr>
      <t>Snacks
Games
Geeks
Filmes e Séries
Geração Z
Geração Y
Music Lovers 
Nightclubbers 
Parties 
Esportes Radicais 
Sports</t>
    </r>
  </si>
  <si>
    <t>Vídeo 30"</t>
  </si>
  <si>
    <t>CPCV</t>
  </si>
  <si>
    <t>Vídeo 15"</t>
  </si>
  <si>
    <r>
      <rPr>
        <rFont val="Arial"/>
        <b/>
        <sz val="12.0"/>
      </rPr>
      <t>Display IAB</t>
    </r>
    <r>
      <rPr>
        <rFont val="Arial"/>
        <sz val="12.0"/>
      </rPr>
      <t xml:space="preserve">
160x600 (Skyscraper)
300x600 (Half Page)
970x250 (Billboard)
300x250 (Medium Rectangle)
320x50 (Mobile Banner)</t>
    </r>
  </si>
  <si>
    <t>Formato expansível 
Desk - 300x250</t>
  </si>
  <si>
    <t>XBOX - Video</t>
  </si>
  <si>
    <t xml:space="preserve"> - </t>
  </si>
  <si>
    <t>Tiles - Formato Share</t>
  </si>
  <si>
    <t>Considerações Importantes:</t>
  </si>
  <si>
    <t>Tabela - 2019 H2</t>
  </si>
  <si>
    <t>VALORES LÍQUIDOS</t>
  </si>
  <si>
    <t xml:space="preserve">Confidencial: A informação que consta dessa proposta comercial é de privilégio legal e confidencial para uso das partes envolvidas:  Verizon Media, agência e/ou representante e cliente. Qualquer disseminação, distribuição ou cópia desautorizada é proibida.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</si>
</sst>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&quot;$&quot;#,##0"/>
    <numFmt numFmtId="165" formatCode="_-[$R$-416]\ * #,##0.00_-;\-[$R$-416]\ * #,##0.00_-;_-[$R$-416]\ * &quot;-&quot;??_-;_-@"/>
    <numFmt numFmtId="166" formatCode="&quot;$&quot;#,##0.00"/>
    <numFmt numFmtId="167" formatCode="_-&quot;R$&quot;\ * #,##0.00_-;\-&quot;R$&quot;\ * #,##0.00_-;_-&quot;R$&quot;\ * &quot;-&quot;??_-;_-@"/>
    <numFmt numFmtId="168" formatCode="_-[$R$]\ * #,##0.00_-;\-[$R$]\ * #,##0.00_-;_-[$R$]\ * &quot;-&quot;??_-;_-@"/>
    <numFmt numFmtId="169" formatCode="_-[$R$-416]\ * #,##0_-;\-[$R$-416]\ * #,##0_-;_-[$R$-416]\ * &quot;-&quot;??_-;_-@"/>
    <numFmt numFmtId="170" formatCode="_-* #,##0.00_-;\-* #,##0.00_-;_-* &quot;-&quot;??_-;_-@"/>
    <numFmt numFmtId="171" formatCode="#,##0_ ;\-#,##0\ "/>
    <numFmt numFmtId="172" formatCode="dd/mm/yyyy"/>
    <numFmt numFmtId="173" formatCode="D/M/YYYY"/>
    <numFmt numFmtId="174" formatCode="[$R$ -416]#,##0"/>
    <numFmt numFmtId="175" formatCode="[$R$ -416]#,##0.00"/>
    <numFmt numFmtId="176" formatCode="_(* #,##0.00_);_(* \(#,##0.00\);_(* &quot;-&quot;??_);_(@_)"/>
  </numFmts>
  <fonts count="43">
    <font>
      <sz val="10.0"/>
      <color rgb="FF000000"/>
      <name val="Arial"/>
    </font>
    <font>
      <sz val="10.0"/>
      <color theme="1"/>
      <name val="Proxima Nova"/>
    </font>
    <font>
      <sz val="10.0"/>
      <color rgb="FFFFFFFF"/>
      <name val="Calibri"/>
    </font>
    <font>
      <sz val="10.0"/>
      <color theme="1"/>
      <name val="Calibri"/>
    </font>
    <font>
      <b/>
      <sz val="10.0"/>
      <color rgb="FFE5E5E5"/>
      <name val="Arial"/>
    </font>
    <font/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b/>
      <sz val="10.0"/>
      <color theme="1"/>
      <name val="Proxima Nova"/>
    </font>
    <font>
      <b/>
      <sz val="8.0"/>
      <color theme="1"/>
      <name val="Proxima Nova"/>
    </font>
    <font>
      <b/>
      <sz val="10.0"/>
      <color rgb="FF000000"/>
      <name val="Arial"/>
    </font>
    <font>
      <b/>
      <sz val="10.0"/>
      <color theme="0"/>
      <name val="Proxima Nova"/>
    </font>
    <font>
      <sz val="10.0"/>
      <color theme="0"/>
      <name val="Proxima Nova"/>
    </font>
    <font>
      <b/>
      <sz val="10.0"/>
      <color rgb="FF38761D"/>
      <name val="Calibri"/>
    </font>
    <font>
      <sz val="10.0"/>
      <color rgb="FF93C47D"/>
      <name val="Calibri"/>
    </font>
    <font>
      <b/>
      <sz val="10.0"/>
      <color rgb="FF000000"/>
      <name val="Calibri"/>
    </font>
    <font>
      <sz val="10.0"/>
      <color rgb="FF000000"/>
      <name val="Proxima Nova"/>
    </font>
    <font>
      <b/>
      <sz val="10.0"/>
      <color rgb="FFFF0000"/>
      <name val="Calibri"/>
    </font>
    <font>
      <sz val="10.0"/>
      <color rgb="FF6AA84F"/>
      <name val="Calibri"/>
    </font>
    <font>
      <sz val="10.0"/>
      <color rgb="FF38761D"/>
      <name val="Calibri"/>
    </font>
    <font>
      <sz val="10.0"/>
      <color rgb="FF434343"/>
      <name val="Calibri"/>
    </font>
    <font>
      <b/>
      <sz val="10.0"/>
      <color rgb="FFCC0000"/>
      <name val="Calibri"/>
    </font>
    <font>
      <sz val="10.0"/>
      <color rgb="FFCC0000"/>
      <name val="Calibri"/>
    </font>
    <font>
      <sz val="6.0"/>
      <color rgb="FF000000"/>
      <name val="Calibri"/>
    </font>
    <font>
      <b/>
      <sz val="10.0"/>
      <color theme="0"/>
      <name val="Arial"/>
    </font>
    <font>
      <b/>
      <sz val="11.0"/>
      <color rgb="FFFFFFFF"/>
      <name val="Calibri"/>
    </font>
    <font>
      <sz val="11.0"/>
      <color rgb="FF000000"/>
      <name val="Roboto"/>
    </font>
    <font>
      <b/>
      <sz val="11.0"/>
      <color rgb="FF000000"/>
      <name val="Roboto"/>
    </font>
    <font>
      <b/>
      <sz val="11.0"/>
      <color rgb="FFFF0000"/>
      <name val="Roboto"/>
    </font>
    <font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rgb="FF000000"/>
      <name val="Arial"/>
    </font>
    <font>
      <sz val="12.0"/>
      <color rgb="FF000000"/>
      <name val="Arial"/>
    </font>
    <font>
      <u/>
      <sz val="10.0"/>
      <color theme="10"/>
      <name val="Arial"/>
    </font>
    <font>
      <b/>
      <sz val="12.0"/>
      <color theme="1"/>
      <name val="Arial"/>
    </font>
    <font>
      <sz val="12.0"/>
      <color theme="4"/>
      <name val="Arial"/>
    </font>
    <font>
      <i/>
      <sz val="11.0"/>
      <color theme="1"/>
      <name val="Arial"/>
    </font>
    <font>
      <sz val="9.0"/>
      <color theme="1"/>
      <name val="Arial"/>
    </font>
    <font>
      <sz val="10.0"/>
      <color rgb="FF999999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B3CEFA"/>
        <bgColor rgb="FFB3CEFA"/>
      </patternFill>
    </fill>
    <fill>
      <patternFill patternType="solid">
        <fgColor rgb="FFA6E3B6"/>
        <bgColor rgb="FFA6E3B6"/>
      </patternFill>
    </fill>
    <fill>
      <patternFill patternType="solid">
        <fgColor rgb="FFF6B3AE"/>
        <bgColor rgb="FFF6B3AE"/>
      </patternFill>
    </fill>
    <fill>
      <patternFill patternType="solid">
        <fgColor rgb="FF93C47D"/>
        <bgColor rgb="FF93C47D"/>
      </patternFill>
    </fill>
    <fill>
      <patternFill patternType="solid">
        <fgColor rgb="FFFAD9D6"/>
        <bgColor rgb="FFFAD9D6"/>
      </patternFill>
    </fill>
    <fill>
      <patternFill patternType="solid">
        <fgColor rgb="FFB6D7A8"/>
        <bgColor rgb="FFB6D7A8"/>
      </patternFill>
    </fill>
    <fill>
      <patternFill patternType="solid">
        <fgColor rgb="FFD0F2D9"/>
        <bgColor rgb="FFD0F2D9"/>
      </patternFill>
    </fill>
    <fill>
      <patternFill patternType="solid">
        <fgColor rgb="FF7F7F7F"/>
        <bgColor rgb="FF7F7F7F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</fills>
  <borders count="2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top style="thin">
        <color theme="1"/>
      </top>
      <bottom style="thin">
        <color rgb="FF000000"/>
      </bottom>
    </border>
    <border>
      <top style="thin">
        <color theme="1"/>
      </top>
      <bottom style="thin">
        <color rgb="FF000000"/>
      </bottom>
    </border>
    <border>
      <left/>
      <top style="thin">
        <color theme="1"/>
      </top>
      <bottom style="thin">
        <color rgb="FF000000"/>
      </bottom>
    </border>
    <border>
      <right style="thin">
        <color theme="1"/>
      </right>
      <top style="thin">
        <color theme="1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theme="1"/>
      </lef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999999"/>
      </bottom>
    </border>
    <border>
      <left/>
      <top style="thin">
        <color rgb="FF000000"/>
      </top>
      <bottom style="thin">
        <color rgb="FF999999"/>
      </bottom>
    </border>
    <border>
      <left style="thin">
        <color rgb="FFD8D8D8"/>
      </left>
      <top style="thin">
        <color theme="1"/>
      </top>
      <bottom style="thin">
        <color rgb="FF999999"/>
      </bottom>
    </border>
    <border>
      <top style="thin">
        <color theme="1"/>
      </top>
      <bottom style="thin">
        <color rgb="FF999999"/>
      </bottom>
    </border>
    <border>
      <right style="thin">
        <color theme="1"/>
      </right>
      <top style="thin">
        <color theme="1"/>
      </top>
      <bottom style="thin">
        <color rgb="FF9999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theme="1"/>
      </left>
      <top style="thin">
        <color rgb="FF999999"/>
      </top>
      <bottom/>
    </border>
    <border>
      <top style="thin">
        <color rgb="FF999999"/>
      </top>
      <bottom/>
    </border>
    <border>
      <left style="thin">
        <color theme="1"/>
      </left>
      <top style="thin">
        <color rgb="FF999999"/>
      </top>
      <bottom style="thin">
        <color theme="1"/>
      </bottom>
    </border>
    <border>
      <top style="thin">
        <color rgb="FF999999"/>
      </top>
      <bottom style="thin">
        <color theme="1"/>
      </bottom>
    </border>
    <border>
      <right style="thin">
        <color theme="1"/>
      </right>
      <top style="thin">
        <color rgb="FF999999"/>
      </top>
      <bottom style="thin">
        <color theme="1"/>
      </bottom>
    </border>
    <border>
      <left style="thin">
        <color rgb="FFD8D8D8"/>
      </left>
      <bottom style="thin">
        <color rgb="FFA5A5A5"/>
      </bottom>
    </border>
    <border>
      <bottom style="thin">
        <color rgb="FFA5A5A5"/>
      </bottom>
    </border>
    <border>
      <right style="thin">
        <color theme="1"/>
      </right>
      <bottom style="thin">
        <color rgb="FFA5A5A5"/>
      </bottom>
    </border>
    <border>
      <left style="thin">
        <color theme="1"/>
      </left>
      <top style="thin">
        <color rgb="FF999999"/>
      </top>
      <bottom style="thin">
        <color rgb="FF000000"/>
      </bottom>
    </border>
    <border>
      <top style="thin">
        <color rgb="FF999999"/>
      </top>
      <bottom style="thin">
        <color rgb="FF000000"/>
      </bottom>
    </border>
    <border>
      <right style="thin">
        <color theme="1"/>
      </right>
      <top style="thin">
        <color rgb="FF999999"/>
      </top>
      <bottom style="thin">
        <color rgb="FF000000"/>
      </bottom>
    </border>
    <border>
      <left style="thin">
        <color theme="1"/>
      </left>
      <top style="thin">
        <color rgb="FF000000"/>
      </top>
      <bottom/>
    </border>
    <border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 style="thin">
        <color rgb="FFA5A5A5"/>
      </bottom>
    </border>
    <border>
      <right style="thin">
        <color theme="1"/>
      </right>
      <top style="thin">
        <color rgb="FF000000"/>
      </top>
      <bottom style="thin">
        <color rgb="FFA5A5A5"/>
      </bottom>
    </border>
    <border>
      <left style="thin">
        <color theme="1"/>
      </left>
      <top/>
      <bottom style="thin">
        <color rgb="FFA5A5A5"/>
      </bottom>
    </border>
    <border>
      <top/>
      <bottom style="thin">
        <color rgb="FFA5A5A5"/>
      </bottom>
    </border>
    <border>
      <left/>
      <top/>
      <bottom style="thin">
        <color rgb="FFA5A5A5"/>
      </bottom>
    </border>
    <border>
      <right style="thin">
        <color rgb="FF000000"/>
      </right>
      <top/>
      <bottom style="thin">
        <color rgb="FFA5A5A5"/>
      </bottom>
    </border>
    <border>
      <bottom style="thin">
        <color rgb="FF999999"/>
      </bottom>
    </border>
    <border>
      <right style="thin">
        <color theme="1"/>
      </right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000000"/>
      </bottom>
    </border>
    <border>
      <top style="thin">
        <color rgb="FF999999"/>
      </top>
    </border>
    <border>
      <right style="thin">
        <color rgb="FFFFFFFF"/>
      </right>
      <top style="thin">
        <color rgb="FF999999"/>
      </top>
    </border>
    <border>
      <right style="thin">
        <color rgb="FF000000"/>
      </right>
      <top style="thin">
        <color rgb="FF000000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FFFFFF"/>
      </right>
      <top style="thin">
        <color rgb="FF999999"/>
      </top>
      <bottom style="thin">
        <color rgb="FF999999"/>
      </bottom>
    </border>
    <border>
      <right style="thin">
        <color theme="1"/>
      </right>
      <top style="thin">
        <color rgb="FF999999"/>
      </top>
      <bottom style="thin">
        <color rgb="FF999999"/>
      </bottom>
    </border>
    <border>
      <lef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right style="thin">
        <color theme="1"/>
      </right>
      <top style="thin">
        <color rgb="FF999999"/>
      </top>
      <bottom style="thin">
        <color rgb="FF999999"/>
      </bottom>
    </border>
    <border>
      <right style="thin">
        <color theme="1"/>
      </right>
      <top style="thin">
        <color rgb="FF999999"/>
      </top>
    </border>
    <border>
      <left style="thin">
        <color theme="1"/>
      </left>
      <bottom style="thin">
        <color rgb="FF999999"/>
      </bottom>
    </border>
    <border>
      <left style="thin">
        <color rgb="FF000000"/>
      </left>
      <top/>
      <bottom style="thin">
        <color rgb="FF999999"/>
      </bottom>
    </border>
    <border>
      <top/>
      <bottom style="thin">
        <color rgb="FF999999"/>
      </bottom>
    </border>
    <border>
      <right style="thin">
        <color rgb="FFBFBFBF"/>
      </right>
      <top/>
      <bottom style="thin">
        <color rgb="FF999999"/>
      </bottom>
    </border>
    <border>
      <left/>
      <top/>
      <bottom style="thin">
        <color rgb="FF999999"/>
      </bottom>
    </border>
    <border>
      <left style="thin">
        <color rgb="FFBFBFBF"/>
      </left>
      <top style="thin">
        <color rgb="FF000000"/>
      </top>
      <bottom style="thin">
        <color rgb="FF999999"/>
      </bottom>
    </border>
    <border>
      <right style="thin">
        <color theme="1"/>
      </right>
      <top style="thin">
        <color rgb="FF000000"/>
      </top>
      <bottom style="thin">
        <color rgb="FF999999"/>
      </bottom>
    </border>
    <border>
      <left style="thin">
        <color theme="1"/>
      </left>
      <right style="thin">
        <color theme="0"/>
      </right>
      <top style="thin">
        <color rgb="FF999999"/>
      </top>
      <bottom style="thin">
        <color rgb="FF999999"/>
      </bottom>
    </border>
    <border>
      <left style="thin">
        <color theme="0"/>
      </left>
      <right style="thin">
        <color theme="0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999999"/>
      </top>
      <bottom style="thin">
        <color rgb="FF000000"/>
      </bottom>
    </border>
    <border>
      <left style="thin">
        <color theme="1"/>
      </left>
      <top style="thin">
        <color rgb="FF999999"/>
      </top>
      <bottom style="thin">
        <color rgb="FFA5A5A5"/>
      </bottom>
    </border>
    <border>
      <top style="thin">
        <color rgb="FF999999"/>
      </top>
      <bottom style="thin">
        <color rgb="FFA5A5A5"/>
      </bottom>
    </border>
    <border>
      <left style="thin">
        <color rgb="FF000000"/>
      </left>
      <top style="thin">
        <color rgb="FF000000"/>
      </top>
      <bottom style="thin">
        <color rgb="FFA5A5A5"/>
      </bottom>
    </border>
    <border>
      <right style="thin">
        <color rgb="FFBFBFBF"/>
      </right>
      <top style="thin">
        <color rgb="FF000000"/>
      </top>
      <bottom style="thin">
        <color rgb="FFA5A5A5"/>
      </bottom>
    </border>
    <border>
      <left style="thin">
        <color rgb="FFBFBFBF"/>
      </left>
      <top style="thin">
        <color rgb="FF000000"/>
      </top>
      <bottom style="thin">
        <color rgb="FFA5A5A5"/>
      </bottom>
    </border>
    <border>
      <left style="thin">
        <color theme="1"/>
      </left>
    </border>
    <border>
      <left style="thin">
        <color theme="1"/>
      </left>
      <top style="thin">
        <color rgb="FF000000"/>
      </top>
      <bottom style="thin">
        <color rgb="FFA5A5A5"/>
      </bottom>
    </border>
    <border>
      <left style="thin">
        <color theme="0"/>
      </left>
      <top style="thin">
        <color rgb="FF000000"/>
      </top>
      <bottom style="thin">
        <color rgb="FFA5A5A5"/>
      </bottom>
    </border>
    <border>
      <left style="thin">
        <color theme="1"/>
      </left>
      <top style="thin">
        <color rgb="FF999999"/>
      </top>
    </border>
    <border>
      <right style="thin">
        <color rgb="FFFFFFFF"/>
      </right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999999"/>
      </bottom>
    </border>
    <border>
      <left style="thin">
        <color theme="1"/>
      </left>
      <top style="thin">
        <color rgb="FF999999"/>
      </top>
      <bottom style="thin">
        <color rgb="FF999999"/>
      </bottom>
    </border>
    <border>
      <left style="thin">
        <color theme="0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theme="0"/>
      </left>
      <top style="thin">
        <color rgb="FF000000"/>
      </top>
      <bottom style="thin">
        <color rgb="FF999999"/>
      </bottom>
    </border>
    <border>
      <left style="thin">
        <color theme="0"/>
      </left>
      <top style="thin">
        <color rgb="FF999999"/>
      </top>
      <bottom style="thin">
        <color rgb="FF000000"/>
      </bottom>
    </border>
    <border>
      <left style="thin">
        <color rgb="FF000000"/>
      </left>
      <top style="thin">
        <color rgb="FF999999"/>
      </top>
      <bottom/>
    </border>
    <border>
      <right style="thin">
        <color rgb="FFFFFFFF"/>
      </right>
      <top style="thin">
        <color rgb="FF999999"/>
      </top>
      <bottom style="thin">
        <color rgb="FFA5A5A5"/>
      </bottom>
    </border>
    <border>
      <left style="thin">
        <color theme="1"/>
      </left>
      <right style="thin">
        <color theme="0"/>
      </right>
      <top style="thin">
        <color rgb="FFA5A5A5"/>
      </top>
      <bottom style="thin">
        <color rgb="FFA5A5A5"/>
      </bottom>
    </border>
    <border>
      <left style="thin">
        <color theme="0"/>
      </left>
      <right style="thin">
        <color theme="0"/>
      </right>
      <top style="thin">
        <color rgb="FFA5A5A5"/>
      </top>
      <bottom style="thin">
        <color rgb="FFA5A5A5"/>
      </bottom>
    </border>
    <border>
      <right style="thin">
        <color rgb="FFFFFFFF"/>
      </right>
      <bottom style="thin">
        <color rgb="FFA5A5A5"/>
      </bottom>
    </border>
    <border>
      <left style="thin">
        <color rgb="FFFFFFFF"/>
      </left>
      <top style="thin">
        <color rgb="FFA5A5A5"/>
      </top>
      <bottom style="thin">
        <color rgb="FF000000"/>
      </bottom>
    </border>
    <border>
      <top style="thin">
        <color rgb="FFA5A5A5"/>
      </top>
      <bottom style="thin">
        <color rgb="FF000000"/>
      </bottom>
    </border>
    <border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theme="1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top style="thin">
        <color rgb="FF000000"/>
      </top>
      <bottom style="thin">
        <color rgb="FFA5A5A5"/>
      </bottom>
    </border>
    <border>
      <right style="thin">
        <color rgb="FFFFFFFF"/>
      </right>
      <top style="thin">
        <color rgb="FFA5A5A5"/>
      </top>
      <bottom style="thin">
        <color rgb="FFA5A5A5"/>
      </bottom>
    </border>
    <border>
      <left style="thin">
        <color rgb="FFFFFFFF"/>
      </left>
      <bottom style="thin">
        <color rgb="FFA5A5A5"/>
      </bottom>
    </border>
    <border>
      <left style="thin">
        <color rgb="FFFFFFFF"/>
      </left>
      <top style="thin">
        <color rgb="FFA5A5A5"/>
      </top>
      <bottom style="thin">
        <color rgb="FFA5A5A5"/>
      </bottom>
    </border>
    <border>
      <right style="thin">
        <color theme="1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000000"/>
      </top>
    </border>
    <border>
      <left style="thin">
        <color theme="1"/>
      </left>
      <top style="thin">
        <color rgb="FFA5A5A5"/>
      </top>
    </border>
    <border>
      <top style="thin">
        <color rgb="FFA5A5A5"/>
      </top>
    </border>
    <border>
      <right style="thin">
        <color rgb="FFFFFFFF"/>
      </right>
      <top style="thin">
        <color rgb="FFA5A5A5"/>
      </top>
    </border>
    <border>
      <right style="thin">
        <color theme="1"/>
      </right>
      <top style="thin">
        <color rgb="FFA5A5A5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theme="1"/>
      </left>
      <right style="thin">
        <color theme="0"/>
      </right>
      <top style="thin">
        <color rgb="FFA5A5A5"/>
      </top>
      <bottom style="thin">
        <color theme="1"/>
      </bottom>
    </border>
    <border>
      <left style="thin">
        <color theme="0"/>
      </left>
      <right style="thin">
        <color theme="0"/>
      </right>
      <top style="thin">
        <color rgb="FFA5A5A5"/>
      </top>
      <bottom style="thin">
        <color theme="1"/>
      </bottom>
    </border>
    <border>
      <top style="thin">
        <color rgb="FFA5A5A5"/>
      </top>
      <bottom style="thin">
        <color theme="1"/>
      </bottom>
    </border>
    <border>
      <right style="thin">
        <color theme="1"/>
      </right>
      <top style="thin">
        <color rgb="FFA5A5A5"/>
      </top>
      <bottom style="thin">
        <color theme="1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FFFFFF"/>
      </right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A5A5A5"/>
      </bottom>
    </border>
    <border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theme="0"/>
      </righ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</border>
    <border>
      <right style="thin">
        <color rgb="FF000000"/>
      </right>
      <top style="thin">
        <color rgb="FF999999"/>
      </top>
      <bottom/>
    </border>
    <border>
      <right style="thin">
        <color rgb="FFBFBFBF"/>
      </right>
      <top style="thin">
        <color rgb="FF000000"/>
      </top>
      <bottom style="thin">
        <color rgb="FF999999"/>
      </bottom>
    </border>
    <border>
      <right style="thin">
        <color rgb="FFFFFFFF"/>
      </right>
      <top style="thin">
        <color rgb="FF000000"/>
      </top>
      <bottom style="thin">
        <color rgb="FF999999"/>
      </bottom>
    </border>
    <border>
      <left style="thin">
        <color rgb="FFFFFFFF"/>
      </left>
      <top style="thin">
        <color rgb="FF000000"/>
      </top>
      <bottom style="thin">
        <color rgb="FF999999"/>
      </bottom>
    </border>
    <border>
      <left style="thin">
        <color rgb="FF000000"/>
      </left>
      <top style="thin">
        <color rgb="FFA5A5A5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/>
      <right/>
      <top style="thin">
        <color rgb="FF000000"/>
      </top>
      <bottom style="thin">
        <color rgb="FF999999"/>
      </bottom>
    </border>
    <border>
      <left style="thin">
        <color rgb="FFD8D8D8"/>
      </left>
      <top style="thin">
        <color rgb="FF000000"/>
      </top>
      <bottom style="thin">
        <color rgb="FF999999"/>
      </bottom>
    </border>
    <border>
      <right style="thin">
        <color rgb="FF000000"/>
      </right>
    </border>
    <border>
      <left style="thin">
        <color rgb="FFD8D8D8"/>
      </left>
      <top style="thin">
        <color rgb="FF999999"/>
      </top>
      <bottom style="thin">
        <color rgb="FFA5A5A5"/>
      </bottom>
    </border>
    <border>
      <right style="thin">
        <color theme="0"/>
      </right>
      <top style="thin">
        <color rgb="FF999999"/>
      </top>
      <bottom style="thin">
        <color rgb="FFA5A5A5"/>
      </bottom>
    </border>
    <border>
      <left/>
      <top style="thin">
        <color rgb="FF999999"/>
      </top>
      <bottom/>
    </border>
    <border>
      <left/>
      <top style="thin">
        <color rgb="FF999999"/>
      </top>
      <bottom style="thin">
        <color rgb="FFA5A5A5"/>
      </bottom>
    </border>
    <border>
      <left/>
      <right/>
      <top style="thin">
        <color rgb="FF999999"/>
      </top>
      <bottom/>
    </border>
    <border>
      <left style="thin">
        <color theme="0"/>
      </left>
      <top style="thin">
        <color rgb="FFA5A5A5"/>
      </top>
      <bottom style="thin">
        <color rgb="FFA5A5A5"/>
      </bottom>
    </border>
    <border>
      <left/>
      <right/>
      <top style="thin">
        <color rgb="FF999999"/>
      </top>
      <bottom style="thin">
        <color rgb="FFA5A5A5"/>
      </bottom>
    </border>
    <border>
      <right style="thin">
        <color rgb="FF000000"/>
      </right>
      <bottom style="thin">
        <color rgb="FF999999"/>
      </bottom>
    </border>
    <border>
      <left/>
      <top style="thin">
        <color rgb="FFA5A5A5"/>
      </top>
      <bottom style="thin">
        <color rgb="FF999999"/>
      </bottom>
    </border>
    <border>
      <top style="thin">
        <color rgb="FFA5A5A5"/>
      </top>
      <bottom style="thin">
        <color rgb="FF999999"/>
      </bottom>
    </border>
    <border>
      <left/>
      <right style="thin">
        <color rgb="FFFFFFFF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999999"/>
      </top>
      <bottom style="thin">
        <color rgb="FF999999"/>
      </bottom>
    </border>
    <border>
      <right style="thin">
        <color rgb="FFBFBFBF"/>
      </right>
      <top style="thin">
        <color rgb="FF999999"/>
      </top>
      <bottom/>
    </border>
    <border>
      <left/>
      <right style="thin">
        <color rgb="FFBFBFBF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999999"/>
      </top>
      <bottom style="thin">
        <color rgb="FF999999"/>
      </bottom>
    </border>
    <border>
      <right style="thin">
        <color rgb="FFBFBFBF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999999"/>
      </top>
      <bottom/>
    </border>
    <border>
      <left style="thin">
        <color rgb="FF000000"/>
      </left>
      <top style="thin">
        <color rgb="FF999999"/>
      </top>
      <bottom style="thin">
        <color rgb="FFA5A5A5"/>
      </bottom>
    </border>
    <border>
      <left/>
      <right style="thin">
        <color rgb="FFBFBFBF"/>
      </right>
      <top style="thin">
        <color rgb="FF999999"/>
      </top>
      <bottom style="thin">
        <color rgb="FFA5A5A5"/>
      </bottom>
    </border>
    <border>
      <left style="thin">
        <color rgb="FFBFBFBF"/>
      </left>
      <top style="thin">
        <color rgb="FF999999"/>
      </top>
      <bottom style="thin">
        <color rgb="FFA5A5A5"/>
      </bottom>
    </border>
    <border>
      <right style="thin">
        <color rgb="FFBFBFBF"/>
      </right>
      <top style="thin">
        <color rgb="FF999999"/>
      </top>
      <bottom style="thin">
        <color rgb="FFA5A5A5"/>
      </bottom>
    </border>
    <border>
      <right style="thin">
        <color rgb="FF000000"/>
      </right>
      <top style="thin">
        <color rgb="FF999999"/>
      </top>
      <bottom style="thin">
        <color rgb="FFA5A5A5"/>
      </bottom>
    </border>
    <border>
      <left style="thin">
        <color rgb="FFBFBFBF"/>
      </left>
      <top style="thin">
        <color rgb="FFA5A5A5"/>
      </top>
      <bottom style="thin">
        <color rgb="FFA5A5A5"/>
      </bottom>
    </border>
    <border>
      <right style="thin">
        <color rgb="FFBFBFBF"/>
      </right>
      <top style="thin">
        <color rgb="FFA5A5A5"/>
      </top>
      <bottom style="thin">
        <color rgb="FFA5A5A5"/>
      </bottom>
    </border>
    <border>
      <left style="thin">
        <color rgb="FF000000"/>
      </left>
      <bottom style="thin">
        <color rgb="FF999999"/>
      </bottom>
    </border>
    <border>
      <left style="thin">
        <color rgb="FFBFBFBF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BFBFBF"/>
      </right>
      <top style="thin">
        <color rgb="FFA5A5A5"/>
      </top>
      <bottom/>
    </border>
    <border>
      <left style="thin">
        <color rgb="FF000000"/>
      </left>
      <top style="thin">
        <color rgb="FFA5A5A5"/>
      </top>
      <bottom style="thin">
        <color rgb="FF999999"/>
      </bottom>
    </border>
    <border>
      <right style="thin">
        <color rgb="FFFFFFFF"/>
      </right>
      <top style="thin">
        <color rgb="FFA5A5A5"/>
      </top>
      <bottom style="thin">
        <color rgb="FF999999"/>
      </bottom>
    </border>
    <border>
      <right style="thin">
        <color theme="0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999999"/>
      </top>
    </border>
    <border>
      <right style="thin">
        <color theme="0"/>
      </right>
      <top style="thin">
        <color rgb="FF999999"/>
      </top>
    </border>
    <border>
      <left style="thin">
        <color rgb="FF000000"/>
      </left>
      <bottom style="thin">
        <color rgb="FFA5A5A5"/>
      </bottom>
    </border>
    <border>
      <left style="thin">
        <color rgb="FFBFBFBF"/>
      </left>
      <top style="thin">
        <color rgb="FF999999"/>
      </top>
    </border>
    <border>
      <left/>
      <top style="thin">
        <color rgb="FFA5A5A5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  <border>
      <left/>
      <right style="thin">
        <color rgb="FFBFBFBF"/>
      </righ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FFFFFF"/>
      </right>
      <bottom style="thin">
        <color rgb="FFA5A5A5"/>
      </bottom>
    </border>
    <border>
      <left style="thin">
        <color rgb="FFBFBFBF"/>
      </left>
      <right style="thin">
        <color rgb="FFFFFFFF"/>
      </right>
      <top style="thin">
        <color rgb="FFA5A5A5"/>
      </top>
      <bottom style="thin">
        <color rgb="FFA5A5A5"/>
      </bottom>
    </border>
    <border>
      <left style="thin">
        <color rgb="FFFFFFFF"/>
      </left>
      <right style="thin">
        <color rgb="FFBFBFBF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A5A5A5"/>
      </top>
    </border>
    <border>
      <right style="thin">
        <color rgb="FFBFBFBF"/>
      </right>
      <top style="thin">
        <color rgb="FFA5A5A5"/>
      </top>
    </border>
    <border>
      <right style="thin">
        <color rgb="FFFFFFFF"/>
      </right>
      <top style="thin">
        <color rgb="FFA5A5A5"/>
      </top>
      <bottom style="thin">
        <color rgb="FF000000"/>
      </bottom>
    </border>
    <border>
      <right style="thin">
        <color rgb="FFBFBFBF"/>
      </right>
      <top style="thin">
        <color rgb="FFA5A5A5"/>
      </top>
      <bottom style="thin">
        <color rgb="FF000000"/>
      </bottom>
    </border>
    <border>
      <left style="thin">
        <color theme="0"/>
      </left>
      <right/>
      <top style="thin">
        <color rgb="FF000000"/>
      </top>
      <bottom/>
    </border>
    <border>
      <left style="thin">
        <color theme="1"/>
      </left>
      <top style="thin">
        <color theme="1"/>
      </top>
      <bottom/>
    </border>
    <border>
      <top style="thin">
        <color theme="1"/>
      </top>
      <bottom/>
    </border>
    <border>
      <left/>
      <top style="thin">
        <color theme="1"/>
      </top>
      <bottom/>
    </border>
    <border>
      <right style="thin">
        <color theme="1"/>
      </right>
      <top style="thin">
        <color theme="1"/>
      </top>
      <bottom/>
    </border>
    <border>
      <left style="thin">
        <color theme="1"/>
      </left>
      <right/>
      <top/>
      <bottom/>
    </border>
    <border>
      <left/>
      <right style="thin">
        <color theme="1"/>
      </right>
      <top/>
      <bottom/>
    </border>
    <border>
      <left style="thin">
        <color rgb="FFD8D8D8"/>
      </left>
      <top style="thin">
        <color rgb="FF999999"/>
      </top>
      <bottom style="thin">
        <color rgb="FF999999"/>
      </bottom>
    </border>
    <border>
      <right style="thin">
        <color theme="0"/>
      </right>
      <top style="thin">
        <color rgb="FFA5A5A5"/>
      </top>
      <bottom style="thin">
        <color rgb="FFA5A5A5"/>
      </bottom>
    </border>
    <border>
      <right style="thin">
        <color theme="0"/>
      </right>
      <bottom style="thin">
        <color rgb="FF999999"/>
      </bottom>
    </border>
    <border>
      <left style="thin">
        <color theme="1"/>
      </left>
      <top/>
      <bottom style="thin">
        <color rgb="FF999999"/>
      </bottom>
    </border>
    <border>
      <left style="thin">
        <color theme="0"/>
      </left>
      <top style="thin">
        <color rgb="FF999999"/>
      </top>
      <bottom style="thin">
        <color rgb="FFA5A5A5"/>
      </bottom>
    </border>
    <border>
      <right style="thin">
        <color theme="1"/>
      </right>
      <top style="thin">
        <color rgb="FF999999"/>
      </top>
      <bottom style="thin">
        <color rgb="FFA5A5A5"/>
      </bottom>
    </border>
    <border>
      <left style="thin">
        <color theme="1"/>
      </left>
      <top style="thin">
        <color rgb="FFA5A5A5"/>
      </top>
      <bottom style="thin">
        <color rgb="FF999999"/>
      </bottom>
    </border>
    <border>
      <right style="thin">
        <color theme="0"/>
      </right>
      <top style="thin">
        <color rgb="FFA5A5A5"/>
      </top>
      <bottom style="thin">
        <color rgb="FF999999"/>
      </bottom>
    </border>
    <border>
      <left style="thin">
        <color theme="0"/>
      </left>
      <bottom style="thin">
        <color rgb="FF999999"/>
      </bottom>
    </border>
    <border>
      <left style="thin">
        <color rgb="FFBFBFBF"/>
      </left>
      <top style="thin">
        <color rgb="FFA5A5A5"/>
      </top>
      <bottom style="thin">
        <color rgb="FF999999"/>
      </bottom>
    </border>
    <border>
      <right style="thin">
        <color rgb="FFBFBFBF"/>
      </right>
      <top style="thin">
        <color rgb="FFA5A5A5"/>
      </top>
      <bottom style="thin">
        <color rgb="FF999999"/>
      </bottom>
    </border>
    <border>
      <right style="thin">
        <color theme="1"/>
      </right>
      <top style="thin">
        <color rgb="FFA5A5A5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theme="0"/>
      </left>
      <top style="thin">
        <color rgb="FF999999"/>
      </top>
    </border>
    <border>
      <left style="thin">
        <color theme="0"/>
      </left>
      <top style="thin">
        <color rgb="FFA5A5A5"/>
      </top>
    </border>
    <border>
      <right style="thin">
        <color theme="0"/>
      </right>
      <top style="thin">
        <color rgb="FFA5A5A5"/>
      </top>
    </border>
    <border>
      <left style="thin">
        <color theme="1"/>
      </left>
      <top style="thin">
        <color rgb="FFA5A5A5"/>
      </top>
      <bottom style="thin">
        <color theme="1"/>
      </bottom>
    </border>
    <border>
      <left style="thin">
        <color theme="0"/>
      </left>
      <top style="thin">
        <color rgb="FFA5A5A5"/>
      </top>
      <bottom style="thin">
        <color theme="1"/>
      </bottom>
    </border>
    <border>
      <right style="thin">
        <color theme="0"/>
      </right>
      <top style="thin">
        <color rgb="FFA5A5A5"/>
      </top>
      <bottom style="thin">
        <color theme="1"/>
      </bottom>
    </border>
    <border>
      <right style="thin">
        <color rgb="FFBFBFBF"/>
      </right>
      <top style="thin">
        <color rgb="FFA5A5A5"/>
      </top>
      <bottom style="thin">
        <color theme="1"/>
      </bottom>
    </border>
    <border>
      <left style="thin">
        <color rgb="FFBFBFBF"/>
      </left>
      <top style="thin">
        <color rgb="FFA5A5A5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left/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top style="thin">
        <color theme="1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A5A5A5"/>
      </left>
      <right/>
      <top style="medium">
        <color rgb="FFA5A5A5"/>
      </top>
      <bottom/>
    </border>
    <border>
      <left/>
      <right style="medium">
        <color rgb="FFA5A5A5"/>
      </right>
      <top style="medium">
        <color rgb="FFA5A5A5"/>
      </top>
      <bottom/>
    </border>
    <border>
      <left style="medium">
        <color rgb="FFA5A5A5"/>
      </left>
    </border>
    <border>
      <right style="medium">
        <color rgb="FFA5A5A5"/>
      </right>
    </border>
    <border>
      <left style="medium">
        <color rgb="FFA5A5A5"/>
      </left>
      <bottom style="medium">
        <color rgb="FFA5A5A5"/>
      </bottom>
    </border>
    <border>
      <right style="medium">
        <color rgb="FFA5A5A5"/>
      </right>
      <bottom style="medium">
        <color rgb="FFA5A5A5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6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vertical="center"/>
    </xf>
    <xf borderId="2" fillId="3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4" numFmtId="0" xfId="0" applyAlignment="1" applyBorder="1" applyFont="1">
      <alignment horizontal="center" vertical="center"/>
    </xf>
    <xf borderId="5" fillId="0" fontId="5" numFmtId="0" xfId="0" applyBorder="1" applyFont="1"/>
    <xf borderId="6" fillId="4" fontId="2" numFmtId="0" xfId="0" applyAlignment="1" applyBorder="1" applyFill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5" fontId="3" numFmtId="0" xfId="0" applyAlignment="1" applyBorder="1" applyFill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0" fillId="5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shrinkToFit="0" vertical="center" wrapText="1"/>
    </xf>
    <xf borderId="11" fillId="0" fontId="3" numFmtId="9" xfId="0" applyAlignment="1" applyBorder="1" applyFont="1" applyNumberFormat="1">
      <alignment horizontal="center" vertical="center"/>
    </xf>
    <xf borderId="11" fillId="0" fontId="3" numFmtId="165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vertical="center"/>
    </xf>
    <xf borderId="11" fillId="0" fontId="3" numFmtId="165" xfId="0" applyAlignment="1" applyBorder="1" applyFont="1" applyNumberFormat="1">
      <alignment vertical="center"/>
    </xf>
    <xf borderId="1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2" fillId="0" fontId="3" numFmtId="3" xfId="0" applyAlignment="1" applyBorder="1" applyFont="1" applyNumberFormat="1">
      <alignment horizontal="center" vertical="center"/>
    </xf>
    <xf borderId="13" fillId="0" fontId="3" numFmtId="3" xfId="0" applyAlignment="1" applyBorder="1" applyFont="1" applyNumberFormat="1">
      <alignment horizontal="center" vertical="center"/>
    </xf>
    <xf borderId="14" fillId="6" fontId="3" numFmtId="165" xfId="0" applyAlignment="1" applyBorder="1" applyFill="1" applyFont="1" applyNumberFormat="1">
      <alignment horizontal="center" vertical="center"/>
    </xf>
    <xf borderId="15" fillId="0" fontId="5" numFmtId="0" xfId="0" applyBorder="1" applyFont="1"/>
    <xf borderId="16" fillId="6" fontId="3" numFmtId="165" xfId="0" applyAlignment="1" applyBorder="1" applyFont="1" applyNumberFormat="1">
      <alignment horizontal="center" vertical="center"/>
    </xf>
    <xf borderId="17" fillId="6" fontId="6" numFmtId="165" xfId="0" applyAlignment="1" applyBorder="1" applyFont="1" applyNumberFormat="1">
      <alignment horizontal="center" vertical="center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7" fontId="7" numFmtId="3" xfId="0" applyAlignment="1" applyBorder="1" applyFill="1" applyFont="1" applyNumberFormat="1">
      <alignment horizontal="center" vertical="center"/>
    </xf>
    <xf borderId="23" fillId="7" fontId="3" numFmtId="3" xfId="0" applyAlignment="1" applyBorder="1" applyFont="1" applyNumberFormat="1">
      <alignment horizontal="center" vertical="center"/>
    </xf>
    <xf borderId="24" fillId="0" fontId="5" numFmtId="0" xfId="0" applyBorder="1" applyFont="1"/>
    <xf borderId="25" fillId="8" fontId="6" numFmtId="165" xfId="0" applyAlignment="1" applyBorder="1" applyFill="1" applyFont="1" applyNumberFormat="1">
      <alignment horizontal="center" vertical="center"/>
    </xf>
    <xf borderId="26" fillId="0" fontId="5" numFmtId="0" xfId="0" applyBorder="1" applyFont="1"/>
    <xf borderId="27" fillId="0" fontId="5" numFmtId="0" xfId="0" applyBorder="1" applyFont="1"/>
    <xf borderId="11" fillId="0" fontId="3" numFmtId="0" xfId="0" applyAlignment="1" applyBorder="1" applyFont="1">
      <alignment horizontal="left" vertical="center"/>
    </xf>
    <xf borderId="11" fillId="0" fontId="3" numFmtId="165" xfId="0" applyAlignment="1" applyBorder="1" applyFont="1" applyNumberFormat="1">
      <alignment horizontal="left" vertical="center"/>
    </xf>
    <xf borderId="11" fillId="0" fontId="3" numFmtId="0" xfId="0" applyAlignment="1" applyBorder="1" applyFont="1">
      <alignment horizontal="center"/>
    </xf>
    <xf borderId="28" fillId="0" fontId="3" numFmtId="165" xfId="0" applyAlignment="1" applyBorder="1" applyFont="1" applyNumberFormat="1">
      <alignment horizontal="center" vertical="center"/>
    </xf>
    <xf borderId="29" fillId="0" fontId="5" numFmtId="0" xfId="0" applyBorder="1" applyFont="1"/>
    <xf borderId="30" fillId="0" fontId="5" numFmtId="0" xfId="0" applyBorder="1" applyFont="1"/>
    <xf borderId="22" fillId="9" fontId="7" numFmtId="3" xfId="0" applyAlignment="1" applyBorder="1" applyFill="1" applyFont="1" applyNumberFormat="1">
      <alignment horizontal="center" vertical="center"/>
    </xf>
    <xf borderId="31" fillId="9" fontId="3" numFmtId="3" xfId="0" applyAlignment="1" applyBorder="1" applyFont="1" applyNumberFormat="1">
      <alignment horizontal="center" vertical="center"/>
    </xf>
    <xf borderId="32" fillId="0" fontId="5" numFmtId="0" xfId="0" applyBorder="1" applyFont="1"/>
    <xf borderId="31" fillId="0" fontId="3" numFmtId="3" xfId="0" applyAlignment="1" applyBorder="1" applyFont="1" applyNumberFormat="1">
      <alignment horizontal="center" vertical="center"/>
    </xf>
    <xf borderId="33" fillId="0" fontId="5" numFmtId="0" xfId="0" applyBorder="1" applyFont="1"/>
    <xf borderId="1" fillId="0" fontId="3" numFmtId="165" xfId="0" applyAlignment="1" applyBorder="1" applyFont="1" applyNumberFormat="1">
      <alignment vertical="center"/>
    </xf>
    <xf borderId="1" fillId="0" fontId="7" numFmtId="3" xfId="0" applyAlignment="1" applyBorder="1" applyFont="1" applyNumberFormat="1">
      <alignment horizontal="center" vertical="center"/>
    </xf>
    <xf borderId="34" fillId="6" fontId="3" numFmtId="165" xfId="0" applyAlignment="1" applyBorder="1" applyFont="1" applyNumberFormat="1">
      <alignment horizontal="center" vertical="center"/>
    </xf>
    <xf borderId="35" fillId="0" fontId="5" numFmtId="0" xfId="0" applyBorder="1" applyFont="1"/>
    <xf borderId="36" fillId="6" fontId="3" numFmtId="165" xfId="0" applyAlignment="1" applyBorder="1" applyFont="1" applyNumberFormat="1">
      <alignment horizontal="center" vertical="center"/>
    </xf>
    <xf borderId="37" fillId="0" fontId="3" numFmtId="165" xfId="0" applyAlignment="1" applyBorder="1" applyFont="1" applyNumberFormat="1">
      <alignment horizontal="center" vertical="center"/>
    </xf>
    <xf borderId="37" fillId="0" fontId="5" numFmtId="0" xfId="0" applyBorder="1" applyFont="1"/>
    <xf borderId="38" fillId="0" fontId="5" numFmtId="0" xfId="0" applyBorder="1" applyFont="1"/>
    <xf borderId="1" fillId="0" fontId="3" numFmtId="3" xfId="0" applyAlignment="1" applyBorder="1" applyFont="1" applyNumberFormat="1">
      <alignment horizontal="center" vertical="center"/>
    </xf>
    <xf borderId="1" fillId="0" fontId="3" numFmtId="165" xfId="0" applyBorder="1" applyFont="1" applyNumberFormat="1"/>
    <xf borderId="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39" fillId="6" fontId="3" numFmtId="165" xfId="0" applyAlignment="1" applyBorder="1" applyFont="1" applyNumberFormat="1">
      <alignment horizontal="center" vertical="center"/>
    </xf>
    <xf borderId="40" fillId="0" fontId="5" numFmtId="0" xfId="0" applyBorder="1" applyFont="1"/>
    <xf borderId="41" fillId="6" fontId="3" numFmtId="165" xfId="0" applyAlignment="1" applyBorder="1" applyFont="1" applyNumberFormat="1">
      <alignment horizontal="center" vertical="center"/>
    </xf>
    <xf borderId="42" fillId="0" fontId="5" numFmtId="0" xfId="0" applyBorder="1" applyFont="1"/>
    <xf borderId="0" fillId="0" fontId="3" numFmtId="165" xfId="0" applyAlignment="1" applyFont="1" applyNumberFormat="1">
      <alignment horizontal="center" vertical="center"/>
    </xf>
    <xf borderId="43" fillId="0" fontId="3" numFmtId="0" xfId="0" applyBorder="1" applyFont="1"/>
    <xf borderId="44" fillId="0" fontId="3" numFmtId="0" xfId="0" applyBorder="1" applyFont="1"/>
    <xf borderId="45" fillId="0" fontId="5" numFmtId="0" xfId="0" applyBorder="1" applyFont="1"/>
    <xf borderId="46" fillId="0" fontId="3" numFmtId="165" xfId="0" applyAlignment="1" applyBorder="1" applyFont="1" applyNumberFormat="1">
      <alignment horizontal="center" vertical="center"/>
    </xf>
    <xf borderId="47" fillId="0" fontId="3" numFmtId="165" xfId="0" applyAlignment="1" applyBorder="1" applyFont="1" applyNumberFormat="1">
      <alignment horizontal="center" vertical="center"/>
    </xf>
    <xf borderId="11" fillId="0" fontId="3" numFmtId="166" xfId="0" applyAlignment="1" applyBorder="1" applyFont="1" applyNumberFormat="1">
      <alignment horizontal="center" vertical="center"/>
    </xf>
    <xf borderId="12" fillId="0" fontId="7" numFmtId="3" xfId="0" applyAlignment="1" applyBorder="1" applyFont="1" applyNumberFormat="1">
      <alignment horizontal="center" vertical="center"/>
    </xf>
    <xf borderId="48" fillId="0" fontId="5" numFmtId="0" xfId="0" applyBorder="1" applyFont="1"/>
    <xf borderId="49" fillId="0" fontId="3" numFmtId="164" xfId="0" applyAlignment="1" applyBorder="1" applyFont="1" applyNumberFormat="1">
      <alignment horizontal="center" vertical="center"/>
    </xf>
    <xf borderId="49" fillId="0" fontId="5" numFmtId="0" xfId="0" applyBorder="1" applyFont="1"/>
    <xf borderId="50" fillId="0" fontId="5" numFmtId="0" xfId="0" applyBorder="1" applyFont="1"/>
    <xf borderId="49" fillId="0" fontId="3" numFmtId="164" xfId="0" applyAlignment="1" applyBorder="1" applyFont="1" applyNumberFormat="1">
      <alignment vertical="center"/>
    </xf>
    <xf borderId="49" fillId="0" fontId="3" numFmtId="0" xfId="0" applyBorder="1" applyFont="1"/>
    <xf borderId="51" fillId="0" fontId="3" numFmtId="0" xfId="0" applyBorder="1" applyFont="1"/>
    <xf borderId="50" fillId="0" fontId="3" numFmtId="164" xfId="0" applyAlignment="1" applyBorder="1" applyFont="1" applyNumberFormat="1">
      <alignment horizontal="center" vertical="center"/>
    </xf>
    <xf borderId="52" fillId="10" fontId="3" numFmtId="164" xfId="0" applyAlignment="1" applyBorder="1" applyFill="1" applyFont="1" applyNumberFormat="1">
      <alignment horizontal="center" vertical="center"/>
    </xf>
    <xf borderId="51" fillId="0" fontId="5" numFmtId="0" xfId="0" applyBorder="1" applyFont="1"/>
    <xf borderId="46" fillId="0" fontId="3" numFmtId="164" xfId="0" applyAlignment="1" applyBorder="1" applyFont="1" applyNumberFormat="1">
      <alignment horizontal="center" vertical="center"/>
    </xf>
    <xf borderId="53" fillId="10" fontId="3" numFmtId="164" xfId="0" applyAlignment="1" applyBorder="1" applyFont="1" applyNumberFormat="1">
      <alignment horizontal="center" vertical="center"/>
    </xf>
    <xf borderId="54" fillId="10" fontId="3" numFmtId="164" xfId="0" applyAlignment="1" applyBorder="1" applyFont="1" applyNumberFormat="1">
      <alignment horizontal="center" vertical="center"/>
    </xf>
    <xf borderId="49" fillId="0" fontId="3" numFmtId="165" xfId="0" applyAlignment="1" applyBorder="1" applyFont="1" applyNumberFormat="1">
      <alignment horizontal="center" vertical="center"/>
    </xf>
    <xf borderId="55" fillId="0" fontId="3" numFmtId="165" xfId="0" applyAlignment="1" applyBorder="1" applyFont="1" applyNumberFormat="1">
      <alignment horizontal="center" vertical="center"/>
    </xf>
    <xf borderId="56" fillId="0" fontId="3" numFmtId="164" xfId="0" applyAlignment="1" applyBorder="1" applyFont="1" applyNumberFormat="1">
      <alignment horizontal="center" vertical="center"/>
    </xf>
    <xf borderId="43" fillId="0" fontId="5" numFmtId="0" xfId="0" applyBorder="1" applyFont="1"/>
    <xf borderId="57" fillId="11" fontId="3" numFmtId="165" xfId="0" applyAlignment="1" applyBorder="1" applyFill="1" applyFont="1" applyNumberFormat="1">
      <alignment horizontal="center" vertical="center"/>
    </xf>
    <xf borderId="58" fillId="0" fontId="5" numFmtId="0" xfId="0" applyBorder="1" applyFont="1"/>
    <xf borderId="59" fillId="0" fontId="5" numFmtId="0" xfId="0" applyBorder="1" applyFont="1"/>
    <xf borderId="60" fillId="11" fontId="3" numFmtId="165" xfId="0" applyAlignment="1" applyBorder="1" applyFont="1" applyNumberFormat="1">
      <alignment horizontal="center" vertical="center"/>
    </xf>
    <xf borderId="61" fillId="0" fontId="3" numFmtId="165" xfId="0" applyAlignment="1" applyBorder="1" applyFont="1" applyNumberFormat="1">
      <alignment horizontal="center" vertical="center"/>
    </xf>
    <xf borderId="62" fillId="0" fontId="5" numFmtId="0" xfId="0" applyBorder="1" applyFont="1"/>
    <xf borderId="63" fillId="0" fontId="3" numFmtId="164" xfId="0" applyAlignment="1" applyBorder="1" applyFont="1" applyNumberFormat="1">
      <alignment horizontal="center" vertical="center"/>
    </xf>
    <xf borderId="64" fillId="0" fontId="3" numFmtId="164" xfId="0" applyAlignment="1" applyBorder="1" applyFont="1" applyNumberFormat="1">
      <alignment horizontal="center" vertical="center"/>
    </xf>
    <xf borderId="65" fillId="9" fontId="3" numFmtId="3" xfId="0" applyAlignment="1" applyBorder="1" applyFont="1" applyNumberFormat="1">
      <alignment horizontal="center" vertical="center"/>
    </xf>
    <xf borderId="66" fillId="0" fontId="3" numFmtId="164" xfId="0" applyAlignment="1" applyBorder="1" applyFont="1" applyNumberFormat="1">
      <alignment horizontal="center" vertical="center"/>
    </xf>
    <xf borderId="67" fillId="0" fontId="5" numFmtId="0" xfId="0" applyBorder="1" applyFont="1"/>
    <xf borderId="68" fillId="11" fontId="3" numFmtId="165" xfId="0" applyAlignment="1" applyBorder="1" applyFont="1" applyNumberFormat="1">
      <alignment horizontal="center" vertical="center"/>
    </xf>
    <xf borderId="69" fillId="0" fontId="5" numFmtId="0" xfId="0" applyBorder="1" applyFont="1"/>
    <xf borderId="70" fillId="11" fontId="3" numFmtId="165" xfId="0" applyAlignment="1" applyBorder="1" applyFont="1" applyNumberFormat="1">
      <alignment horizontal="center" vertical="center"/>
    </xf>
    <xf borderId="70" fillId="0" fontId="3" numFmtId="165" xfId="0" applyAlignment="1" applyBorder="1" applyFont="1" applyNumberFormat="1">
      <alignment horizontal="center" vertical="center"/>
    </xf>
    <xf borderId="71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72" fillId="11" fontId="3" numFmtId="165" xfId="0" applyAlignment="1" applyBorder="1" applyFont="1" applyNumberFormat="1">
      <alignment horizontal="center" vertical="center"/>
    </xf>
    <xf borderId="73" fillId="11" fontId="3" numFmtId="165" xfId="0" applyAlignment="1" applyBorder="1" applyFont="1" applyNumberFormat="1">
      <alignment horizontal="center" vertical="center"/>
    </xf>
    <xf borderId="74" fillId="0" fontId="3" numFmtId="3" xfId="0" applyAlignment="1" applyBorder="1" applyFont="1" applyNumberFormat="1">
      <alignment horizontal="center" vertical="center"/>
    </xf>
    <xf borderId="46" fillId="0" fontId="5" numFmtId="0" xfId="0" applyBorder="1" applyFont="1"/>
    <xf borderId="55" fillId="0" fontId="5" numFmtId="0" xfId="0" applyBorder="1" applyFont="1"/>
    <xf borderId="56" fillId="0" fontId="3" numFmtId="0" xfId="0" applyAlignment="1" applyBorder="1" applyFont="1">
      <alignment horizontal="center"/>
    </xf>
    <xf borderId="75" fillId="0" fontId="5" numFmtId="0" xfId="0" applyBorder="1" applyFont="1"/>
    <xf borderId="75" fillId="0" fontId="3" numFmtId="0" xfId="0" applyBorder="1" applyFont="1"/>
    <xf borderId="76" fillId="0" fontId="3" numFmtId="165" xfId="0" applyAlignment="1" applyBorder="1" applyFont="1" applyNumberFormat="1">
      <alignment horizontal="center"/>
    </xf>
    <xf borderId="43" fillId="0" fontId="3" numFmtId="0" xfId="0" applyAlignment="1" applyBorder="1" applyFont="1">
      <alignment horizontal="center"/>
    </xf>
    <xf borderId="0" fillId="0" fontId="3" numFmtId="0" xfId="0" applyFont="1"/>
    <xf borderId="65" fillId="0" fontId="3" numFmtId="3" xfId="0" applyAlignment="1" applyBorder="1" applyFont="1" applyNumberFormat="1">
      <alignment horizontal="center" vertical="center"/>
    </xf>
    <xf borderId="77" fillId="0" fontId="3" numFmtId="165" xfId="0" applyAlignment="1" applyBorder="1" applyFont="1" applyNumberFormat="1">
      <alignment horizontal="center" vertical="center"/>
    </xf>
    <xf borderId="78" fillId="0" fontId="3" numFmtId="165" xfId="0" applyAlignment="1" applyBorder="1" applyFont="1" applyNumberFormat="1">
      <alignment horizontal="center" vertical="center"/>
    </xf>
    <xf borderId="79" fillId="0" fontId="5" numFmtId="0" xfId="0" applyBorder="1" applyFont="1"/>
    <xf borderId="76" fillId="11" fontId="3" numFmtId="165" xfId="0" applyAlignment="1" applyBorder="1" applyFont="1" applyNumberFormat="1">
      <alignment horizontal="center" vertical="center"/>
    </xf>
    <xf borderId="43" fillId="0" fontId="3" numFmtId="165" xfId="0" applyAlignment="1" applyBorder="1" applyFont="1" applyNumberFormat="1">
      <alignment horizontal="center" vertical="center"/>
    </xf>
    <xf borderId="44" fillId="0" fontId="5" numFmtId="0" xfId="0" applyBorder="1" applyFont="1"/>
    <xf borderId="49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0" fillId="0" fontId="0" numFmtId="0" xfId="0" applyFont="1"/>
    <xf borderId="80" fillId="0" fontId="3" numFmtId="165" xfId="0" applyAlignment="1" applyBorder="1" applyFont="1" applyNumberFormat="1">
      <alignment horizontal="center" vertical="center"/>
    </xf>
    <xf borderId="15" fillId="0" fontId="8" numFmtId="0" xfId="0" applyBorder="1" applyFont="1"/>
    <xf borderId="14" fillId="11" fontId="6" numFmtId="165" xfId="0" applyAlignment="1" applyBorder="1" applyFont="1" applyNumberFormat="1">
      <alignment horizontal="center" vertical="center"/>
    </xf>
    <xf borderId="81" fillId="0" fontId="3" numFmtId="165" xfId="0" applyAlignment="1" applyBorder="1" applyFont="1" applyNumberFormat="1">
      <alignment horizontal="center" vertical="center"/>
    </xf>
    <xf borderId="65" fillId="9" fontId="6" numFmtId="3" xfId="0" applyAlignment="1" applyBorder="1" applyFont="1" applyNumberFormat="1">
      <alignment horizontal="center" vertical="center"/>
    </xf>
    <xf borderId="0" fillId="0" fontId="0" numFmtId="165" xfId="0" applyFont="1" applyNumberFormat="1"/>
    <xf borderId="77" fillId="0" fontId="3" numFmtId="164" xfId="0" applyAlignment="1" applyBorder="1" applyFont="1" applyNumberFormat="1">
      <alignment horizontal="center" vertical="center"/>
    </xf>
    <xf borderId="78" fillId="0" fontId="3" numFmtId="164" xfId="0" applyAlignment="1" applyBorder="1" applyFont="1" applyNumberFormat="1">
      <alignment horizontal="center" vertical="center"/>
    </xf>
    <xf borderId="47" fillId="0" fontId="3" numFmtId="164" xfId="0" applyAlignment="1" applyBorder="1" applyFont="1" applyNumberFormat="1">
      <alignment horizontal="center" vertical="center"/>
    </xf>
    <xf borderId="46" fillId="0" fontId="3" numFmtId="164" xfId="0" applyAlignment="1" applyBorder="1" applyFont="1" applyNumberFormat="1">
      <alignment vertical="center"/>
    </xf>
    <xf borderId="46" fillId="0" fontId="3" numFmtId="0" xfId="0" applyBorder="1" applyFont="1"/>
    <xf borderId="82" fillId="9" fontId="3" numFmtId="3" xfId="0" applyAlignment="1" applyBorder="1" applyFont="1" applyNumberFormat="1">
      <alignment horizontal="center" vertical="center"/>
    </xf>
    <xf borderId="83" fillId="0" fontId="5" numFmtId="0" xfId="0" applyBorder="1" applyFont="1"/>
    <xf borderId="84" fillId="0" fontId="3" numFmtId="164" xfId="0" applyAlignment="1" applyBorder="1" applyFont="1" applyNumberFormat="1">
      <alignment horizontal="center" vertical="center"/>
    </xf>
    <xf borderId="85" fillId="0" fontId="3" numFmtId="164" xfId="0" applyAlignment="1" applyBorder="1" applyFont="1" applyNumberFormat="1">
      <alignment horizontal="center" vertical="center"/>
    </xf>
    <xf borderId="86" fillId="0" fontId="3" numFmtId="164" xfId="0" applyAlignment="1" applyBorder="1" applyFont="1" applyNumberFormat="1">
      <alignment horizontal="center" vertical="center"/>
    </xf>
    <xf borderId="87" fillId="0" fontId="3" numFmtId="164" xfId="0" applyAlignment="1" applyBorder="1" applyFont="1" applyNumberFormat="1">
      <alignment vertical="center"/>
    </xf>
    <xf borderId="88" fillId="0" fontId="3" numFmtId="0" xfId="0" applyBorder="1" applyFont="1"/>
    <xf borderId="89" fillId="0" fontId="3" numFmtId="0" xfId="0" applyBorder="1" applyFont="1"/>
    <xf borderId="90" fillId="0" fontId="3" numFmtId="164" xfId="0" applyAlignment="1" applyBorder="1" applyFont="1" applyNumberFormat="1">
      <alignment horizontal="center" vertical="center"/>
    </xf>
    <xf borderId="91" fillId="0" fontId="5" numFmtId="0" xfId="0" applyBorder="1" applyFont="1"/>
    <xf borderId="92" fillId="11" fontId="3" numFmtId="165" xfId="0" applyAlignment="1" applyBorder="1" applyFont="1" applyNumberFormat="1">
      <alignment horizontal="center" vertical="center"/>
    </xf>
    <xf borderId="91" fillId="0" fontId="3" numFmtId="164" xfId="0" applyAlignment="1" applyBorder="1" applyFont="1" applyNumberFormat="1">
      <alignment horizontal="center" vertical="center"/>
    </xf>
    <xf borderId="93" fillId="0" fontId="5" numFmtId="0" xfId="0" applyBorder="1" applyFont="1"/>
    <xf borderId="29" fillId="0" fontId="3" numFmtId="164" xfId="0" applyAlignment="1" applyBorder="1" applyFont="1" applyNumberFormat="1">
      <alignment vertical="center"/>
    </xf>
    <xf borderId="29" fillId="0" fontId="3" numFmtId="0" xfId="0" applyBorder="1" applyFont="1"/>
    <xf borderId="93" fillId="0" fontId="3" numFmtId="164" xfId="0" applyAlignment="1" applyBorder="1" applyFont="1" applyNumberFormat="1">
      <alignment horizontal="center" vertical="center"/>
    </xf>
    <xf borderId="91" fillId="0" fontId="3" numFmtId="164" xfId="0" applyAlignment="1" applyBorder="1" applyFont="1" applyNumberFormat="1">
      <alignment vertical="center"/>
    </xf>
    <xf borderId="91" fillId="0" fontId="3" numFmtId="0" xfId="0" applyBorder="1" applyFont="1"/>
    <xf borderId="93" fillId="0" fontId="3" numFmtId="0" xfId="0" applyBorder="1" applyFont="1"/>
    <xf borderId="29" fillId="0" fontId="3" numFmtId="164" xfId="0" applyAlignment="1" applyBorder="1" applyFont="1" applyNumberFormat="1">
      <alignment horizontal="center" vertical="center"/>
    </xf>
    <xf borderId="94" fillId="0" fontId="3" numFmtId="165" xfId="0" applyAlignment="1" applyBorder="1" applyFont="1" applyNumberFormat="1">
      <alignment horizontal="center" vertical="center"/>
    </xf>
    <xf borderId="12" fillId="0" fontId="3" numFmtId="165" xfId="0" applyAlignment="1" applyBorder="1" applyFont="1" applyNumberFormat="1">
      <alignment vertical="center"/>
    </xf>
    <xf borderId="95" fillId="0" fontId="3" numFmtId="165" xfId="0" applyAlignment="1" applyBorder="1" applyFont="1" applyNumberFormat="1">
      <alignment horizontal="center" vertical="center"/>
    </xf>
    <xf borderId="96" fillId="0" fontId="5" numFmtId="0" xfId="0" applyBorder="1" applyFont="1"/>
    <xf borderId="97" fillId="0" fontId="3" numFmtId="165" xfId="0" applyAlignment="1" applyBorder="1" applyFont="1" applyNumberFormat="1">
      <alignment vertical="center"/>
    </xf>
    <xf borderId="98" fillId="0" fontId="3" numFmtId="164" xfId="0" applyAlignment="1" applyBorder="1" applyFont="1" applyNumberFormat="1">
      <alignment horizontal="center" vertical="center"/>
    </xf>
    <xf borderId="99" fillId="0" fontId="3" numFmtId="164" xfId="0" applyAlignment="1" applyBorder="1" applyFont="1" applyNumberFormat="1">
      <alignment horizontal="center" vertical="center"/>
    </xf>
    <xf borderId="100" fillId="0" fontId="3" numFmtId="164" xfId="0" applyAlignment="1" applyBorder="1" applyFont="1" applyNumberFormat="1">
      <alignment horizontal="center" vertical="center"/>
    </xf>
    <xf borderId="99" fillId="0" fontId="3" numFmtId="164" xfId="0" applyAlignment="1" applyBorder="1" applyFont="1" applyNumberFormat="1">
      <alignment vertical="center"/>
    </xf>
    <xf borderId="99" fillId="0" fontId="3" numFmtId="0" xfId="0" applyBorder="1" applyFont="1"/>
    <xf borderId="100" fillId="0" fontId="3" numFmtId="0" xfId="0" applyBorder="1" applyFont="1"/>
    <xf borderId="96" fillId="0" fontId="3" numFmtId="0" xfId="0" applyBorder="1" applyFont="1"/>
    <xf borderId="91" fillId="0" fontId="3" numFmtId="165" xfId="0" applyAlignment="1" applyBorder="1" applyFont="1" applyNumberFormat="1">
      <alignment horizontal="center" vertical="center"/>
    </xf>
    <xf borderId="101" fillId="0" fontId="3" numFmtId="164" xfId="0" applyAlignment="1" applyBorder="1" applyFont="1" applyNumberFormat="1">
      <alignment horizontal="center" vertical="center"/>
    </xf>
    <xf borderId="11" fillId="0" fontId="3" numFmtId="165" xfId="0" applyBorder="1" applyFont="1" applyNumberFormat="1"/>
    <xf borderId="97" fillId="0" fontId="3" numFmtId="165" xfId="0" applyBorder="1" applyFont="1" applyNumberFormat="1"/>
    <xf borderId="98" fillId="0" fontId="3" numFmtId="0" xfId="0" applyAlignment="1" applyBorder="1" applyFont="1">
      <alignment horizontal="center"/>
    </xf>
    <xf borderId="99" fillId="0" fontId="5" numFmtId="0" xfId="0" applyBorder="1" applyFont="1"/>
    <xf borderId="100" fillId="0" fontId="5" numFmtId="0" xfId="0" applyBorder="1" applyFont="1"/>
    <xf borderId="99" fillId="0" fontId="3" numFmtId="0" xfId="0" applyAlignment="1" applyBorder="1" applyFont="1">
      <alignment horizontal="center"/>
    </xf>
    <xf borderId="99" fillId="0" fontId="3" numFmtId="165" xfId="0" applyAlignment="1" applyBorder="1" applyFont="1" applyNumberFormat="1">
      <alignment horizontal="center"/>
    </xf>
    <xf borderId="101" fillId="0" fontId="5" numFmtId="0" xfId="0" applyBorder="1" applyFont="1"/>
    <xf borderId="102" fillId="0" fontId="3" numFmtId="165" xfId="0" applyBorder="1" applyFont="1" applyNumberFormat="1"/>
    <xf borderId="103" fillId="0" fontId="3" numFmtId="3" xfId="0" applyAlignment="1" applyBorder="1" applyFont="1" applyNumberFormat="1">
      <alignment horizontal="center" vertical="center"/>
    </xf>
    <xf borderId="103" fillId="0" fontId="3" numFmtId="0" xfId="0" applyAlignment="1" applyBorder="1" applyFont="1">
      <alignment horizontal="center"/>
    </xf>
    <xf borderId="104" fillId="9" fontId="7" numFmtId="3" xfId="0" applyAlignment="1" applyBorder="1" applyFont="1" applyNumberFormat="1">
      <alignment horizontal="center" vertical="center"/>
    </xf>
    <xf borderId="105" fillId="0" fontId="3" numFmtId="0" xfId="0" applyAlignment="1" applyBorder="1" applyFont="1">
      <alignment horizontal="center"/>
    </xf>
    <xf borderId="106" fillId="0" fontId="3" numFmtId="0" xfId="0" applyAlignment="1" applyBorder="1" applyFont="1">
      <alignment horizontal="center"/>
    </xf>
    <xf borderId="107" fillId="0" fontId="3" numFmtId="0" xfId="0" applyAlignment="1" applyBorder="1" applyFont="1">
      <alignment horizontal="center"/>
    </xf>
    <xf borderId="107" fillId="0" fontId="3" numFmtId="165" xfId="0" applyAlignment="1" applyBorder="1" applyFont="1" applyNumberFormat="1">
      <alignment horizontal="center"/>
    </xf>
    <xf borderId="108" fillId="0" fontId="3" numFmtId="165" xfId="0" applyAlignment="1" applyBorder="1" applyFont="1" applyNumberFormat="1">
      <alignment horizontal="center"/>
    </xf>
    <xf borderId="6" fillId="12" fontId="6" numFmtId="0" xfId="0" applyAlignment="1" applyBorder="1" applyFill="1" applyFont="1">
      <alignment horizontal="center" vertical="center"/>
    </xf>
    <xf borderId="7" fillId="12" fontId="6" numFmtId="9" xfId="0" applyAlignment="1" applyBorder="1" applyFont="1" applyNumberFormat="1">
      <alignment horizontal="center" vertical="center"/>
    </xf>
    <xf borderId="7" fillId="12" fontId="6" numFmtId="164" xfId="0" applyAlignment="1" applyBorder="1" applyFont="1" applyNumberFormat="1">
      <alignment horizontal="center" vertical="center"/>
    </xf>
    <xf borderId="7" fillId="12" fontId="6" numFmtId="0" xfId="0" applyAlignment="1" applyBorder="1" applyFont="1">
      <alignment horizontal="center" vertical="center"/>
    </xf>
    <xf borderId="7" fillId="12" fontId="6" numFmtId="165" xfId="0" applyAlignment="1" applyBorder="1" applyFont="1" applyNumberFormat="1">
      <alignment horizontal="center" vertical="center"/>
    </xf>
    <xf borderId="7" fillId="12" fontId="3" numFmtId="0" xfId="0" applyAlignment="1" applyBorder="1" applyFont="1">
      <alignment vertical="center"/>
    </xf>
    <xf borderId="7" fillId="12" fontId="3" numFmtId="3" xfId="0" applyAlignment="1" applyBorder="1" applyFont="1" applyNumberFormat="1">
      <alignment horizontal="center" vertical="center"/>
    </xf>
    <xf borderId="7" fillId="12" fontId="3" numFmtId="0" xfId="0" applyAlignment="1" applyBorder="1" applyFont="1">
      <alignment horizontal="center" vertical="center"/>
    </xf>
    <xf borderId="7" fillId="12" fontId="6" numFmtId="3" xfId="0" applyAlignment="1" applyBorder="1" applyFont="1" applyNumberFormat="1">
      <alignment horizontal="center" vertical="center"/>
    </xf>
    <xf borderId="109" fillId="12" fontId="6" numFmtId="3" xfId="0" applyAlignment="1" applyBorder="1" applyFont="1" applyNumberFormat="1">
      <alignment horizontal="center" vertical="center"/>
    </xf>
    <xf borderId="110" fillId="12" fontId="6" numFmtId="165" xfId="0" applyAlignment="1" applyBorder="1" applyFont="1" applyNumberFormat="1">
      <alignment horizontal="center" vertical="center"/>
    </xf>
    <xf borderId="111" fillId="0" fontId="5" numFmtId="0" xfId="0" applyBorder="1" applyFont="1"/>
    <xf borderId="112" fillId="12" fontId="6" numFmtId="165" xfId="0" applyAlignment="1" applyBorder="1" applyFont="1" applyNumberFormat="1">
      <alignment horizontal="center" vertical="center"/>
    </xf>
    <xf borderId="4" fillId="12" fontId="6" numFmtId="165" xfId="0" applyAlignment="1" applyBorder="1" applyFont="1" applyNumberFormat="1">
      <alignment horizontal="center" vertical="center"/>
    </xf>
    <xf borderId="113" fillId="0" fontId="1" numFmtId="0" xfId="0" applyAlignment="1" applyBorder="1" applyFont="1">
      <alignment vertical="center"/>
    </xf>
    <xf borderId="9" fillId="10" fontId="1" numFmtId="0" xfId="0" applyAlignment="1" applyBorder="1" applyFont="1">
      <alignment vertical="center"/>
    </xf>
    <xf borderId="0" fillId="0" fontId="1" numFmtId="167" xfId="0" applyAlignment="1" applyFont="1" applyNumberFormat="1">
      <alignment vertical="center"/>
    </xf>
    <xf borderId="0" fillId="0" fontId="1" numFmtId="10" xfId="0" applyAlignment="1" applyFont="1" applyNumberFormat="1">
      <alignment vertical="center"/>
    </xf>
    <xf borderId="102" fillId="0" fontId="3" numFmtId="165" xfId="0" applyAlignment="1" applyBorder="1" applyFont="1" applyNumberFormat="1">
      <alignment horizontal="center" vertical="center"/>
    </xf>
    <xf borderId="102" fillId="0" fontId="5" numFmtId="0" xfId="0" applyBorder="1" applyFont="1"/>
    <xf borderId="0" fillId="0" fontId="7" numFmtId="165" xfId="0" applyAlignment="1" applyFont="1" applyNumberFormat="1">
      <alignment horizontal="center"/>
    </xf>
    <xf borderId="0" fillId="0" fontId="1" numFmtId="168" xfId="0" applyAlignment="1" applyFont="1" applyNumberFormat="1">
      <alignment vertical="center"/>
    </xf>
    <xf borderId="0" fillId="0" fontId="1" numFmtId="3" xfId="0" applyAlignment="1" applyFont="1" applyNumberFormat="1">
      <alignment vertical="center"/>
    </xf>
    <xf borderId="0" fillId="0" fontId="1" numFmtId="165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/>
    </xf>
    <xf borderId="0" fillId="0" fontId="1" numFmtId="165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9" numFmtId="165" xfId="0" applyAlignment="1" applyFont="1" applyNumberFormat="1">
      <alignment horizontal="center" vertical="center"/>
    </xf>
    <xf borderId="0" fillId="0" fontId="1" numFmtId="9" xfId="0" applyAlignment="1" applyFont="1" applyNumberFormat="1">
      <alignment vertical="center"/>
    </xf>
    <xf borderId="0" fillId="0" fontId="10" numFmtId="3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0" fillId="0" fontId="11" numFmtId="169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0" fontId="0" numFmtId="169" xfId="0" applyAlignment="1" applyFont="1" applyNumberFormat="1">
      <alignment horizontal="center"/>
    </xf>
    <xf borderId="0" fillId="0" fontId="8" numFmtId="0" xfId="0" applyAlignment="1" applyFont="1">
      <alignment vertical="center"/>
    </xf>
    <xf borderId="0" fillId="0" fontId="1" numFmtId="168" xfId="0" applyAlignment="1" applyFont="1" applyNumberFormat="1">
      <alignment horizontal="center" vertical="center"/>
    </xf>
    <xf borderId="0" fillId="0" fontId="8" numFmtId="3" xfId="0" applyAlignment="1" applyFont="1" applyNumberFormat="1">
      <alignment vertical="center"/>
    </xf>
    <xf borderId="0" fillId="0" fontId="1" numFmtId="3" xfId="0" applyAlignment="1" applyFont="1" applyNumberFormat="1">
      <alignment horizontal="center" vertical="center"/>
    </xf>
    <xf borderId="0" fillId="0" fontId="1" numFmtId="170" xfId="0" applyAlignment="1" applyFont="1" applyNumberFormat="1">
      <alignment vertical="center"/>
    </xf>
    <xf borderId="0" fillId="0" fontId="1" numFmtId="171" xfId="0" applyAlignment="1" applyFont="1" applyNumberFormat="1">
      <alignment vertical="center"/>
    </xf>
    <xf borderId="114" fillId="3" fontId="12" numFmtId="0" xfId="0" applyAlignment="1" applyBorder="1" applyFont="1">
      <alignment vertical="center"/>
    </xf>
    <xf borderId="114" fillId="3" fontId="13" numFmtId="0" xfId="0" applyAlignment="1" applyBorder="1" applyFont="1">
      <alignment vertical="center"/>
    </xf>
    <xf borderId="0" fillId="0" fontId="0" numFmtId="0" xfId="0" applyAlignment="1" applyFont="1">
      <alignment horizontal="right"/>
    </xf>
    <xf borderId="115" fillId="3" fontId="4" numFmtId="0" xfId="0" applyAlignment="1" applyBorder="1" applyFont="1">
      <alignment horizontal="center" vertical="center"/>
    </xf>
    <xf borderId="103" fillId="0" fontId="5" numFmtId="0" xfId="0" applyBorder="1" applyFont="1"/>
    <xf borderId="116" fillId="0" fontId="5" numFmtId="0" xfId="0" applyBorder="1" applyFont="1"/>
    <xf borderId="1" fillId="4" fontId="2" numFmtId="0" xfId="0" applyAlignment="1" applyBorder="1" applyFont="1">
      <alignment horizontal="center" shrinkToFit="0" vertical="center" wrapText="1"/>
    </xf>
    <xf borderId="117" fillId="5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68" fillId="6" fontId="3" numFmtId="165" xfId="0" applyAlignment="1" applyBorder="1" applyFont="1" applyNumberFormat="1">
      <alignment horizontal="center" vertical="center"/>
    </xf>
    <xf borderId="118" fillId="0" fontId="5" numFmtId="0" xfId="0" applyBorder="1" applyFont="1"/>
    <xf borderId="11" fillId="0" fontId="6" numFmtId="0" xfId="0" applyAlignment="1" applyBorder="1" applyFont="1">
      <alignment horizontal="center" vertical="center"/>
    </xf>
    <xf borderId="119" fillId="0" fontId="5" numFmtId="0" xfId="0" applyBorder="1" applyFont="1"/>
    <xf borderId="120" fillId="0" fontId="3" numFmtId="3" xfId="0" applyAlignment="1" applyBorder="1" applyFont="1" applyNumberFormat="1">
      <alignment horizontal="center" vertical="center"/>
    </xf>
    <xf borderId="121" fillId="0" fontId="3" numFmtId="165" xfId="0" applyAlignment="1" applyBorder="1" applyFont="1" applyNumberFormat="1">
      <alignment horizontal="center" vertical="center"/>
    </xf>
    <xf borderId="64" fillId="0" fontId="3" numFmtId="165" xfId="0" applyAlignment="1" applyBorder="1" applyFont="1" applyNumberFormat="1">
      <alignment horizontal="center" vertical="center"/>
    </xf>
    <xf borderId="122" fillId="0" fontId="3" numFmtId="165" xfId="0" applyAlignment="1" applyBorder="1" applyFont="1" applyNumberFormat="1">
      <alignment horizontal="center" vertical="center"/>
    </xf>
    <xf borderId="123" fillId="0" fontId="5" numFmtId="0" xfId="0" applyBorder="1" applyFont="1"/>
    <xf borderId="76" fillId="13" fontId="3" numFmtId="165" xfId="0" applyAlignment="1" applyBorder="1" applyFill="1" applyFont="1" applyNumberFormat="1">
      <alignment horizontal="center"/>
    </xf>
    <xf borderId="124" fillId="0" fontId="5" numFmtId="0" xfId="0" applyBorder="1" applyFont="1"/>
    <xf borderId="61" fillId="13" fontId="3" numFmtId="165" xfId="0" applyAlignment="1" applyBorder="1" applyFont="1" applyNumberFormat="1">
      <alignment horizontal="center"/>
    </xf>
    <xf borderId="114" fillId="13" fontId="0" numFmtId="0" xfId="0" applyBorder="1" applyFont="1"/>
    <xf borderId="65" fillId="13" fontId="3" numFmtId="3" xfId="0" applyAlignment="1" applyBorder="1" applyFont="1" applyNumberFormat="1">
      <alignment horizontal="center" vertical="center"/>
    </xf>
    <xf borderId="31" fillId="13" fontId="3" numFmtId="3" xfId="0" applyAlignment="1" applyBorder="1" applyFont="1" applyNumberFormat="1">
      <alignment horizontal="center" vertical="center"/>
    </xf>
    <xf borderId="114" fillId="14" fontId="0" numFmtId="0" xfId="0" applyBorder="1" applyFill="1" applyFont="1"/>
    <xf borderId="76" fillId="14" fontId="6" numFmtId="165" xfId="0" applyAlignment="1" applyBorder="1" applyFont="1" applyNumberFormat="1">
      <alignment horizontal="center" vertical="center"/>
    </xf>
    <xf borderId="125" fillId="0" fontId="5" numFmtId="0" xfId="0" applyBorder="1" applyFont="1"/>
    <xf borderId="126" fillId="14" fontId="6" numFmtId="165" xfId="0" applyAlignment="1" applyBorder="1" applyFont="1" applyNumberFormat="1">
      <alignment horizontal="center" vertical="center"/>
    </xf>
    <xf borderId="65" fillId="14" fontId="6" numFmtId="3" xfId="0" applyAlignment="1" applyBorder="1" applyFont="1" applyNumberFormat="1">
      <alignment horizontal="center" vertical="center"/>
    </xf>
    <xf borderId="31" fillId="14" fontId="6" numFmtId="3" xfId="0" applyAlignment="1" applyBorder="1" applyFont="1" applyNumberFormat="1">
      <alignment horizontal="center" vertical="center"/>
    </xf>
    <xf borderId="11" fillId="14" fontId="3" numFmtId="0" xfId="0" applyAlignment="1" applyBorder="1" applyFont="1">
      <alignment horizontal="center" vertical="center"/>
    </xf>
    <xf borderId="76" fillId="13" fontId="3" numFmtId="165" xfId="0" applyAlignment="1" applyBorder="1" applyFont="1" applyNumberFormat="1">
      <alignment horizontal="center" vertical="center"/>
    </xf>
    <xf borderId="11" fillId="14" fontId="3" numFmtId="166" xfId="0" applyAlignment="1" applyBorder="1" applyFont="1" applyNumberFormat="1">
      <alignment horizontal="center" vertical="center"/>
    </xf>
    <xf borderId="70" fillId="13" fontId="3" numFmtId="165" xfId="0" applyAlignment="1" applyBorder="1" applyFont="1" applyNumberFormat="1">
      <alignment horizontal="center" vertical="center"/>
    </xf>
    <xf borderId="68" fillId="13" fontId="3" numFmtId="165" xfId="0" applyAlignment="1" applyBorder="1" applyFont="1" applyNumberFormat="1">
      <alignment horizontal="center" vertical="center"/>
    </xf>
    <xf borderId="127" fillId="0" fontId="3" numFmtId="3" xfId="0" applyAlignment="1" applyBorder="1" applyFont="1" applyNumberFormat="1">
      <alignment horizontal="center" vertical="center"/>
    </xf>
    <xf borderId="88" fillId="0" fontId="5" numFmtId="0" xfId="0" applyBorder="1" applyFont="1"/>
    <xf borderId="89" fillId="0" fontId="5" numFmtId="0" xfId="0" applyBorder="1" applyFont="1"/>
    <xf borderId="128" fillId="0" fontId="3" numFmtId="0" xfId="0" applyAlignment="1" applyBorder="1" applyFont="1">
      <alignment horizontal="left" vertical="center"/>
    </xf>
    <xf borderId="129" fillId="0" fontId="5" numFmtId="0" xfId="0" applyBorder="1" applyFont="1"/>
    <xf borderId="102" fillId="0" fontId="7" numFmtId="165" xfId="0" applyAlignment="1" applyBorder="1" applyFont="1" applyNumberFormat="1">
      <alignment horizontal="center"/>
    </xf>
    <xf borderId="0" fillId="0" fontId="11" numFmtId="165" xfId="0" applyAlignment="1" applyFont="1" applyNumberFormat="1">
      <alignment horizontal="center"/>
    </xf>
    <xf borderId="0" fillId="0" fontId="0" numFmtId="167" xfId="0" applyAlignment="1" applyFont="1" applyNumberFormat="1">
      <alignment horizontal="center"/>
    </xf>
    <xf borderId="0" fillId="0" fontId="0" numFmtId="168" xfId="0" applyAlignment="1" applyFont="1" applyNumberFormat="1">
      <alignment horizontal="center"/>
    </xf>
    <xf borderId="0" fillId="0" fontId="1" numFmtId="4" xfId="0" applyAlignment="1" applyFont="1" applyNumberFormat="1">
      <alignment vertical="center"/>
    </xf>
    <xf borderId="12" fillId="15" fontId="9" numFmtId="0" xfId="0" applyAlignment="1" applyBorder="1" applyFill="1" applyFont="1">
      <alignment horizontal="center" vertical="center"/>
    </xf>
    <xf borderId="115" fillId="16" fontId="9" numFmtId="0" xfId="0" applyAlignment="1" applyBorder="1" applyFill="1" applyFont="1">
      <alignment horizontal="center" vertical="center"/>
    </xf>
    <xf borderId="12" fillId="17" fontId="9" numFmtId="0" xfId="0" applyAlignment="1" applyBorder="1" applyFill="1" applyFont="1">
      <alignment horizontal="center" vertical="center"/>
    </xf>
    <xf borderId="7" fillId="3" fontId="4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vertical="center"/>
    </xf>
    <xf borderId="130" fillId="3" fontId="4" numFmtId="0" xfId="0" applyAlignment="1" applyBorder="1" applyFont="1">
      <alignment horizontal="center" vertical="center"/>
    </xf>
    <xf borderId="131" fillId="0" fontId="5" numFmtId="0" xfId="0" applyBorder="1" applyFont="1"/>
    <xf borderId="114" fillId="3" fontId="4" numFmtId="0" xfId="0" applyAlignment="1" applyBorder="1" applyFont="1">
      <alignment horizontal="center" vertical="center"/>
    </xf>
    <xf borderId="7" fillId="18" fontId="2" numFmtId="0" xfId="0" applyAlignment="1" applyBorder="1" applyFill="1" applyFont="1">
      <alignment horizontal="center" shrinkToFit="0" vertical="center" wrapText="1"/>
    </xf>
    <xf borderId="7" fillId="16" fontId="2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 vertical="center"/>
    </xf>
    <xf borderId="109" fillId="5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2" fillId="0" fontId="3" numFmtId="0" xfId="0" applyAlignment="1" applyBorder="1" applyFont="1">
      <alignment horizontal="center" shrinkToFit="0" vertical="center" wrapText="1"/>
    </xf>
    <xf borderId="103" fillId="0" fontId="3" numFmtId="9" xfId="0" applyAlignment="1" applyBorder="1" applyFont="1" applyNumberFormat="1">
      <alignment horizontal="center" vertical="center"/>
    </xf>
    <xf borderId="103" fillId="0" fontId="3" numFmtId="165" xfId="0" applyAlignment="1" applyBorder="1" applyFont="1" applyNumberFormat="1">
      <alignment horizontal="center" vertical="center"/>
    </xf>
    <xf borderId="103" fillId="0" fontId="3" numFmtId="0" xfId="0" applyAlignment="1" applyBorder="1" applyFont="1">
      <alignment vertical="center"/>
    </xf>
    <xf borderId="103" fillId="0" fontId="3" numFmtId="165" xfId="0" applyAlignment="1" applyBorder="1" applyFont="1" applyNumberFormat="1">
      <alignment vertical="center"/>
    </xf>
    <xf borderId="1" fillId="0" fontId="7" numFmtId="165" xfId="0" applyAlignment="1" applyBorder="1" applyFont="1" applyNumberFormat="1">
      <alignment horizontal="center" vertical="center"/>
    </xf>
    <xf borderId="1" fillId="8" fontId="3" numFmtId="165" xfId="0" applyAlignment="1" applyBorder="1" applyFont="1" applyNumberFormat="1">
      <alignment horizontal="center" vertical="center"/>
    </xf>
    <xf borderId="1" fillId="8" fontId="14" numFmtId="165" xfId="0" applyAlignment="1" applyBorder="1" applyFont="1" applyNumberFormat="1">
      <alignment vertical="center"/>
    </xf>
    <xf borderId="1" fillId="8" fontId="7" numFmtId="166" xfId="0" applyAlignment="1" applyBorder="1" applyFont="1" applyNumberFormat="1">
      <alignment horizontal="center" vertical="center"/>
    </xf>
    <xf borderId="1" fillId="8" fontId="14" numFmtId="3" xfId="0" applyAlignment="1" applyBorder="1" applyFont="1" applyNumberFormat="1">
      <alignment horizontal="center" vertical="center"/>
    </xf>
    <xf borderId="1" fillId="0" fontId="15" numFmtId="10" xfId="0" applyAlignment="1" applyBorder="1" applyFont="1" applyNumberFormat="1">
      <alignment horizontal="center" vertical="center"/>
    </xf>
    <xf borderId="132" fillId="12" fontId="16" numFmtId="165" xfId="0" applyAlignment="1" applyBorder="1" applyFont="1" applyNumberFormat="1">
      <alignment horizontal="center" vertical="center"/>
    </xf>
    <xf borderId="76" fillId="12" fontId="7" numFmtId="165" xfId="0" applyAlignment="1" applyBorder="1" applyFont="1" applyNumberFormat="1">
      <alignment horizontal="center" vertical="center"/>
    </xf>
    <xf borderId="36" fillId="12" fontId="3" numFmtId="165" xfId="0" applyAlignment="1" applyBorder="1" applyFont="1" applyNumberFormat="1">
      <alignment horizontal="center" vertical="center"/>
    </xf>
    <xf borderId="102" fillId="0" fontId="3" numFmtId="164" xfId="0" applyAlignment="1" applyBorder="1" applyFont="1" applyNumberFormat="1">
      <alignment vertical="center"/>
    </xf>
    <xf borderId="102" fillId="0" fontId="3" numFmtId="0" xfId="0" applyBorder="1" applyFont="1"/>
    <xf borderId="133" fillId="0" fontId="3" numFmtId="0" xfId="0" applyBorder="1" applyFont="1"/>
    <xf borderId="0" fillId="0" fontId="17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1" fillId="0" fontId="7" numFmtId="165" xfId="0" applyAlignment="1" applyBorder="1" applyFont="1" applyNumberFormat="1">
      <alignment horizontal="center" vertical="center"/>
    </xf>
    <xf borderId="1" fillId="8" fontId="18" numFmtId="165" xfId="0" applyAlignment="1" applyBorder="1" applyFont="1" applyNumberFormat="1">
      <alignment horizontal="center" vertical="center"/>
    </xf>
    <xf borderId="6" fillId="8" fontId="7" numFmtId="166" xfId="0" applyAlignment="1" applyBorder="1" applyFont="1" applyNumberFormat="1">
      <alignment horizontal="center" vertical="center"/>
    </xf>
    <xf borderId="6" fillId="8" fontId="14" numFmtId="3" xfId="0" applyAlignment="1" applyBorder="1" applyFont="1" applyNumberFormat="1">
      <alignment horizontal="center" vertical="center"/>
    </xf>
    <xf borderId="132" fillId="14" fontId="16" numFmtId="165" xfId="0" applyAlignment="1" applyBorder="1" applyFont="1" applyNumberFormat="1">
      <alignment horizontal="center" vertical="center"/>
    </xf>
    <xf borderId="134" fillId="14" fontId="7" numFmtId="165" xfId="0" applyAlignment="1" applyBorder="1" applyFont="1" applyNumberFormat="1">
      <alignment horizontal="center" vertical="center"/>
    </xf>
    <xf borderId="16" fillId="14" fontId="7" numFmtId="165" xfId="0" applyAlignment="1" applyBorder="1" applyFont="1" applyNumberFormat="1">
      <alignment horizontal="center" vertical="center"/>
    </xf>
    <xf borderId="135" fillId="12" fontId="3" numFmtId="0" xfId="0" applyAlignment="1" applyBorder="1" applyFont="1">
      <alignment vertical="center"/>
    </xf>
    <xf borderId="16" fillId="12" fontId="3" numFmtId="165" xfId="0" applyAlignment="1" applyBorder="1" applyFont="1" applyNumberFormat="1">
      <alignment horizontal="center" vertical="center"/>
    </xf>
    <xf borderId="136" fillId="0" fontId="3" numFmtId="165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15" fillId="0" fontId="3" numFmtId="164" xfId="0" applyAlignment="1" applyBorder="1" applyFont="1" applyNumberFormat="1">
      <alignment vertical="center"/>
    </xf>
    <xf borderId="15" fillId="0" fontId="3" numFmtId="0" xfId="0" applyBorder="1" applyFont="1"/>
    <xf borderId="48" fillId="0" fontId="3" numFmtId="0" xfId="0" applyBorder="1" applyFont="1"/>
    <xf borderId="1" fillId="0" fontId="3" numFmtId="0" xfId="0" applyBorder="1" applyFont="1"/>
    <xf borderId="1" fillId="8" fontId="14" numFmtId="165" xfId="0" applyAlignment="1" applyBorder="1" applyFont="1" applyNumberFormat="1">
      <alignment horizontal="center" vertical="center"/>
    </xf>
    <xf borderId="1" fillId="0" fontId="19" numFmtId="10" xfId="0" applyAlignment="1" applyBorder="1" applyFont="1" applyNumberFormat="1">
      <alignment horizontal="center" vertical="center"/>
    </xf>
    <xf borderId="130" fillId="12" fontId="3" numFmtId="165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vertical="center"/>
    </xf>
    <xf borderId="113" fillId="0" fontId="3" numFmtId="0" xfId="0" applyBorder="1" applyFont="1"/>
    <xf borderId="137" fillId="0" fontId="3" numFmtId="0" xfId="0" applyBorder="1" applyFont="1"/>
    <xf borderId="0" fillId="0" fontId="17" numFmtId="0" xfId="0" applyAlignment="1" applyFont="1">
      <alignment shrinkToFit="0" vertical="center" wrapText="1"/>
    </xf>
    <xf borderId="57" fillId="14" fontId="7" numFmtId="165" xfId="0" applyAlignment="1" applyBorder="1" applyFont="1" applyNumberFormat="1">
      <alignment horizontal="center" vertical="center"/>
    </xf>
    <xf borderId="52" fillId="14" fontId="7" numFmtId="165" xfId="0" applyAlignment="1" applyBorder="1" applyFont="1" applyNumberFormat="1">
      <alignment vertical="center"/>
    </xf>
    <xf borderId="53" fillId="12" fontId="3" numFmtId="165" xfId="0" applyAlignment="1" applyBorder="1" applyFont="1" applyNumberFormat="1">
      <alignment vertical="center"/>
    </xf>
    <xf borderId="52" fillId="12" fontId="3" numFmtId="165" xfId="0" applyAlignment="1" applyBorder="1" applyFont="1" applyNumberFormat="1">
      <alignment horizontal="center" vertical="center"/>
    </xf>
    <xf borderId="138" fillId="12" fontId="3" numFmtId="165" xfId="0" applyAlignment="1" applyBorder="1" applyFont="1" applyNumberFormat="1">
      <alignment horizontal="center" vertical="center"/>
    </xf>
    <xf borderId="139" fillId="0" fontId="5" numFmtId="0" xfId="0" applyBorder="1" applyFont="1"/>
    <xf borderId="47" fillId="0" fontId="3" numFmtId="0" xfId="0" applyBorder="1" applyFont="1"/>
    <xf borderId="122" fillId="0" fontId="3" numFmtId="0" xfId="0" applyBorder="1" applyFont="1"/>
    <xf borderId="1" fillId="8" fontId="3" numFmtId="165" xfId="0" applyAlignment="1" applyBorder="1" applyFont="1" applyNumberFormat="1">
      <alignment vertical="center"/>
    </xf>
    <xf borderId="140" fillId="12" fontId="3" numFmtId="165" xfId="0" applyAlignment="1" applyBorder="1" applyFont="1" applyNumberFormat="1">
      <alignment vertical="center"/>
    </xf>
    <xf borderId="140" fillId="12" fontId="3" numFmtId="165" xfId="0" applyAlignment="1" applyBorder="1" applyFont="1" applyNumberFormat="1">
      <alignment horizontal="center" vertical="center"/>
    </xf>
    <xf borderId="141" fillId="12" fontId="3" numFmtId="165" xfId="0" applyAlignment="1" applyBorder="1" applyFont="1" applyNumberFormat="1">
      <alignment horizontal="center" vertical="center"/>
    </xf>
    <xf borderId="113" fillId="0" fontId="3" numFmtId="165" xfId="0" applyAlignment="1" applyBorder="1" applyFont="1" applyNumberFormat="1">
      <alignment horizontal="center" vertical="center"/>
    </xf>
    <xf borderId="137" fillId="0" fontId="3" numFmtId="165" xfId="0" applyAlignment="1" applyBorder="1" applyFont="1" applyNumberFormat="1">
      <alignment horizontal="center" vertical="center"/>
    </xf>
    <xf borderId="76" fillId="14" fontId="7" numFmtId="165" xfId="0" applyAlignment="1" applyBorder="1" applyFont="1" applyNumberFormat="1">
      <alignment horizontal="center" vertical="center"/>
    </xf>
    <xf borderId="140" fillId="14" fontId="7" numFmtId="165" xfId="0" applyAlignment="1" applyBorder="1" applyFont="1" applyNumberFormat="1">
      <alignment vertical="center"/>
    </xf>
    <xf borderId="142" fillId="12" fontId="3" numFmtId="165" xfId="0" applyAlignment="1" applyBorder="1" applyFont="1" applyNumberFormat="1">
      <alignment vertical="center"/>
    </xf>
    <xf borderId="143" fillId="0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8" fontId="14" numFmtId="165" xfId="0" applyBorder="1" applyFont="1" applyNumberFormat="1"/>
    <xf borderId="1" fillId="8" fontId="3" numFmtId="165" xfId="0" applyBorder="1" applyFont="1" applyNumberFormat="1"/>
    <xf borderId="6" fillId="8" fontId="3" numFmtId="0" xfId="0" applyAlignment="1" applyBorder="1" applyFont="1">
      <alignment horizontal="center"/>
    </xf>
    <xf borderId="1" fillId="0" fontId="20" numFmtId="10" xfId="0" applyAlignment="1" applyBorder="1" applyFont="1" applyNumberFormat="1">
      <alignment horizontal="center"/>
    </xf>
    <xf borderId="76" fillId="19" fontId="7" numFmtId="165" xfId="0" applyAlignment="1" applyBorder="1" applyFill="1" applyFont="1" applyNumberFormat="1">
      <alignment horizontal="center" vertical="center"/>
    </xf>
    <xf borderId="141" fillId="14" fontId="7" numFmtId="165" xfId="0" applyAlignment="1" applyBorder="1" applyFont="1" applyNumberFormat="1">
      <alignment vertical="center"/>
    </xf>
    <xf borderId="144" fillId="12" fontId="3" numFmtId="165" xfId="0" applyAlignment="1" applyBorder="1" applyFont="1" applyNumberFormat="1">
      <alignment vertical="center"/>
    </xf>
    <xf borderId="145" fillId="0" fontId="3" numFmtId="0" xfId="0" applyBorder="1" applyFont="1"/>
    <xf borderId="12" fillId="0" fontId="7" numFmtId="0" xfId="0" applyAlignment="1" applyBorder="1" applyFont="1">
      <alignment horizontal="center" vertical="center"/>
    </xf>
    <xf borderId="1" fillId="8" fontId="7" numFmtId="165" xfId="0" applyAlignment="1" applyBorder="1" applyFont="1" applyNumberFormat="1">
      <alignment horizontal="center" vertical="center"/>
    </xf>
    <xf borderId="1" fillId="8" fontId="21" numFmtId="165" xfId="0" applyAlignment="1" applyBorder="1" applyFont="1" applyNumberFormat="1">
      <alignment horizontal="center" vertical="center"/>
    </xf>
    <xf borderId="6" fillId="8" fontId="22" numFmtId="3" xfId="0" applyAlignment="1" applyBorder="1" applyFont="1" applyNumberFormat="1">
      <alignment horizontal="center" vertical="center"/>
    </xf>
    <xf borderId="1" fillId="0" fontId="23" numFmtId="10" xfId="0" applyAlignment="1" applyBorder="1" applyFont="1" applyNumberFormat="1">
      <alignment horizontal="center" vertical="center"/>
    </xf>
    <xf borderId="76" fillId="5" fontId="24" numFmtId="165" xfId="0" applyAlignment="1" applyBorder="1" applyFont="1" applyNumberFormat="1">
      <alignment horizontal="center" shrinkToFit="0" vertical="center" wrapText="1"/>
    </xf>
    <xf borderId="130" fillId="12" fontId="3" numFmtId="165" xfId="0" applyAlignment="1" applyBorder="1" applyFont="1" applyNumberFormat="1">
      <alignment vertical="center"/>
    </xf>
    <xf borderId="43" fillId="0" fontId="3" numFmtId="164" xfId="0" applyAlignment="1" applyBorder="1" applyFont="1" applyNumberFormat="1">
      <alignment vertical="center"/>
    </xf>
    <xf borderId="146" fillId="14" fontId="7" numFmtId="165" xfId="0" applyAlignment="1" applyBorder="1" applyFont="1" applyNumberFormat="1">
      <alignment horizontal="center" vertical="center"/>
    </xf>
    <xf borderId="147" fillId="0" fontId="5" numFmtId="0" xfId="0" applyBorder="1" applyFont="1"/>
    <xf borderId="50" fillId="0" fontId="3" numFmtId="0" xfId="0" applyBorder="1" applyFont="1"/>
    <xf borderId="79" fillId="0" fontId="3" numFmtId="0" xfId="0" applyBorder="1" applyFont="1"/>
    <xf borderId="1" fillId="0" fontId="20" numFmtId="10" xfId="0" applyAlignment="1" applyBorder="1" applyFont="1" applyNumberFormat="1">
      <alignment horizontal="center" vertical="center"/>
    </xf>
    <xf borderId="60" fillId="12" fontId="3" numFmtId="165" xfId="0" applyAlignment="1" applyBorder="1" applyFont="1" applyNumberFormat="1">
      <alignment vertical="center"/>
    </xf>
    <xf borderId="148" fillId="10" fontId="3" numFmtId="164" xfId="0" applyAlignment="1" applyBorder="1" applyFont="1" applyNumberFormat="1">
      <alignment horizontal="center" vertical="center"/>
    </xf>
    <xf borderId="52" fillId="12" fontId="3" numFmtId="165" xfId="0" applyAlignment="1" applyBorder="1" applyFont="1" applyNumberFormat="1">
      <alignment vertical="center"/>
    </xf>
    <xf borderId="50" fillId="0" fontId="3" numFmtId="165" xfId="0" applyAlignment="1" applyBorder="1" applyFont="1" applyNumberFormat="1">
      <alignment horizontal="center" vertical="center"/>
    </xf>
    <xf borderId="79" fillId="0" fontId="3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/>
    </xf>
    <xf borderId="149" fillId="0" fontId="3" numFmtId="164" xfId="0" applyAlignment="1" applyBorder="1" applyFont="1" applyNumberFormat="1">
      <alignment horizontal="center" vertical="center"/>
    </xf>
    <xf borderId="140" fillId="11" fontId="3" numFmtId="165" xfId="0" applyAlignment="1" applyBorder="1" applyFont="1" applyNumberFormat="1">
      <alignment horizontal="center" vertical="center"/>
    </xf>
    <xf borderId="150" fillId="0" fontId="5" numFmtId="0" xfId="0" applyBorder="1" applyFont="1"/>
    <xf borderId="52" fillId="11" fontId="3" numFmtId="165" xfId="0" applyAlignment="1" applyBorder="1" applyFont="1" applyNumberFormat="1">
      <alignment horizontal="center" vertical="center"/>
    </xf>
    <xf borderId="52" fillId="14" fontId="7" numFmtId="165" xfId="0" applyAlignment="1" applyBorder="1" applyFont="1" applyNumberFormat="1">
      <alignment horizontal="center" vertical="center"/>
    </xf>
    <xf borderId="53" fillId="11" fontId="3" numFmtId="165" xfId="0" applyAlignment="1" applyBorder="1" applyFont="1" applyNumberFormat="1">
      <alignment vertical="center"/>
    </xf>
    <xf borderId="151" fillId="11" fontId="3" numFmtId="165" xfId="0" applyAlignment="1" applyBorder="1" applyFont="1" applyNumberFormat="1">
      <alignment vertical="center"/>
    </xf>
    <xf borderId="152" fillId="11" fontId="3" numFmtId="165" xfId="0" applyAlignment="1" applyBorder="1" applyFont="1" applyNumberFormat="1">
      <alignment horizontal="center" vertical="center"/>
    </xf>
    <xf borderId="153" fillId="0" fontId="5" numFmtId="0" xfId="0" applyBorder="1" applyFont="1"/>
    <xf borderId="152" fillId="0" fontId="3" numFmtId="165" xfId="0" applyAlignment="1" applyBorder="1" applyFont="1" applyNumberFormat="1">
      <alignment horizontal="center" vertical="center"/>
    </xf>
    <xf borderId="154" fillId="11" fontId="3" numFmtId="165" xfId="0" applyAlignment="1" applyBorder="1" applyFont="1" applyNumberFormat="1">
      <alignment horizontal="center" vertical="center"/>
    </xf>
    <xf borderId="155" fillId="0" fontId="3" numFmtId="164" xfId="0" applyAlignment="1" applyBorder="1" applyFont="1" applyNumberFormat="1">
      <alignment horizontal="center" vertical="center"/>
    </xf>
    <xf borderId="141" fillId="14" fontId="7" numFmtId="165" xfId="0" applyAlignment="1" applyBorder="1" applyFont="1" applyNumberFormat="1">
      <alignment horizontal="center" vertical="center"/>
    </xf>
    <xf borderId="144" fillId="11" fontId="3" numFmtId="165" xfId="0" applyAlignment="1" applyBorder="1" applyFont="1" applyNumberFormat="1">
      <alignment vertical="center"/>
    </xf>
    <xf borderId="156" fillId="11" fontId="3" numFmtId="165" xfId="0" applyAlignment="1" applyBorder="1" applyFont="1" applyNumberFormat="1">
      <alignment vertical="center"/>
    </xf>
    <xf borderId="157" fillId="11" fontId="3" numFmtId="165" xfId="0" applyAlignment="1" applyBorder="1" applyFont="1" applyNumberFormat="1">
      <alignment horizontal="center" vertical="center"/>
    </xf>
    <xf borderId="158" fillId="0" fontId="5" numFmtId="0" xfId="0" applyBorder="1" applyFont="1"/>
    <xf borderId="157" fillId="0" fontId="3" numFmtId="165" xfId="0" applyAlignment="1" applyBorder="1" applyFont="1" applyNumberFormat="1">
      <alignment horizontal="center" vertical="center"/>
    </xf>
    <xf borderId="159" fillId="0" fontId="5" numFmtId="0" xfId="0" applyBorder="1" applyFont="1"/>
    <xf borderId="141" fillId="11" fontId="3" numFmtId="165" xfId="0" applyAlignment="1" applyBorder="1" applyFont="1" applyNumberFormat="1">
      <alignment horizontal="center" vertical="center"/>
    </xf>
    <xf borderId="141" fillId="14" fontId="3" numFmtId="165" xfId="0" applyAlignment="1" applyBorder="1" applyFont="1" applyNumberFormat="1">
      <alignment horizontal="center" vertical="center"/>
    </xf>
    <xf borderId="144" fillId="11" fontId="3" numFmtId="165" xfId="0" applyAlignment="1" applyBorder="1" applyFont="1" applyNumberFormat="1">
      <alignment horizontal="center" vertical="center"/>
    </xf>
    <xf borderId="156" fillId="11" fontId="3" numFmtId="165" xfId="0" applyAlignment="1" applyBorder="1" applyFont="1" applyNumberFormat="1">
      <alignment horizontal="center" vertical="center"/>
    </xf>
    <xf borderId="160" fillId="11" fontId="3" numFmtId="165" xfId="0" applyAlignment="1" applyBorder="1" applyFont="1" applyNumberFormat="1">
      <alignment horizontal="center" vertical="center"/>
    </xf>
    <xf borderId="161" fillId="0" fontId="5" numFmtId="0" xfId="0" applyBorder="1" applyFont="1"/>
    <xf borderId="160" fillId="0" fontId="3" numFmtId="165" xfId="0" applyAlignment="1" applyBorder="1" applyFont="1" applyNumberFormat="1">
      <alignment horizontal="center" vertical="center"/>
    </xf>
    <xf borderId="162" fillId="0" fontId="3" numFmtId="0" xfId="0" applyAlignment="1" applyBorder="1" applyFont="1">
      <alignment horizontal="center"/>
    </xf>
    <xf borderId="163" fillId="11" fontId="3" numFmtId="165" xfId="0" applyAlignment="1" applyBorder="1" applyFont="1" applyNumberFormat="1">
      <alignment horizontal="center"/>
    </xf>
    <xf borderId="164" fillId="0" fontId="5" numFmtId="0" xfId="0" applyBorder="1" applyFont="1"/>
    <xf borderId="165" fillId="0" fontId="5" numFmtId="0" xfId="0" applyBorder="1" applyFont="1"/>
    <xf borderId="166" fillId="0" fontId="3" numFmtId="0" xfId="0" applyAlignment="1" applyBorder="1" applyFont="1">
      <alignment horizontal="center"/>
    </xf>
    <xf borderId="167" fillId="0" fontId="5" numFmtId="0" xfId="0" applyBorder="1" applyFont="1"/>
    <xf borderId="6" fillId="8" fontId="3" numFmtId="166" xfId="0" applyAlignment="1" applyBorder="1" applyFont="1" applyNumberFormat="1">
      <alignment horizontal="center" vertical="center"/>
    </xf>
    <xf borderId="162" fillId="0" fontId="3" numFmtId="165" xfId="0" applyAlignment="1" applyBorder="1" applyFont="1" applyNumberFormat="1">
      <alignment horizontal="center" vertical="center"/>
    </xf>
    <xf borderId="149" fillId="0" fontId="3" numFmtId="165" xfId="0" applyAlignment="1" applyBorder="1" applyFont="1" applyNumberFormat="1">
      <alignment horizontal="center" vertical="center"/>
    </xf>
    <xf borderId="78" fillId="11" fontId="3" numFmtId="165" xfId="0" applyAlignment="1" applyBorder="1" applyFont="1" applyNumberFormat="1">
      <alignment horizontal="center" vertical="center"/>
    </xf>
    <xf borderId="168" fillId="0" fontId="3" numFmtId="0" xfId="0" applyBorder="1" applyFont="1"/>
    <xf borderId="169" fillId="0" fontId="3" numFmtId="164" xfId="0" applyAlignment="1" applyBorder="1" applyFont="1" applyNumberFormat="1">
      <alignment horizontal="center" vertical="center"/>
    </xf>
    <xf borderId="47" fillId="0" fontId="5" numFmtId="0" xfId="0" applyBorder="1" applyFont="1"/>
    <xf borderId="170" fillId="0" fontId="3" numFmtId="0" xfId="0" applyBorder="1" applyFont="1"/>
    <xf borderId="171" fillId="0" fontId="3" numFmtId="164" xfId="0" applyAlignment="1" applyBorder="1" applyFont="1" applyNumberFormat="1">
      <alignment horizontal="center" vertical="center"/>
    </xf>
    <xf borderId="86" fillId="0" fontId="5" numFmtId="0" xfId="0" applyBorder="1" applyFont="1"/>
    <xf borderId="172" fillId="0" fontId="3" numFmtId="165" xfId="0" applyAlignment="1" applyBorder="1" applyFont="1" applyNumberFormat="1">
      <alignment horizontal="center" vertical="center"/>
    </xf>
    <xf borderId="145" fillId="0" fontId="5" numFmtId="0" xfId="0" applyBorder="1" applyFont="1"/>
    <xf borderId="120" fillId="0" fontId="3" numFmtId="164" xfId="0" applyAlignment="1" applyBorder="1" applyFont="1" applyNumberFormat="1">
      <alignment horizontal="center" vertical="center"/>
    </xf>
    <xf borderId="173" fillId="14" fontId="7" numFmtId="165" xfId="0" applyAlignment="1" applyBorder="1" applyFont="1" applyNumberFormat="1">
      <alignment horizontal="center" vertical="center"/>
    </xf>
    <xf borderId="174" fillId="11" fontId="3" numFmtId="165" xfId="0" applyAlignment="1" applyBorder="1" applyFont="1" applyNumberFormat="1">
      <alignment horizontal="center" vertical="center"/>
    </xf>
    <xf borderId="175" fillId="11" fontId="3" numFmtId="165" xfId="0" applyAlignment="1" applyBorder="1" applyFont="1" applyNumberFormat="1">
      <alignment horizontal="center" vertical="center"/>
    </xf>
    <xf borderId="176" fillId="0" fontId="3" numFmtId="165" xfId="0" applyAlignment="1" applyBorder="1" applyFont="1" applyNumberFormat="1">
      <alignment horizontal="center" vertical="center"/>
    </xf>
    <xf borderId="6" fillId="8" fontId="3" numFmtId="3" xfId="0" applyAlignment="1" applyBorder="1" applyFont="1" applyNumberFormat="1">
      <alignment horizontal="center" vertical="center"/>
    </xf>
    <xf borderId="177" fillId="0" fontId="3" numFmtId="165" xfId="0" applyAlignment="1" applyBorder="1" applyFont="1" applyNumberFormat="1">
      <alignment horizontal="center" vertical="center"/>
    </xf>
    <xf borderId="161" fillId="0" fontId="3" numFmtId="165" xfId="0" applyAlignment="1" applyBorder="1" applyFont="1" applyNumberFormat="1">
      <alignment horizontal="center" vertical="center"/>
    </xf>
    <xf borderId="6" fillId="8" fontId="3" numFmtId="165" xfId="0" applyAlignment="1" applyBorder="1" applyFont="1" applyNumberFormat="1">
      <alignment vertical="center"/>
    </xf>
    <xf borderId="178" fillId="0" fontId="3" numFmtId="165" xfId="0" applyAlignment="1" applyBorder="1" applyFont="1" applyNumberFormat="1">
      <alignment horizontal="center" vertical="center"/>
    </xf>
    <xf borderId="132" fillId="8" fontId="3" numFmtId="165" xfId="0" applyAlignment="1" applyBorder="1" applyFont="1" applyNumberFormat="1">
      <alignment vertical="center"/>
    </xf>
    <xf borderId="179" fillId="0" fontId="3" numFmtId="164" xfId="0" applyAlignment="1" applyBorder="1" applyFont="1" applyNumberFormat="1">
      <alignment horizontal="center" vertical="center"/>
    </xf>
    <xf borderId="93" fillId="0" fontId="3" numFmtId="165" xfId="0" applyAlignment="1" applyBorder="1" applyFont="1" applyNumberFormat="1">
      <alignment horizontal="center" vertical="center"/>
    </xf>
    <xf borderId="132" fillId="8" fontId="3" numFmtId="165" xfId="0" applyBorder="1" applyFont="1" applyNumberFormat="1"/>
    <xf borderId="179" fillId="0" fontId="3" numFmtId="0" xfId="0" applyAlignment="1" applyBorder="1" applyFont="1">
      <alignment horizontal="center"/>
    </xf>
    <xf borderId="100" fillId="0" fontId="3" numFmtId="0" xfId="0" applyAlignment="1" applyBorder="1" applyFont="1">
      <alignment horizontal="center"/>
    </xf>
    <xf borderId="100" fillId="0" fontId="3" numFmtId="165" xfId="0" applyAlignment="1" applyBorder="1" applyFont="1" applyNumberFormat="1">
      <alignment horizontal="center"/>
    </xf>
    <xf borderId="180" fillId="0" fontId="3" numFmtId="165" xfId="0" applyAlignment="1" applyBorder="1" applyFont="1" applyNumberFormat="1">
      <alignment horizontal="center"/>
    </xf>
    <xf borderId="127" fillId="0" fontId="3" numFmtId="0" xfId="0" applyAlignment="1" applyBorder="1" applyFont="1">
      <alignment horizontal="center"/>
    </xf>
    <xf borderId="181" fillId="0" fontId="5" numFmtId="0" xfId="0" applyBorder="1" applyFont="1"/>
    <xf borderId="88" fillId="0" fontId="3" numFmtId="0" xfId="0" applyAlignment="1" applyBorder="1" applyFont="1">
      <alignment horizontal="center"/>
    </xf>
    <xf borderId="88" fillId="0" fontId="3" numFmtId="165" xfId="0" applyAlignment="1" applyBorder="1" applyFont="1" applyNumberFormat="1">
      <alignment horizontal="center"/>
    </xf>
    <xf borderId="182" fillId="0" fontId="5" numFmtId="0" xfId="0" applyBorder="1" applyFont="1"/>
    <xf borderId="12" fillId="12" fontId="6" numFmtId="165" xfId="0" applyAlignment="1" applyBorder="1" applyFont="1" applyNumberFormat="1">
      <alignment horizontal="center" vertical="center"/>
    </xf>
    <xf borderId="115" fillId="12" fontId="6" numFmtId="165" xfId="0" applyAlignment="1" applyBorder="1" applyFont="1" applyNumberFormat="1">
      <alignment horizontal="center" vertical="center"/>
    </xf>
    <xf borderId="183" fillId="10" fontId="1" numFmtId="0" xfId="0" applyAlignment="1" applyBorder="1" applyFont="1">
      <alignment vertical="center"/>
    </xf>
    <xf borderId="184" fillId="3" fontId="4" numFmtId="0" xfId="0" applyAlignment="1" applyBorder="1" applyFont="1">
      <alignment horizontal="center" vertical="center"/>
    </xf>
    <xf borderId="185" fillId="0" fontId="5" numFmtId="0" xfId="0" applyBorder="1" applyFont="1"/>
    <xf borderId="186" fillId="3" fontId="4" numFmtId="0" xfId="0" applyAlignment="1" applyBorder="1" applyFont="1">
      <alignment horizontal="center" vertical="center"/>
    </xf>
    <xf borderId="187" fillId="0" fontId="5" numFmtId="0" xfId="0" applyBorder="1" applyFont="1"/>
    <xf borderId="188" fillId="5" fontId="3" numFmtId="0" xfId="0" applyAlignment="1" applyBorder="1" applyFont="1">
      <alignment horizontal="center" vertical="center"/>
    </xf>
    <xf borderId="114" fillId="5" fontId="3" numFmtId="0" xfId="0" applyAlignment="1" applyBorder="1" applyFont="1">
      <alignment horizontal="center" vertical="center"/>
    </xf>
    <xf borderId="189" fillId="5" fontId="3" numFmtId="0" xfId="0" applyAlignment="1" applyBorder="1" applyFont="1">
      <alignment horizontal="center" vertical="center"/>
    </xf>
    <xf borderId="77" fillId="6" fontId="3" numFmtId="165" xfId="0" applyAlignment="1" applyBorder="1" applyFont="1" applyNumberFormat="1">
      <alignment horizontal="center" vertical="center"/>
    </xf>
    <xf borderId="52" fillId="6" fontId="3" numFmtId="165" xfId="0" applyAlignment="1" applyBorder="1" applyFont="1" applyNumberFormat="1">
      <alignment horizontal="center" vertical="center"/>
    </xf>
    <xf borderId="190" fillId="0" fontId="3" numFmtId="165" xfId="0" applyAlignment="1" applyBorder="1" applyFont="1" applyNumberFormat="1">
      <alignment horizontal="center" vertical="center"/>
    </xf>
    <xf borderId="168" fillId="0" fontId="5" numFmtId="0" xfId="0" applyBorder="1" applyFont="1"/>
    <xf borderId="138" fillId="6" fontId="3" numFmtId="165" xfId="0" applyAlignment="1" applyBorder="1" applyFont="1" applyNumberFormat="1">
      <alignment horizontal="center" vertical="center"/>
    </xf>
    <xf borderId="55" fillId="0" fontId="3" numFmtId="0" xfId="0" applyBorder="1" applyFont="1"/>
    <xf borderId="23" fillId="6" fontId="3" numFmtId="165" xfId="0" applyAlignment="1" applyBorder="1" applyFont="1" applyNumberFormat="1">
      <alignment horizontal="center" vertical="center"/>
    </xf>
    <xf borderId="140" fillId="6" fontId="3" numFmtId="165" xfId="0" applyAlignment="1" applyBorder="1" applyFont="1" applyNumberFormat="1">
      <alignment horizontal="center" vertical="center"/>
    </xf>
    <xf borderId="141" fillId="6" fontId="3" numFmtId="165" xfId="0" applyAlignment="1" applyBorder="1" applyFont="1" applyNumberFormat="1">
      <alignment horizontal="center" vertical="center"/>
    </xf>
    <xf borderId="191" fillId="0" fontId="5" numFmtId="0" xfId="0" applyBorder="1" applyFont="1"/>
    <xf borderId="66" fillId="6" fontId="3" numFmtId="165" xfId="0" applyAlignment="1" applyBorder="1" applyFont="1" applyNumberFormat="1">
      <alignment horizontal="center" vertical="center"/>
    </xf>
    <xf borderId="192" fillId="0" fontId="3" numFmtId="0" xfId="0" applyBorder="1" applyFont="1"/>
    <xf borderId="193" fillId="6" fontId="3" numFmtId="165" xfId="0" applyAlignment="1" applyBorder="1" applyFont="1" applyNumberFormat="1">
      <alignment horizontal="center" vertical="center"/>
    </xf>
    <xf borderId="60" fillId="6" fontId="3" numFmtId="165" xfId="0" applyAlignment="1" applyBorder="1" applyFont="1" applyNumberFormat="1">
      <alignment horizontal="center" vertical="center"/>
    </xf>
    <xf borderId="78" fillId="0" fontId="3" numFmtId="164" xfId="0" applyAlignment="1" applyBorder="1" applyFont="1" applyNumberFormat="1">
      <alignment vertical="center"/>
    </xf>
    <xf borderId="78" fillId="10" fontId="3" numFmtId="164" xfId="0" applyAlignment="1" applyBorder="1" applyFont="1" applyNumberFormat="1">
      <alignment horizontal="center" vertical="center"/>
    </xf>
    <xf borderId="194" fillId="11" fontId="3" numFmtId="165" xfId="0" applyAlignment="1" applyBorder="1" applyFont="1" applyNumberFormat="1">
      <alignment horizontal="center" vertical="center"/>
    </xf>
    <xf borderId="195" fillId="0" fontId="5" numFmtId="0" xfId="0" applyBorder="1" applyFont="1"/>
    <xf borderId="120" fillId="11" fontId="3" numFmtId="165" xfId="0" applyAlignment="1" applyBorder="1" applyFont="1" applyNumberFormat="1">
      <alignment horizontal="center" vertical="center"/>
    </xf>
    <xf borderId="143" fillId="11" fontId="3" numFmtId="165" xfId="0" applyAlignment="1" applyBorder="1" applyFont="1" applyNumberFormat="1">
      <alignment horizontal="center" vertical="center"/>
    </xf>
    <xf borderId="196" fillId="0" fontId="3" numFmtId="0" xfId="0" applyAlignment="1" applyBorder="1" applyFont="1">
      <alignment horizontal="center"/>
    </xf>
    <xf borderId="197" fillId="0" fontId="5" numFmtId="0" xfId="0" applyBorder="1" applyFont="1"/>
    <xf borderId="198" fillId="0" fontId="3" numFmtId="0" xfId="0" applyBorder="1" applyFont="1"/>
    <xf borderId="199" fillId="11" fontId="3" numFmtId="165" xfId="0" applyAlignment="1" applyBorder="1" applyFont="1" applyNumberFormat="1">
      <alignment horizontal="center"/>
    </xf>
    <xf borderId="200" fillId="0" fontId="5" numFmtId="0" xfId="0" applyBorder="1" applyFont="1"/>
    <xf borderId="201" fillId="0" fontId="5" numFmtId="0" xfId="0" applyBorder="1" applyFont="1"/>
    <xf borderId="202" fillId="0" fontId="5" numFmtId="0" xfId="0" applyBorder="1" applyFont="1"/>
    <xf borderId="203" fillId="0" fontId="3" numFmtId="164" xfId="0" applyAlignment="1" applyBorder="1" applyFont="1" applyNumberFormat="1">
      <alignment vertical="center"/>
    </xf>
    <xf borderId="173" fillId="11" fontId="3" numFmtId="165" xfId="0" applyAlignment="1" applyBorder="1" applyFont="1" applyNumberFormat="1">
      <alignment horizontal="center" vertical="center"/>
    </xf>
    <xf borderId="143" fillId="0" fontId="3" numFmtId="164" xfId="0" applyAlignment="1" applyBorder="1" applyFont="1" applyNumberFormat="1">
      <alignment vertical="center"/>
    </xf>
    <xf borderId="191" fillId="0" fontId="3" numFmtId="0" xfId="0" applyBorder="1" applyFont="1"/>
    <xf borderId="143" fillId="0" fontId="3" numFmtId="164" xfId="0" applyAlignment="1" applyBorder="1" applyFont="1" applyNumberFormat="1">
      <alignment horizontal="center" vertical="center"/>
    </xf>
    <xf borderId="204" fillId="0" fontId="3" numFmtId="164" xfId="0" applyAlignment="1" applyBorder="1" applyFont="1" applyNumberFormat="1">
      <alignment horizontal="center" vertical="center"/>
    </xf>
    <xf borderId="205" fillId="0" fontId="3" numFmtId="164" xfId="0" applyAlignment="1" applyBorder="1" applyFont="1" applyNumberFormat="1">
      <alignment horizontal="center" vertical="center"/>
    </xf>
    <xf borderId="206" fillId="0" fontId="3" numFmtId="0" xfId="0" applyAlignment="1" applyBorder="1" applyFont="1">
      <alignment horizontal="center"/>
    </xf>
    <xf borderId="107" fillId="0" fontId="5" numFmtId="0" xfId="0" applyBorder="1" applyFont="1"/>
    <xf borderId="207" fillId="0" fontId="3" numFmtId="0" xfId="0" applyAlignment="1" applyBorder="1" applyFont="1">
      <alignment horizontal="center"/>
    </xf>
    <xf borderId="208" fillId="0" fontId="5" numFmtId="0" xfId="0" applyBorder="1" applyFont="1"/>
    <xf borderId="207" fillId="0" fontId="3" numFmtId="165" xfId="0" applyAlignment="1" applyBorder="1" applyFont="1" applyNumberFormat="1">
      <alignment horizontal="center"/>
    </xf>
    <xf borderId="209" fillId="0" fontId="5" numFmtId="0" xfId="0" applyBorder="1" applyFont="1"/>
    <xf borderId="210" fillId="11" fontId="3" numFmtId="165" xfId="0" applyAlignment="1" applyBorder="1" applyFont="1" applyNumberFormat="1">
      <alignment horizontal="center"/>
    </xf>
    <xf borderId="108" fillId="0" fontId="5" numFmtId="0" xfId="0" applyBorder="1" applyFont="1"/>
    <xf borderId="211" fillId="12" fontId="6" numFmtId="165" xfId="0" applyAlignment="1" applyBorder="1" applyFont="1" applyNumberFormat="1">
      <alignment horizontal="center" vertical="center"/>
    </xf>
    <xf borderId="212" fillId="0" fontId="5" numFmtId="0" xfId="0" applyBorder="1" applyFont="1"/>
    <xf borderId="213" fillId="12" fontId="6" numFmtId="165" xfId="0" applyAlignment="1" applyBorder="1" applyFont="1" applyNumberFormat="1">
      <alignment horizontal="center" vertical="center"/>
    </xf>
    <xf borderId="214" fillId="0" fontId="5" numFmtId="0" xfId="0" applyBorder="1" applyFont="1"/>
    <xf borderId="215" fillId="0" fontId="3" numFmtId="165" xfId="0" applyAlignment="1" applyBorder="1" applyFont="1" applyNumberFormat="1">
      <alignment horizontal="center" vertical="center"/>
    </xf>
    <xf borderId="215" fillId="0" fontId="5" numFmtId="0" xfId="0" applyBorder="1" applyFont="1"/>
    <xf borderId="215" fillId="0" fontId="7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9" numFmtId="169" xfId="0" applyAlignment="1" applyFont="1" applyNumberFormat="1">
      <alignment horizontal="center"/>
    </xf>
    <xf borderId="6" fillId="11" fontId="11" numFmtId="0" xfId="0" applyBorder="1" applyFont="1"/>
    <xf borderId="7" fillId="11" fontId="11" numFmtId="0" xfId="0" applyBorder="1" applyFont="1"/>
    <xf borderId="109" fillId="11" fontId="11" numFmtId="0" xfId="0" applyBorder="1" applyFont="1"/>
    <xf borderId="132" fillId="6" fontId="11" numFmtId="0" xfId="0" applyBorder="1" applyFont="1"/>
    <xf borderId="97" fillId="0" fontId="0" numFmtId="3" xfId="0" applyAlignment="1" applyBorder="1" applyFont="1" applyNumberFormat="1">
      <alignment horizontal="left"/>
    </xf>
    <xf borderId="102" fillId="0" fontId="0" numFmtId="3" xfId="0" applyAlignment="1" applyBorder="1" applyFont="1" applyNumberFormat="1">
      <alignment horizontal="left"/>
    </xf>
    <xf borderId="133" fillId="0" fontId="0" numFmtId="9" xfId="0" applyAlignment="1" applyBorder="1" applyFont="1" applyNumberFormat="1">
      <alignment horizontal="left"/>
    </xf>
    <xf borderId="22" fillId="6" fontId="11" numFmtId="0" xfId="0" applyBorder="1" applyFont="1"/>
    <xf borderId="13" fillId="0" fontId="0" numFmtId="3" xfId="0" applyAlignment="1" applyBorder="1" applyFont="1" applyNumberFormat="1">
      <alignment horizontal="left"/>
    </xf>
    <xf borderId="0" fillId="0" fontId="0" numFmtId="3" xfId="0" applyAlignment="1" applyFont="1" applyNumberFormat="1">
      <alignment horizontal="left"/>
    </xf>
    <xf borderId="137" fillId="0" fontId="0" numFmtId="9" xfId="0" applyAlignment="1" applyBorder="1" applyFont="1" applyNumberFormat="1">
      <alignment horizontal="left"/>
    </xf>
    <xf borderId="104" fillId="6" fontId="11" numFmtId="0" xfId="0" applyBorder="1" applyFont="1"/>
    <xf borderId="216" fillId="0" fontId="0" numFmtId="3" xfId="0" applyAlignment="1" applyBorder="1" applyFont="1" applyNumberFormat="1">
      <alignment horizontal="left"/>
    </xf>
    <xf borderId="217" fillId="0" fontId="0" numFmtId="3" xfId="0" applyAlignment="1" applyBorder="1" applyFont="1" applyNumberFormat="1">
      <alignment horizontal="left"/>
    </xf>
    <xf borderId="218" fillId="0" fontId="0" numFmtId="9" xfId="0" applyAlignment="1" applyBorder="1" applyFont="1" applyNumberFormat="1">
      <alignment horizontal="left"/>
    </xf>
    <xf borderId="219" fillId="20" fontId="25" numFmtId="0" xfId="0" applyBorder="1" applyFill="1" applyFont="1"/>
    <xf borderId="220" fillId="20" fontId="25" numFmtId="0" xfId="0" applyBorder="1" applyFont="1"/>
    <xf borderId="221" fillId="0" fontId="11" numFmtId="0" xfId="0" applyBorder="1" applyFont="1"/>
    <xf borderId="222" fillId="0" fontId="0" numFmtId="167" xfId="0" applyBorder="1" applyFont="1" applyNumberFormat="1"/>
    <xf borderId="0" fillId="0" fontId="0" numFmtId="9" xfId="0" applyFont="1" applyNumberFormat="1"/>
    <xf borderId="0" fillId="0" fontId="0" numFmtId="167" xfId="0" applyFont="1" applyNumberFormat="1"/>
    <xf borderId="223" fillId="0" fontId="11" numFmtId="0" xfId="0" applyBorder="1" applyFont="1"/>
    <xf borderId="224" fillId="0" fontId="0" numFmtId="167" xfId="0" applyBorder="1" applyFont="1" applyNumberFormat="1"/>
    <xf borderId="114" fillId="20" fontId="25" numFmtId="0" xfId="0" applyBorder="1" applyFont="1"/>
    <xf borderId="0" fillId="0" fontId="11" numFmtId="0" xfId="0" applyFont="1"/>
    <xf borderId="0" fillId="21" fontId="26" numFmtId="0" xfId="0" applyAlignment="1" applyFill="1" applyFont="1">
      <alignment horizontal="center" vertical="bottom"/>
    </xf>
    <xf borderId="1" fillId="22" fontId="26" numFmtId="0" xfId="0" applyAlignment="1" applyBorder="1" applyFill="1" applyFont="1">
      <alignment horizontal="center" vertical="bottom"/>
    </xf>
    <xf borderId="1" fillId="21" fontId="26" numFmtId="0" xfId="0" applyAlignment="1" applyBorder="1" applyFont="1">
      <alignment horizontal="center" vertical="bottom"/>
    </xf>
    <xf borderId="1" fillId="23" fontId="26" numFmtId="0" xfId="0" applyAlignment="1" applyBorder="1" applyFill="1" applyFont="1">
      <alignment horizontal="center" vertical="bottom"/>
    </xf>
    <xf borderId="1" fillId="20" fontId="26" numFmtId="0" xfId="0" applyAlignment="1" applyBorder="1" applyFont="1">
      <alignment horizontal="center" vertical="bottom"/>
    </xf>
    <xf borderId="1" fillId="2" fontId="26" numFmtId="0" xfId="0" applyAlignment="1" applyBorder="1" applyFont="1">
      <alignment horizontal="center" vertical="bottom"/>
    </xf>
    <xf borderId="1" fillId="24" fontId="27" numFmtId="0" xfId="0" applyAlignment="1" applyBorder="1" applyFill="1" applyFont="1">
      <alignment horizontal="center" vertical="bottom"/>
    </xf>
    <xf borderId="1" fillId="24" fontId="28" numFmtId="0" xfId="0" applyAlignment="1" applyBorder="1" applyFont="1">
      <alignment horizontal="center" vertical="bottom"/>
    </xf>
    <xf borderId="1" fillId="25" fontId="27" numFmtId="172" xfId="0" applyAlignment="1" applyBorder="1" applyFill="1" applyFont="1" applyNumberFormat="1">
      <alignment horizontal="center" vertical="bottom"/>
    </xf>
    <xf borderId="1" fillId="25" fontId="27" numFmtId="3" xfId="0" applyAlignment="1" applyBorder="1" applyFont="1" applyNumberFormat="1">
      <alignment horizontal="center" vertical="bottom"/>
    </xf>
    <xf borderId="1" fillId="24" fontId="27" numFmtId="166" xfId="0" applyAlignment="1" applyBorder="1" applyFont="1" applyNumberFormat="1">
      <alignment horizontal="center" vertical="bottom"/>
    </xf>
    <xf borderId="1" fillId="24" fontId="27" numFmtId="3" xfId="0" applyAlignment="1" applyBorder="1" applyFont="1" applyNumberFormat="1">
      <alignment horizontal="center" vertical="bottom"/>
    </xf>
    <xf borderId="1" fillId="25" fontId="29" numFmtId="0" xfId="0" applyAlignment="1" applyBorder="1" applyFont="1">
      <alignment horizontal="center" vertical="bottom"/>
    </xf>
    <xf borderId="1" fillId="24" fontId="27" numFmtId="0" xfId="0" applyAlignment="1" applyBorder="1" applyFont="1">
      <alignment horizontal="center" shrinkToFit="0" vertical="bottom" wrapText="0"/>
    </xf>
    <xf borderId="1" fillId="0" fontId="27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center" vertical="bottom"/>
    </xf>
    <xf borderId="1" fillId="0" fontId="27" numFmtId="166" xfId="0" applyAlignment="1" applyBorder="1" applyFont="1" applyNumberFormat="1">
      <alignment horizontal="center" vertical="bottom"/>
    </xf>
    <xf borderId="1" fillId="0" fontId="27" numFmtId="3" xfId="0" applyAlignment="1" applyBorder="1" applyFont="1" applyNumberFormat="1">
      <alignment horizontal="center" vertical="bottom"/>
    </xf>
    <xf borderId="11" fillId="26" fontId="3" numFmtId="165" xfId="0" applyAlignment="1" applyBorder="1" applyFill="1" applyFont="1" applyNumberFormat="1">
      <alignment horizontal="center" vertical="center"/>
    </xf>
    <xf borderId="11" fillId="26" fontId="3" numFmtId="0" xfId="0" applyAlignment="1" applyBorder="1" applyFont="1">
      <alignment horizontal="center" vertical="center"/>
    </xf>
    <xf borderId="11" fillId="27" fontId="3" numFmtId="165" xfId="0" applyAlignment="1" applyBorder="1" applyFill="1" applyFont="1" applyNumberFormat="1">
      <alignment horizontal="center" vertical="center"/>
    </xf>
    <xf borderId="11" fillId="27" fontId="6" numFmtId="0" xfId="0" applyAlignment="1" applyBorder="1" applyFont="1">
      <alignment horizontal="center" vertical="center"/>
    </xf>
    <xf borderId="11" fillId="28" fontId="3" numFmtId="165" xfId="0" applyAlignment="1" applyBorder="1" applyFill="1" applyFont="1" applyNumberFormat="1">
      <alignment horizontal="center" vertical="center"/>
    </xf>
    <xf borderId="11" fillId="28" fontId="3" numFmtId="0" xfId="0" applyAlignment="1" applyBorder="1" applyFont="1">
      <alignment horizontal="center" vertical="center"/>
    </xf>
    <xf borderId="0" fillId="0" fontId="30" numFmtId="165" xfId="0" applyFont="1" applyNumberFormat="1"/>
    <xf borderId="11" fillId="29" fontId="3" numFmtId="165" xfId="0" applyAlignment="1" applyBorder="1" applyFill="1" applyFont="1" applyNumberFormat="1">
      <alignment horizontal="center" vertical="center"/>
    </xf>
    <xf borderId="11" fillId="29" fontId="6" numFmtId="0" xfId="0" applyAlignment="1" applyBorder="1" applyFont="1">
      <alignment horizontal="center" vertical="center"/>
    </xf>
    <xf borderId="11" fillId="25" fontId="3" numFmtId="165" xfId="0" applyAlignment="1" applyBorder="1" applyFont="1" applyNumberFormat="1">
      <alignment horizontal="center" vertical="center"/>
    </xf>
    <xf borderId="11" fillId="25" fontId="3" numFmtId="0" xfId="0" applyAlignment="1" applyBorder="1" applyFont="1">
      <alignment horizontal="center" vertical="center"/>
    </xf>
    <xf borderId="11" fillId="30" fontId="3" numFmtId="165" xfId="0" applyAlignment="1" applyBorder="1" applyFill="1" applyFont="1" applyNumberFormat="1">
      <alignment horizontal="center" vertical="center"/>
    </xf>
    <xf borderId="11" fillId="30" fontId="6" numFmtId="0" xfId="0" applyAlignment="1" applyBorder="1" applyFont="1">
      <alignment horizontal="center" vertical="center"/>
    </xf>
    <xf borderId="11" fillId="31" fontId="3" numFmtId="165" xfId="0" applyAlignment="1" applyBorder="1" applyFill="1" applyFont="1" applyNumberFormat="1">
      <alignment horizontal="center" vertical="center"/>
    </xf>
    <xf borderId="11" fillId="31" fontId="6" numFmtId="0" xfId="0" applyAlignment="1" applyBorder="1" applyFont="1">
      <alignment horizontal="center" vertical="center"/>
    </xf>
    <xf borderId="11" fillId="26" fontId="3" numFmtId="165" xfId="0" applyAlignment="1" applyBorder="1" applyFont="1" applyNumberFormat="1">
      <alignment vertical="center"/>
    </xf>
    <xf borderId="11" fillId="32" fontId="7" numFmtId="165" xfId="0" applyAlignment="1" applyBorder="1" applyFill="1" applyFont="1" applyNumberFormat="1">
      <alignment horizontal="left" vertical="center"/>
    </xf>
    <xf borderId="11" fillId="32" fontId="7" numFmtId="0" xfId="0" applyAlignment="1" applyBorder="1" applyFont="1">
      <alignment horizontal="center"/>
    </xf>
    <xf borderId="11" fillId="31" fontId="3" numFmtId="0" xfId="0" applyAlignment="1" applyBorder="1" applyFont="1">
      <alignment horizontal="center" vertical="center"/>
    </xf>
    <xf borderId="11" fillId="26" fontId="3" numFmtId="165" xfId="0" applyAlignment="1" applyBorder="1" applyFont="1" applyNumberFormat="1">
      <alignment horizontal="left" vertical="center"/>
    </xf>
    <xf borderId="11" fillId="31" fontId="3" numFmtId="165" xfId="0" applyAlignment="1" applyBorder="1" applyFont="1" applyNumberFormat="1">
      <alignment horizontal="left" vertical="center"/>
    </xf>
    <xf borderId="217" fillId="0" fontId="30" numFmtId="0" xfId="0" applyBorder="1" applyFont="1"/>
    <xf borderId="217" fillId="0" fontId="5" numFmtId="0" xfId="0" applyBorder="1" applyFont="1"/>
    <xf borderId="218" fillId="0" fontId="5" numFmtId="0" xfId="0" applyBorder="1" applyFont="1"/>
    <xf borderId="1" fillId="25" fontId="27" numFmtId="0" xfId="0" applyAlignment="1" applyBorder="1" applyFont="1">
      <alignment horizontal="center" vertical="bottom"/>
    </xf>
    <xf borderId="1" fillId="33" fontId="27" numFmtId="166" xfId="0" applyAlignment="1" applyBorder="1" applyFill="1" applyFont="1" applyNumberFormat="1">
      <alignment horizontal="center" vertical="bottom"/>
    </xf>
    <xf borderId="0" fillId="24" fontId="27" numFmtId="0" xfId="0" applyAlignment="1" applyFont="1">
      <alignment horizontal="center"/>
    </xf>
    <xf borderId="1" fillId="26" fontId="27" numFmtId="0" xfId="0" applyAlignment="1" applyBorder="1" applyFont="1">
      <alignment horizontal="center" vertical="bottom"/>
    </xf>
    <xf borderId="0" fillId="0" fontId="31" numFmtId="0" xfId="0" applyAlignment="1" applyFont="1">
      <alignment horizontal="center"/>
    </xf>
    <xf borderId="114" fillId="24" fontId="32" numFmtId="0" xfId="0" applyBorder="1" applyFont="1"/>
    <xf borderId="114" fillId="7" fontId="32" numFmtId="0" xfId="0" applyBorder="1" applyFont="1"/>
    <xf borderId="114" fillId="7" fontId="33" numFmtId="0" xfId="0" applyBorder="1" applyFont="1"/>
    <xf borderId="114" fillId="7" fontId="34" numFmtId="0" xfId="0" applyBorder="1" applyFont="1"/>
    <xf borderId="114" fillId="7" fontId="35" numFmtId="0" xfId="0" applyBorder="1" applyFont="1"/>
    <xf borderId="114" fillId="7" fontId="36" numFmtId="173" xfId="0" applyAlignment="1" applyBorder="1" applyFont="1" applyNumberFormat="1">
      <alignment horizontal="left"/>
    </xf>
    <xf borderId="114" fillId="7" fontId="37" numFmtId="0" xfId="0" applyBorder="1" applyFont="1"/>
    <xf borderId="114" fillId="7" fontId="36" numFmtId="0" xfId="0" applyAlignment="1" applyBorder="1" applyFont="1">
      <alignment horizontal="left"/>
    </xf>
    <xf borderId="225" fillId="5" fontId="38" numFmtId="0" xfId="0" applyAlignment="1" applyBorder="1" applyFont="1">
      <alignment horizontal="center" shrinkToFit="0" vertical="center" wrapText="1"/>
    </xf>
    <xf borderId="226" fillId="11" fontId="38" numFmtId="174" xfId="0" applyAlignment="1" applyBorder="1" applyFont="1" applyNumberFormat="1">
      <alignment horizontal="center" vertical="center"/>
    </xf>
    <xf borderId="114" fillId="33" fontId="33" numFmtId="0" xfId="0" applyAlignment="1" applyBorder="1" applyFont="1">
      <alignment horizontal="center"/>
    </xf>
    <xf borderId="227" fillId="7" fontId="38" numFmtId="0" xfId="0" applyAlignment="1" applyBorder="1" applyFont="1">
      <alignment horizontal="center" shrinkToFit="0" vertical="center" wrapText="1"/>
    </xf>
    <xf borderId="227" fillId="7" fontId="35" numFmtId="49" xfId="0" applyAlignment="1" applyBorder="1" applyFont="1" applyNumberFormat="1">
      <alignment horizontal="center" shrinkToFit="0" vertical="center" wrapText="1"/>
    </xf>
    <xf borderId="227" fillId="7" fontId="32" numFmtId="0" xfId="0" applyAlignment="1" applyBorder="1" applyFont="1">
      <alignment horizontal="center" shrinkToFit="0" vertical="center" wrapText="1"/>
    </xf>
    <xf borderId="227" fillId="7" fontId="32" numFmtId="37" xfId="0" applyAlignment="1" applyBorder="1" applyFont="1" applyNumberFormat="1">
      <alignment horizontal="center" vertical="center"/>
    </xf>
    <xf borderId="227" fillId="7" fontId="32" numFmtId="9" xfId="0" applyAlignment="1" applyBorder="1" applyFont="1" applyNumberFormat="1">
      <alignment horizontal="center" vertical="center"/>
    </xf>
    <xf borderId="225" fillId="7" fontId="38" numFmtId="0" xfId="0" applyAlignment="1" applyBorder="1" applyFont="1">
      <alignment horizontal="center" vertical="center"/>
    </xf>
    <xf borderId="225" fillId="7" fontId="39" numFmtId="3" xfId="0" applyAlignment="1" applyBorder="1" applyFont="1" applyNumberFormat="1">
      <alignment horizontal="center" vertical="center"/>
    </xf>
    <xf borderId="225" fillId="7" fontId="32" numFmtId="10" xfId="0" applyAlignment="1" applyBorder="1" applyFont="1" applyNumberFormat="1">
      <alignment horizontal="center" vertical="center"/>
    </xf>
    <xf borderId="225" fillId="7" fontId="32" numFmtId="37" xfId="0" applyAlignment="1" applyBorder="1" applyFont="1" applyNumberFormat="1">
      <alignment horizontal="center" vertical="center"/>
    </xf>
    <xf borderId="225" fillId="7" fontId="32" numFmtId="0" xfId="0" applyAlignment="1" applyBorder="1" applyFont="1">
      <alignment horizontal="center" vertical="center"/>
    </xf>
    <xf borderId="225" fillId="7" fontId="32" numFmtId="9" xfId="0" applyAlignment="1" applyBorder="1" applyFont="1" applyNumberFormat="1">
      <alignment horizontal="center" vertical="center"/>
    </xf>
    <xf borderId="225" fillId="7" fontId="32" numFmtId="3" xfId="0" applyAlignment="1" applyBorder="1" applyFont="1" applyNumberFormat="1">
      <alignment horizontal="center" vertical="center"/>
    </xf>
    <xf borderId="225" fillId="7" fontId="32" numFmtId="175" xfId="0" applyAlignment="1" applyBorder="1" applyFont="1" applyNumberFormat="1">
      <alignment horizontal="center" vertical="center"/>
    </xf>
    <xf borderId="225" fillId="6" fontId="32" numFmtId="174" xfId="0" applyAlignment="1" applyBorder="1" applyFont="1" applyNumberFormat="1">
      <alignment horizontal="center" vertical="center"/>
    </xf>
    <xf borderId="225" fillId="7" fontId="32" numFmtId="174" xfId="0" applyAlignment="1" applyBorder="1" applyFont="1" applyNumberFormat="1">
      <alignment horizontal="center" vertical="center"/>
    </xf>
    <xf borderId="225" fillId="11" fontId="32" numFmtId="9" xfId="0" applyAlignment="1" applyBorder="1" applyFont="1" applyNumberFormat="1">
      <alignment horizontal="center" vertical="center"/>
    </xf>
    <xf borderId="0" fillId="0" fontId="0" numFmtId="175" xfId="0" applyFont="1" applyNumberFormat="1"/>
    <xf borderId="0" fillId="0" fontId="0" numFmtId="174" xfId="0" applyFont="1" applyNumberFormat="1"/>
    <xf borderId="228" fillId="0" fontId="5" numFmtId="0" xfId="0" applyBorder="1" applyFont="1"/>
    <xf borderId="225" fillId="7" fontId="32" numFmtId="0" xfId="0" applyAlignment="1" applyBorder="1" applyFont="1">
      <alignment horizontal="center" shrinkToFit="0" vertical="center" wrapText="1"/>
    </xf>
    <xf borderId="225" fillId="7" fontId="38" numFmtId="0" xfId="0" applyAlignment="1" applyBorder="1" applyFont="1">
      <alignment horizontal="center" shrinkToFit="0" vertical="center" wrapText="1"/>
    </xf>
    <xf borderId="229" fillId="0" fontId="5" numFmtId="0" xfId="0" applyBorder="1" applyFont="1"/>
    <xf borderId="114" fillId="24" fontId="32" numFmtId="0" xfId="0" applyAlignment="1" applyBorder="1" applyFont="1">
      <alignment vertical="center"/>
    </xf>
    <xf borderId="226" fillId="11" fontId="38" numFmtId="3" xfId="0" applyAlignment="1" applyBorder="1" applyFont="1" applyNumberFormat="1">
      <alignment horizontal="center" vertical="center"/>
    </xf>
    <xf borderId="226" fillId="11" fontId="32" numFmtId="9" xfId="0" applyAlignment="1" applyBorder="1" applyFont="1" applyNumberFormat="1">
      <alignment horizontal="center" vertical="center"/>
    </xf>
    <xf borderId="114" fillId="24" fontId="8" numFmtId="0" xfId="0" applyBorder="1" applyFont="1"/>
    <xf borderId="130" fillId="24" fontId="38" numFmtId="0" xfId="0" applyBorder="1" applyFont="1"/>
    <xf borderId="0" fillId="0" fontId="0" numFmtId="9" xfId="0" applyAlignment="1" applyFont="1" applyNumberFormat="1">
      <alignment horizontal="center"/>
    </xf>
    <xf borderId="130" fillId="24" fontId="32" numFmtId="0" xfId="0" applyBorder="1" applyFont="1"/>
    <xf borderId="130" fillId="24" fontId="40" numFmtId="0" xfId="0" applyAlignment="1" applyBorder="1" applyFont="1">
      <alignment vertical="top"/>
    </xf>
    <xf borderId="114" fillId="24" fontId="41" numFmtId="0" xfId="0" applyBorder="1" applyFont="1"/>
    <xf borderId="0" fillId="0" fontId="42" numFmtId="0" xfId="0" applyFont="1"/>
    <xf borderId="0" fillId="0" fontId="0" numFmtId="176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85725</xdr:rowOff>
    </xdr:from>
    <xdr:ext cx="733425" cy="733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19050</xdr:rowOff>
    </xdr:from>
    <xdr:ext cx="1438275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85725</xdr:rowOff>
    </xdr:from>
    <xdr:ext cx="733425" cy="733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85725</xdr:rowOff>
    </xdr:from>
    <xdr:ext cx="733425" cy="733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85725</xdr:rowOff>
    </xdr:from>
    <xdr:ext cx="733425" cy="733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mailto:vitor.manzi@verizonmedia.com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5.29"/>
    <col customWidth="1" min="3" max="3" width="17.71"/>
    <col customWidth="1" min="4" max="4" width="16.14"/>
    <col customWidth="1" min="5" max="5" width="14.43"/>
    <col customWidth="1" min="6" max="6" width="15.43"/>
    <col customWidth="1" min="7" max="7" width="23.43"/>
    <col customWidth="1" min="8" max="8" width="21.43"/>
    <col customWidth="1" min="9" max="9" width="16.29"/>
    <col customWidth="1" min="10" max="10" width="17.43"/>
    <col customWidth="1" min="11" max="12" width="14.43"/>
    <col customWidth="1" hidden="1" min="13" max="14" width="14.43"/>
    <col customWidth="1" hidden="1" min="15" max="15" width="17.0"/>
    <col customWidth="1" min="16" max="16" width="17.0"/>
    <col customWidth="1" min="17" max="32" width="6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" t="s">
        <v>0</v>
      </c>
      <c r="C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" t="s">
        <v>2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" t="s">
        <v>4</v>
      </c>
      <c r="C6" s="4">
        <f>F56</f>
        <v>2319400.34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 t="s">
        <v>5</v>
      </c>
      <c r="R8" s="7"/>
      <c r="S8" s="7"/>
      <c r="T8" s="7"/>
      <c r="U8" s="8" t="s">
        <v>6</v>
      </c>
      <c r="V8" s="7"/>
      <c r="W8" s="7"/>
      <c r="X8" s="7"/>
      <c r="Y8" s="8" t="s">
        <v>7</v>
      </c>
      <c r="Z8" s="7"/>
      <c r="AA8" s="7"/>
      <c r="AB8" s="7"/>
      <c r="AC8" s="8" t="s">
        <v>8</v>
      </c>
      <c r="AD8" s="7"/>
      <c r="AE8" s="7"/>
      <c r="AF8" s="9"/>
    </row>
    <row r="9">
      <c r="A9" s="1"/>
      <c r="B9" s="10" t="s">
        <v>9</v>
      </c>
      <c r="C9" s="11" t="s">
        <v>10</v>
      </c>
      <c r="D9" s="11" t="s">
        <v>4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11</v>
      </c>
      <c r="J9" s="11" t="s">
        <v>15</v>
      </c>
      <c r="K9" s="11" t="s">
        <v>16</v>
      </c>
      <c r="L9" s="11" t="s">
        <v>17</v>
      </c>
      <c r="M9" s="11" t="s">
        <v>18</v>
      </c>
      <c r="N9" s="11" t="s">
        <v>19</v>
      </c>
      <c r="O9" s="11" t="s">
        <v>20</v>
      </c>
      <c r="P9" s="10"/>
      <c r="Q9" s="12" t="s">
        <v>21</v>
      </c>
      <c r="R9" s="13" t="s">
        <v>22</v>
      </c>
      <c r="S9" s="13" t="s">
        <v>23</v>
      </c>
      <c r="T9" s="13" t="s">
        <v>24</v>
      </c>
      <c r="U9" s="13" t="s">
        <v>21</v>
      </c>
      <c r="V9" s="13" t="s">
        <v>22</v>
      </c>
      <c r="W9" s="13" t="s">
        <v>23</v>
      </c>
      <c r="X9" s="13" t="s">
        <v>24</v>
      </c>
      <c r="Y9" s="13" t="s">
        <v>21</v>
      </c>
      <c r="Z9" s="13" t="s">
        <v>22</v>
      </c>
      <c r="AA9" s="13" t="s">
        <v>23</v>
      </c>
      <c r="AB9" s="13" t="s">
        <v>24</v>
      </c>
      <c r="AC9" s="13" t="s">
        <v>21</v>
      </c>
      <c r="AD9" s="13" t="s">
        <v>22</v>
      </c>
      <c r="AE9" s="13" t="s">
        <v>23</v>
      </c>
      <c r="AF9" s="14" t="s">
        <v>24</v>
      </c>
    </row>
    <row r="10" ht="15.75" customHeight="1">
      <c r="A10" s="1"/>
      <c r="B10" s="15" t="s">
        <v>25</v>
      </c>
      <c r="C10" s="16">
        <f>D10/C6</f>
        <v>0.7041554284</v>
      </c>
      <c r="D10" s="17">
        <f>SUM(F10:F22)</f>
        <v>1633218.34</v>
      </c>
      <c r="E10" s="18" t="s">
        <v>26</v>
      </c>
      <c r="F10" s="19">
        <f>SUM(Q10,U10,Y10,AC10)</f>
        <v>310718.34</v>
      </c>
      <c r="G10" s="20" t="s">
        <v>27</v>
      </c>
      <c r="H10" s="20" t="s">
        <v>28</v>
      </c>
      <c r="I10" s="20" t="s">
        <v>20</v>
      </c>
      <c r="J10" s="4">
        <v>0.0</v>
      </c>
      <c r="K10" s="4">
        <v>0.0</v>
      </c>
      <c r="L10" s="4">
        <v>2.0</v>
      </c>
      <c r="M10" s="21" t="s">
        <v>29</v>
      </c>
      <c r="N10" s="22" t="s">
        <v>29</v>
      </c>
      <c r="O10" s="23">
        <v>1.3E8</v>
      </c>
      <c r="P10" s="24"/>
      <c r="Q10" s="25">
        <v>107032.67</v>
      </c>
      <c r="R10" s="26"/>
      <c r="S10" s="26"/>
      <c r="T10" s="26"/>
      <c r="U10" s="27">
        <v>73485.67</v>
      </c>
      <c r="V10" s="26"/>
      <c r="W10" s="26"/>
      <c r="X10" s="26"/>
      <c r="Y10" s="27">
        <v>80200.0</v>
      </c>
      <c r="Z10" s="26"/>
      <c r="AA10" s="26"/>
      <c r="AB10" s="26"/>
      <c r="AC10" s="28">
        <v>50000.0</v>
      </c>
      <c r="AD10" s="29"/>
      <c r="AE10" s="29"/>
      <c r="AF10" s="30"/>
    </row>
    <row r="11" ht="15.75" customHeight="1">
      <c r="A11" s="1"/>
      <c r="B11" s="31"/>
      <c r="C11" s="31"/>
      <c r="D11" s="31"/>
      <c r="E11" s="32"/>
      <c r="F11" s="32"/>
      <c r="G11" s="32"/>
      <c r="H11" s="32"/>
      <c r="I11" s="32"/>
      <c r="J11" s="4"/>
      <c r="K11" s="4"/>
      <c r="L11" s="4"/>
      <c r="M11" s="21"/>
      <c r="N11" s="22"/>
      <c r="O11" s="23"/>
      <c r="P11" s="33" t="s">
        <v>30</v>
      </c>
      <c r="Q11" s="34">
        <f>Q10/L10*1000</f>
        <v>53516335</v>
      </c>
      <c r="R11" s="35"/>
      <c r="S11" s="35"/>
      <c r="T11" s="35"/>
      <c r="U11" s="34">
        <f>U10/L10*1000</f>
        <v>36742835</v>
      </c>
      <c r="V11" s="35"/>
      <c r="W11" s="35"/>
      <c r="X11" s="35"/>
      <c r="Y11" s="34">
        <f>Y10/L10*1000</f>
        <v>40100000</v>
      </c>
      <c r="Z11" s="35"/>
      <c r="AA11" s="35"/>
      <c r="AB11" s="35"/>
      <c r="AC11" s="36" t="s">
        <v>31</v>
      </c>
      <c r="AD11" s="37"/>
      <c r="AE11" s="37"/>
      <c r="AF11" s="38"/>
    </row>
    <row r="12" ht="15.75" customHeight="1">
      <c r="A12" s="1"/>
      <c r="B12" s="31"/>
      <c r="C12" s="31"/>
      <c r="D12" s="31"/>
      <c r="E12" s="39" t="s">
        <v>26</v>
      </c>
      <c r="F12" s="40">
        <f>SUM(Q12,U12,Y12)</f>
        <v>160000</v>
      </c>
      <c r="G12" s="41" t="s">
        <v>32</v>
      </c>
      <c r="H12" s="20" t="s">
        <v>33</v>
      </c>
      <c r="I12" s="20" t="s">
        <v>20</v>
      </c>
      <c r="J12" s="4">
        <v>0.0</v>
      </c>
      <c r="K12" s="4">
        <v>0.0</v>
      </c>
      <c r="L12" s="4">
        <v>16.0</v>
      </c>
      <c r="M12" s="22" t="s">
        <v>29</v>
      </c>
      <c r="N12" s="22" t="s">
        <v>29</v>
      </c>
      <c r="O12" s="23">
        <v>1.25E7</v>
      </c>
      <c r="P12" s="24"/>
      <c r="Q12" s="25">
        <v>75000.0</v>
      </c>
      <c r="R12" s="26"/>
      <c r="S12" s="26"/>
      <c r="T12" s="26"/>
      <c r="U12" s="27">
        <v>45000.0</v>
      </c>
      <c r="V12" s="26"/>
      <c r="W12" s="26"/>
      <c r="X12" s="26"/>
      <c r="Y12" s="27">
        <v>40000.0</v>
      </c>
      <c r="Z12" s="26"/>
      <c r="AA12" s="26"/>
      <c r="AB12" s="26"/>
      <c r="AC12" s="42" t="s">
        <v>34</v>
      </c>
      <c r="AD12" s="43"/>
      <c r="AE12" s="43"/>
      <c r="AF12" s="44"/>
    </row>
    <row r="13" ht="15.75" customHeight="1">
      <c r="A13" s="1"/>
      <c r="B13" s="31"/>
      <c r="C13" s="31"/>
      <c r="D13" s="31"/>
      <c r="E13" s="32"/>
      <c r="F13" s="32"/>
      <c r="G13" s="32"/>
      <c r="H13" s="32"/>
      <c r="I13" s="32"/>
      <c r="J13" s="4"/>
      <c r="K13" s="4"/>
      <c r="L13" s="4"/>
      <c r="M13" s="22"/>
      <c r="N13" s="22"/>
      <c r="O13" s="23"/>
      <c r="P13" s="45" t="s">
        <v>30</v>
      </c>
      <c r="Q13" s="46">
        <f>Q12/L12*1000</f>
        <v>4687500</v>
      </c>
      <c r="R13" s="47"/>
      <c r="S13" s="47"/>
      <c r="T13" s="47"/>
      <c r="U13" s="46">
        <f>U12/L12*1000</f>
        <v>2812500</v>
      </c>
      <c r="V13" s="47"/>
      <c r="W13" s="47"/>
      <c r="X13" s="47"/>
      <c r="Y13" s="46">
        <f>Y12/L12*1000</f>
        <v>2500000</v>
      </c>
      <c r="Z13" s="47"/>
      <c r="AA13" s="47"/>
      <c r="AB13" s="47"/>
      <c r="AC13" s="48"/>
      <c r="AD13" s="47"/>
      <c r="AE13" s="47"/>
      <c r="AF13" s="49"/>
    </row>
    <row r="14" ht="15.75" customHeight="1">
      <c r="A14" s="1"/>
      <c r="B14" s="31"/>
      <c r="C14" s="31"/>
      <c r="D14" s="31"/>
      <c r="E14" s="18" t="s">
        <v>26</v>
      </c>
      <c r="F14" s="17">
        <f>SUM(Q14,U14,Y14)</f>
        <v>262500</v>
      </c>
      <c r="G14" s="20" t="s">
        <v>35</v>
      </c>
      <c r="H14" s="20" t="s">
        <v>36</v>
      </c>
      <c r="I14" s="20" t="s">
        <v>18</v>
      </c>
      <c r="J14" s="50">
        <v>0.05</v>
      </c>
      <c r="K14" s="50">
        <v>0.0</v>
      </c>
      <c r="L14" s="50">
        <v>0.0</v>
      </c>
      <c r="M14" s="51">
        <v>9700000.0</v>
      </c>
      <c r="N14" s="22" t="s">
        <v>29</v>
      </c>
      <c r="O14" s="23" t="s">
        <v>29</v>
      </c>
      <c r="P14" s="24"/>
      <c r="Q14" s="52">
        <v>50000.0</v>
      </c>
      <c r="R14" s="53"/>
      <c r="S14" s="53"/>
      <c r="T14" s="53"/>
      <c r="U14" s="54">
        <v>91250.0</v>
      </c>
      <c r="V14" s="53"/>
      <c r="W14" s="53"/>
      <c r="X14" s="53"/>
      <c r="Y14" s="54">
        <v>121250.0</v>
      </c>
      <c r="Z14" s="53"/>
      <c r="AA14" s="53"/>
      <c r="AB14" s="53"/>
      <c r="AC14" s="55"/>
      <c r="AD14" s="56"/>
      <c r="AE14" s="56"/>
      <c r="AF14" s="57"/>
    </row>
    <row r="15" ht="15.75" customHeight="1">
      <c r="A15" s="1"/>
      <c r="B15" s="31"/>
      <c r="C15" s="31"/>
      <c r="D15" s="31"/>
      <c r="E15" s="32"/>
      <c r="F15" s="32"/>
      <c r="G15" s="32"/>
      <c r="H15" s="32"/>
      <c r="I15" s="32"/>
      <c r="J15" s="50"/>
      <c r="K15" s="50"/>
      <c r="L15" s="50"/>
      <c r="M15" s="58"/>
      <c r="N15" s="22"/>
      <c r="O15" s="23"/>
      <c r="P15" s="45" t="s">
        <v>37</v>
      </c>
      <c r="Q15" s="46">
        <f>Q14/J14</f>
        <v>1000000</v>
      </c>
      <c r="R15" s="47"/>
      <c r="S15" s="47"/>
      <c r="T15" s="47"/>
      <c r="U15" s="46">
        <f>U14/J14</f>
        <v>1825000</v>
      </c>
      <c r="V15" s="47"/>
      <c r="W15" s="47"/>
      <c r="X15" s="47"/>
      <c r="Y15" s="46">
        <f>Y14/J14</f>
        <v>2425000</v>
      </c>
      <c r="Z15" s="47"/>
      <c r="AA15" s="47"/>
      <c r="AB15" s="47"/>
      <c r="AC15" s="48"/>
      <c r="AD15" s="47"/>
      <c r="AE15" s="47"/>
      <c r="AF15" s="49"/>
    </row>
    <row r="16" ht="15.75" customHeight="1">
      <c r="A16" s="1"/>
      <c r="B16" s="31"/>
      <c r="C16" s="31"/>
      <c r="D16" s="31"/>
      <c r="E16" s="39" t="s">
        <v>26</v>
      </c>
      <c r="F16" s="17">
        <f>SUM(Q16,U16,Q18:X18,Q20:X20)</f>
        <v>320000</v>
      </c>
      <c r="G16" s="20" t="s">
        <v>38</v>
      </c>
      <c r="H16" s="20" t="s">
        <v>39</v>
      </c>
      <c r="I16" s="41" t="s">
        <v>18</v>
      </c>
      <c r="J16" s="59">
        <v>0.05</v>
      </c>
      <c r="K16" s="59">
        <v>0.0</v>
      </c>
      <c r="L16" s="59">
        <v>0.0</v>
      </c>
      <c r="M16" s="58">
        <v>3400000.0</v>
      </c>
      <c r="N16" s="60" t="s">
        <v>29</v>
      </c>
      <c r="O16" s="61" t="s">
        <v>29</v>
      </c>
      <c r="P16" s="62"/>
      <c r="Q16" s="63">
        <v>90000.0</v>
      </c>
      <c r="R16" s="64"/>
      <c r="S16" s="64"/>
      <c r="T16" s="64"/>
      <c r="U16" s="65">
        <v>80000.0</v>
      </c>
      <c r="V16" s="64"/>
      <c r="W16" s="64"/>
      <c r="X16" s="66"/>
      <c r="Y16" s="67"/>
      <c r="AC16" s="68"/>
      <c r="AD16" s="68"/>
      <c r="AE16" s="68"/>
      <c r="AF16" s="69"/>
    </row>
    <row r="17" ht="15.75" customHeight="1">
      <c r="A17" s="1"/>
      <c r="B17" s="31"/>
      <c r="C17" s="31"/>
      <c r="D17" s="31"/>
      <c r="E17" s="31"/>
      <c r="F17" s="31"/>
      <c r="G17" s="31"/>
      <c r="H17" s="32"/>
      <c r="I17" s="32"/>
      <c r="J17" s="59"/>
      <c r="K17" s="59"/>
      <c r="L17" s="59"/>
      <c r="M17" s="58"/>
      <c r="N17" s="60"/>
      <c r="O17" s="61"/>
      <c r="P17" s="45" t="s">
        <v>37</v>
      </c>
      <c r="Q17" s="46">
        <f>Q16/J16</f>
        <v>1800000</v>
      </c>
      <c r="R17" s="47"/>
      <c r="S17" s="47"/>
      <c r="T17" s="47"/>
      <c r="U17" s="46">
        <f>U16/J16</f>
        <v>1600000</v>
      </c>
      <c r="V17" s="47"/>
      <c r="W17" s="47"/>
      <c r="X17" s="70"/>
      <c r="Y17" s="71"/>
      <c r="Z17" s="71"/>
      <c r="AA17" s="71"/>
      <c r="AB17" s="72"/>
      <c r="AC17" s="68"/>
      <c r="AD17" s="68"/>
      <c r="AE17" s="68"/>
      <c r="AF17" s="69"/>
    </row>
    <row r="18" ht="15.75" customHeight="1">
      <c r="A18" s="1"/>
      <c r="B18" s="31"/>
      <c r="C18" s="31"/>
      <c r="D18" s="31"/>
      <c r="E18" s="31"/>
      <c r="F18" s="31"/>
      <c r="G18" s="31"/>
      <c r="H18" s="73" t="s">
        <v>40</v>
      </c>
      <c r="I18" s="20" t="s">
        <v>20</v>
      </c>
      <c r="J18" s="4">
        <v>0.0</v>
      </c>
      <c r="K18" s="4">
        <v>0.0</v>
      </c>
      <c r="L18" s="4">
        <v>5.8</v>
      </c>
      <c r="M18" s="22" t="s">
        <v>29</v>
      </c>
      <c r="N18" s="22" t="s">
        <v>29</v>
      </c>
      <c r="O18" s="74">
        <v>1.7241379E7</v>
      </c>
      <c r="P18" s="24"/>
      <c r="Q18" s="25">
        <v>60000.0</v>
      </c>
      <c r="R18" s="26"/>
      <c r="S18" s="26"/>
      <c r="T18" s="26"/>
      <c r="U18" s="27">
        <v>40000.0</v>
      </c>
      <c r="V18" s="26"/>
      <c r="W18" s="26"/>
      <c r="X18" s="75"/>
      <c r="Y18" s="76"/>
      <c r="Z18" s="77"/>
      <c r="AA18" s="77"/>
      <c r="AB18" s="78"/>
      <c r="AC18" s="79"/>
      <c r="AD18" s="80"/>
      <c r="AE18" s="80"/>
      <c r="AF18" s="81"/>
    </row>
    <row r="19" ht="15.75" customHeight="1">
      <c r="A19" s="1"/>
      <c r="B19" s="31"/>
      <c r="C19" s="31"/>
      <c r="D19" s="31"/>
      <c r="E19" s="31"/>
      <c r="F19" s="31"/>
      <c r="G19" s="31"/>
      <c r="H19" s="32"/>
      <c r="I19" s="32"/>
      <c r="J19" s="4"/>
      <c r="K19" s="4"/>
      <c r="L19" s="4"/>
      <c r="M19" s="22"/>
      <c r="N19" s="22"/>
      <c r="O19" s="23"/>
      <c r="P19" s="45" t="s">
        <v>30</v>
      </c>
      <c r="Q19" s="46">
        <f>Q18/L18*1000</f>
        <v>10344827.59</v>
      </c>
      <c r="R19" s="47"/>
      <c r="S19" s="47"/>
      <c r="T19" s="47"/>
      <c r="U19" s="46">
        <f>U18/L18*1000</f>
        <v>6896551.724</v>
      </c>
      <c r="V19" s="47"/>
      <c r="W19" s="47"/>
      <c r="X19" s="70"/>
      <c r="Y19" s="76"/>
      <c r="Z19" s="76"/>
      <c r="AA19" s="76"/>
      <c r="AB19" s="82"/>
      <c r="AC19" s="79"/>
      <c r="AD19" s="80"/>
      <c r="AE19" s="80"/>
      <c r="AF19" s="81"/>
    </row>
    <row r="20" ht="15.75" customHeight="1">
      <c r="A20" s="1"/>
      <c r="B20" s="31"/>
      <c r="C20" s="31"/>
      <c r="D20" s="31"/>
      <c r="E20" s="31"/>
      <c r="F20" s="31"/>
      <c r="G20" s="31"/>
      <c r="H20" s="20" t="s">
        <v>41</v>
      </c>
      <c r="I20" s="20" t="s">
        <v>20</v>
      </c>
      <c r="J20" s="4">
        <v>0.0</v>
      </c>
      <c r="K20" s="4">
        <v>0.0</v>
      </c>
      <c r="L20" s="4">
        <v>6.5</v>
      </c>
      <c r="M20" s="22" t="s">
        <v>29</v>
      </c>
      <c r="N20" s="22" t="s">
        <v>29</v>
      </c>
      <c r="O20" s="74">
        <v>7692308.0</v>
      </c>
      <c r="P20" s="24"/>
      <c r="Q20" s="25">
        <v>30000.0</v>
      </c>
      <c r="R20" s="26"/>
      <c r="S20" s="26"/>
      <c r="T20" s="26"/>
      <c r="U20" s="27">
        <v>20000.0</v>
      </c>
      <c r="V20" s="26"/>
      <c r="W20" s="26"/>
      <c r="X20" s="75"/>
      <c r="Y20" s="76"/>
      <c r="Z20" s="77"/>
      <c r="AA20" s="77"/>
      <c r="AB20" s="78"/>
      <c r="AC20" s="83"/>
      <c r="AD20" s="77"/>
      <c r="AE20" s="77"/>
      <c r="AF20" s="84"/>
    </row>
    <row r="21" ht="15.75" customHeight="1">
      <c r="A21" s="1"/>
      <c r="B21" s="31"/>
      <c r="C21" s="31"/>
      <c r="D21" s="31"/>
      <c r="E21" s="32"/>
      <c r="F21" s="32"/>
      <c r="G21" s="32"/>
      <c r="H21" s="32"/>
      <c r="I21" s="32"/>
      <c r="J21" s="4"/>
      <c r="K21" s="4"/>
      <c r="L21" s="4"/>
      <c r="M21" s="22"/>
      <c r="N21" s="22"/>
      <c r="O21" s="23"/>
      <c r="P21" s="45" t="s">
        <v>30</v>
      </c>
      <c r="Q21" s="46">
        <f>Q20/L20*1000</f>
        <v>4615384.615</v>
      </c>
      <c r="R21" s="47"/>
      <c r="S21" s="47"/>
      <c r="T21" s="47"/>
      <c r="U21" s="46">
        <f>U20/L20*1000</f>
        <v>3076923.077</v>
      </c>
      <c r="V21" s="47"/>
      <c r="W21" s="47"/>
      <c r="X21" s="70"/>
      <c r="Y21" s="85"/>
      <c r="Z21" s="85"/>
      <c r="AA21" s="85"/>
      <c r="AB21" s="85"/>
      <c r="AC21" s="86"/>
      <c r="AD21" s="86"/>
      <c r="AE21" s="86"/>
      <c r="AF21" s="87"/>
    </row>
    <row r="22" ht="15.75" customHeight="1">
      <c r="A22" s="1"/>
      <c r="B22" s="31"/>
      <c r="C22" s="31"/>
      <c r="D22" s="31"/>
      <c r="E22" s="39" t="s">
        <v>26</v>
      </c>
      <c r="F22" s="40">
        <v>580000.0</v>
      </c>
      <c r="G22" s="20" t="s">
        <v>42</v>
      </c>
      <c r="H22" s="20" t="s">
        <v>43</v>
      </c>
      <c r="I22" s="20" t="s">
        <v>44</v>
      </c>
      <c r="J22" s="4">
        <f>F22/M22</f>
        <v>1.288888889</v>
      </c>
      <c r="K22" s="4">
        <v>0.0</v>
      </c>
      <c r="L22" s="4">
        <v>0.0</v>
      </c>
      <c r="M22" s="58">
        <f>150000*3</f>
        <v>450000</v>
      </c>
      <c r="N22" s="22" t="s">
        <v>29</v>
      </c>
      <c r="O22" s="23" t="s">
        <v>29</v>
      </c>
      <c r="P22" s="24"/>
      <c r="Q22" s="25">
        <v>193333.333</v>
      </c>
      <c r="R22" s="26"/>
      <c r="S22" s="26"/>
      <c r="T22" s="26"/>
      <c r="U22" s="27">
        <v>193333.333</v>
      </c>
      <c r="V22" s="26"/>
      <c r="W22" s="26"/>
      <c r="X22" s="26"/>
      <c r="Y22" s="27">
        <v>193333.333</v>
      </c>
      <c r="Z22" s="26"/>
      <c r="AA22" s="26"/>
      <c r="AB22" s="75"/>
      <c r="AC22" s="88"/>
      <c r="AD22" s="77"/>
      <c r="AE22" s="77"/>
      <c r="AF22" s="84"/>
    </row>
    <row r="23" ht="15.75" customHeight="1">
      <c r="A23" s="1"/>
      <c r="B23" s="32"/>
      <c r="C23" s="32"/>
      <c r="D23" s="32"/>
      <c r="E23" s="32"/>
      <c r="F23" s="32"/>
      <c r="G23" s="32"/>
      <c r="H23" s="32"/>
      <c r="I23" s="32"/>
      <c r="J23" s="4"/>
      <c r="K23" s="4"/>
      <c r="L23" s="4"/>
      <c r="M23" s="58"/>
      <c r="N23" s="22"/>
      <c r="O23" s="23"/>
      <c r="P23" s="45" t="s">
        <v>37</v>
      </c>
      <c r="Q23" s="46">
        <f>Q22/J22</f>
        <v>149999.9997</v>
      </c>
      <c r="R23" s="47"/>
      <c r="S23" s="47"/>
      <c r="T23" s="47"/>
      <c r="U23" s="46">
        <f>U22/J22</f>
        <v>149999.9997</v>
      </c>
      <c r="V23" s="47"/>
      <c r="W23" s="47"/>
      <c r="X23" s="47"/>
      <c r="Y23" s="46">
        <f>Y22/J22</f>
        <v>149999.9997</v>
      </c>
      <c r="Z23" s="47"/>
      <c r="AA23" s="47"/>
      <c r="AB23" s="70"/>
      <c r="AC23" s="71"/>
      <c r="AD23" s="71"/>
      <c r="AE23" s="71"/>
      <c r="AF23" s="89"/>
    </row>
    <row r="24" ht="15.75" customHeight="1">
      <c r="A24" s="1"/>
      <c r="B24" s="15" t="s">
        <v>45</v>
      </c>
      <c r="C24" s="16">
        <f>D24/C6</f>
        <v>0.2958445716</v>
      </c>
      <c r="D24" s="17">
        <f>SUM(F24:F55)</f>
        <v>686182</v>
      </c>
      <c r="E24" s="39" t="s">
        <v>26</v>
      </c>
      <c r="F24" s="40">
        <f>SUM(U24:AB24)</f>
        <v>120000</v>
      </c>
      <c r="G24" s="20" t="s">
        <v>27</v>
      </c>
      <c r="H24" s="20" t="s">
        <v>46</v>
      </c>
      <c r="I24" s="73" t="s">
        <v>20</v>
      </c>
      <c r="J24" s="4">
        <v>0.0</v>
      </c>
      <c r="K24" s="4">
        <v>0.0</v>
      </c>
      <c r="L24" s="4">
        <v>2.3</v>
      </c>
      <c r="M24" s="22" t="s">
        <v>29</v>
      </c>
      <c r="N24" s="22" t="s">
        <v>29</v>
      </c>
      <c r="O24" s="74">
        <v>1.11442026E8</v>
      </c>
      <c r="P24" s="24"/>
      <c r="Q24" s="90"/>
      <c r="R24" s="91"/>
      <c r="S24" s="91"/>
      <c r="T24" s="91"/>
      <c r="U24" s="92">
        <v>60000.0</v>
      </c>
      <c r="V24" s="93"/>
      <c r="W24" s="93"/>
      <c r="X24" s="94"/>
      <c r="Y24" s="95">
        <v>60000.0</v>
      </c>
      <c r="Z24" s="93"/>
      <c r="AA24" s="93"/>
      <c r="AB24" s="93"/>
      <c r="AC24" s="96"/>
      <c r="AD24" s="26"/>
      <c r="AE24" s="26"/>
      <c r="AF24" s="97"/>
    </row>
    <row r="25" ht="15.75" customHeight="1">
      <c r="A25" s="1"/>
      <c r="B25" s="31"/>
      <c r="C25" s="31"/>
      <c r="D25" s="31"/>
      <c r="E25" s="32"/>
      <c r="F25" s="32"/>
      <c r="G25" s="32"/>
      <c r="H25" s="32"/>
      <c r="I25" s="32"/>
      <c r="J25" s="4"/>
      <c r="K25" s="4"/>
      <c r="L25" s="4"/>
      <c r="M25" s="22"/>
      <c r="N25" s="22"/>
      <c r="O25" s="23"/>
      <c r="P25" s="45" t="s">
        <v>30</v>
      </c>
      <c r="Q25" s="98"/>
      <c r="R25" s="99"/>
      <c r="S25" s="99"/>
      <c r="T25" s="85"/>
      <c r="U25" s="100">
        <f>U24/L24*1000</f>
        <v>26086956.52</v>
      </c>
      <c r="V25" s="47"/>
      <c r="W25" s="47"/>
      <c r="X25" s="47"/>
      <c r="Y25" s="46">
        <f>Y24/L24*1000</f>
        <v>26086956.52</v>
      </c>
      <c r="Z25" s="47"/>
      <c r="AA25" s="47"/>
      <c r="AB25" s="47"/>
      <c r="AC25" s="48"/>
      <c r="AD25" s="47"/>
      <c r="AE25" s="47"/>
      <c r="AF25" s="49"/>
    </row>
    <row r="26" ht="15.75" customHeight="1">
      <c r="A26" s="1"/>
      <c r="B26" s="31"/>
      <c r="C26" s="31"/>
      <c r="D26" s="31"/>
      <c r="E26" s="39" t="s">
        <v>47</v>
      </c>
      <c r="F26" s="17">
        <f>SUM(U26:AB26)</f>
        <v>128182</v>
      </c>
      <c r="G26" s="20" t="s">
        <v>48</v>
      </c>
      <c r="H26" s="20" t="s">
        <v>49</v>
      </c>
      <c r="I26" s="73" t="s">
        <v>20</v>
      </c>
      <c r="J26" s="4">
        <v>0.0</v>
      </c>
      <c r="K26" s="4">
        <v>0.0</v>
      </c>
      <c r="L26" s="4">
        <v>2.3</v>
      </c>
      <c r="M26" s="22" t="s">
        <v>29</v>
      </c>
      <c r="N26" s="22" t="s">
        <v>29</v>
      </c>
      <c r="O26" s="74">
        <v>1.06522E8</v>
      </c>
      <c r="P26" s="24"/>
      <c r="Q26" s="101"/>
      <c r="R26" s="102"/>
      <c r="S26" s="102"/>
      <c r="T26" s="102"/>
      <c r="U26" s="103">
        <v>70000.0</v>
      </c>
      <c r="V26" s="56"/>
      <c r="W26" s="56"/>
      <c r="X26" s="104"/>
      <c r="Y26" s="105">
        <v>58182.0</v>
      </c>
      <c r="Z26" s="56"/>
      <c r="AA26" s="56"/>
      <c r="AB26" s="56"/>
      <c r="AC26" s="106"/>
      <c r="AD26" s="56"/>
      <c r="AE26" s="56"/>
      <c r="AF26" s="57"/>
    </row>
    <row r="27" ht="15.75" customHeight="1">
      <c r="A27" s="1"/>
      <c r="B27" s="31"/>
      <c r="C27" s="31"/>
      <c r="D27" s="31"/>
      <c r="E27" s="32"/>
      <c r="F27" s="32"/>
      <c r="G27" s="32"/>
      <c r="H27" s="32"/>
      <c r="I27" s="32"/>
      <c r="J27" s="4"/>
      <c r="K27" s="4"/>
      <c r="L27" s="4"/>
      <c r="M27" s="22"/>
      <c r="N27" s="22"/>
      <c r="O27" s="23"/>
      <c r="P27" s="45" t="s">
        <v>30</v>
      </c>
      <c r="Q27" s="107"/>
      <c r="R27" s="108"/>
      <c r="S27" s="108"/>
      <c r="T27" s="108"/>
      <c r="U27" s="100">
        <f>U26/L26*1000</f>
        <v>30434782.61</v>
      </c>
      <c r="V27" s="47"/>
      <c r="W27" s="47"/>
      <c r="X27" s="47"/>
      <c r="Y27" s="46">
        <f>Y26/L26*1000</f>
        <v>25296521.74</v>
      </c>
      <c r="Z27" s="47"/>
      <c r="AA27" s="47"/>
      <c r="AB27" s="47"/>
      <c r="AC27" s="48"/>
      <c r="AD27" s="47"/>
      <c r="AE27" s="47"/>
      <c r="AF27" s="49"/>
    </row>
    <row r="28" ht="15.75" customHeight="1">
      <c r="A28" s="1"/>
      <c r="B28" s="31"/>
      <c r="C28" s="31"/>
      <c r="D28" s="31"/>
      <c r="E28" s="18" t="s">
        <v>26</v>
      </c>
      <c r="F28" s="17">
        <f>SUM(Q28:AB28)</f>
        <v>160000</v>
      </c>
      <c r="G28" s="20" t="s">
        <v>35</v>
      </c>
      <c r="H28" s="20" t="s">
        <v>50</v>
      </c>
      <c r="I28" s="20" t="s">
        <v>18</v>
      </c>
      <c r="J28" s="50">
        <v>0.05</v>
      </c>
      <c r="K28" s="50">
        <v>0.0</v>
      </c>
      <c r="L28" s="50">
        <v>0.0</v>
      </c>
      <c r="M28" s="51">
        <v>5200000.0</v>
      </c>
      <c r="N28" s="22" t="s">
        <v>29</v>
      </c>
      <c r="O28" s="23" t="s">
        <v>29</v>
      </c>
      <c r="P28" s="24"/>
      <c r="Q28" s="109">
        <v>60000.0</v>
      </c>
      <c r="R28" s="56"/>
      <c r="S28" s="56"/>
      <c r="T28" s="104"/>
      <c r="U28" s="110">
        <v>50000.0</v>
      </c>
      <c r="V28" s="56"/>
      <c r="W28" s="56"/>
      <c r="X28" s="104"/>
      <c r="Y28" s="105">
        <v>50000.0</v>
      </c>
      <c r="Z28" s="56"/>
      <c r="AA28" s="56"/>
      <c r="AB28" s="56"/>
      <c r="AC28" s="106"/>
      <c r="AD28" s="56"/>
      <c r="AE28" s="56"/>
      <c r="AF28" s="57"/>
    </row>
    <row r="29" ht="15.75" customHeight="1">
      <c r="A29" s="1"/>
      <c r="B29" s="31"/>
      <c r="C29" s="31"/>
      <c r="D29" s="31"/>
      <c r="E29" s="32"/>
      <c r="F29" s="32"/>
      <c r="G29" s="32"/>
      <c r="H29" s="32"/>
      <c r="I29" s="32"/>
      <c r="J29" s="50"/>
      <c r="K29" s="50"/>
      <c r="L29" s="50"/>
      <c r="M29" s="58"/>
      <c r="N29" s="22"/>
      <c r="O29" s="23"/>
      <c r="P29" s="45" t="s">
        <v>37</v>
      </c>
      <c r="Q29" s="46">
        <f>Q28/J28</f>
        <v>1200000</v>
      </c>
      <c r="R29" s="47"/>
      <c r="S29" s="47"/>
      <c r="T29" s="47"/>
      <c r="U29" s="46">
        <f>U28/J28</f>
        <v>1000000</v>
      </c>
      <c r="V29" s="47"/>
      <c r="W29" s="47"/>
      <c r="X29" s="47"/>
      <c r="Y29" s="46">
        <f>Y28/J28</f>
        <v>1000000</v>
      </c>
      <c r="Z29" s="47"/>
      <c r="AA29" s="47"/>
      <c r="AB29" s="47"/>
      <c r="AC29" s="111"/>
      <c r="AD29" s="112"/>
      <c r="AE29" s="112"/>
      <c r="AF29" s="113"/>
    </row>
    <row r="30" ht="15.75" customHeight="1">
      <c r="A30" s="1"/>
      <c r="B30" s="31"/>
      <c r="C30" s="31"/>
      <c r="D30" s="31"/>
      <c r="E30" s="39" t="s">
        <v>47</v>
      </c>
      <c r="F30" s="40">
        <v>0.0</v>
      </c>
      <c r="G30" s="20" t="s">
        <v>51</v>
      </c>
      <c r="H30" s="20" t="s">
        <v>52</v>
      </c>
      <c r="I30" s="41" t="s">
        <v>18</v>
      </c>
      <c r="J30" s="59">
        <v>0.086</v>
      </c>
      <c r="K30" s="59">
        <v>0.0</v>
      </c>
      <c r="L30" s="59">
        <v>0.0</v>
      </c>
      <c r="M30" s="51">
        <v>3485837.0</v>
      </c>
      <c r="N30" s="60" t="s">
        <v>29</v>
      </c>
      <c r="O30" s="23" t="s">
        <v>29</v>
      </c>
      <c r="P30" s="24"/>
      <c r="Q30" s="114" t="s">
        <v>34</v>
      </c>
      <c r="R30" s="91"/>
      <c r="S30" s="91"/>
      <c r="T30" s="115"/>
      <c r="U30" s="68"/>
      <c r="V30" s="68"/>
      <c r="W30" s="68"/>
      <c r="X30" s="116"/>
      <c r="Y30" s="68"/>
      <c r="Z30" s="68"/>
      <c r="AA30" s="68"/>
      <c r="AB30" s="68"/>
      <c r="AC30" s="117"/>
      <c r="AD30" s="26"/>
      <c r="AE30" s="26"/>
      <c r="AF30" s="97"/>
    </row>
    <row r="31" ht="15.75" customHeight="1">
      <c r="A31" s="1"/>
      <c r="B31" s="31"/>
      <c r="C31" s="31"/>
      <c r="D31" s="31"/>
      <c r="E31" s="32"/>
      <c r="F31" s="32"/>
      <c r="G31" s="32"/>
      <c r="H31" s="32"/>
      <c r="I31" s="32"/>
      <c r="J31" s="59"/>
      <c r="K31" s="59"/>
      <c r="L31" s="59"/>
      <c r="M31" s="58"/>
      <c r="N31" s="60"/>
      <c r="O31" s="23"/>
      <c r="P31" s="45" t="s">
        <v>37</v>
      </c>
      <c r="Q31" s="114"/>
      <c r="R31" s="118"/>
      <c r="S31" s="118"/>
      <c r="T31" s="118"/>
      <c r="U31" s="119"/>
      <c r="V31" s="119"/>
      <c r="W31" s="119"/>
      <c r="X31" s="119"/>
      <c r="Y31" s="68"/>
      <c r="Z31" s="68"/>
      <c r="AA31" s="68"/>
      <c r="AB31" s="68"/>
      <c r="AC31" s="120"/>
      <c r="AD31" s="47"/>
      <c r="AE31" s="47"/>
      <c r="AF31" s="49"/>
    </row>
    <row r="32" ht="15.75" customHeight="1">
      <c r="A32" s="1"/>
      <c r="B32" s="31"/>
      <c r="C32" s="31"/>
      <c r="D32" s="31"/>
      <c r="E32" s="39" t="s">
        <v>53</v>
      </c>
      <c r="F32" s="40">
        <v>23000.0</v>
      </c>
      <c r="G32" s="20" t="s">
        <v>54</v>
      </c>
      <c r="H32" s="20" t="s">
        <v>55</v>
      </c>
      <c r="I32" s="20" t="s">
        <v>18</v>
      </c>
      <c r="J32" s="4">
        <v>0.7</v>
      </c>
      <c r="K32" s="4">
        <v>0.0</v>
      </c>
      <c r="L32" s="4">
        <v>0.0</v>
      </c>
      <c r="M32" s="51">
        <v>42857.0</v>
      </c>
      <c r="N32" s="22" t="s">
        <v>29</v>
      </c>
      <c r="O32" s="23" t="s">
        <v>29</v>
      </c>
      <c r="P32" s="24"/>
      <c r="Q32" s="121"/>
      <c r="R32" s="77"/>
      <c r="S32" s="77"/>
      <c r="T32" s="77"/>
      <c r="U32" s="122"/>
      <c r="V32" s="77"/>
      <c r="W32" s="77"/>
      <c r="X32" s="123"/>
      <c r="Y32" s="124">
        <v>23000.0</v>
      </c>
      <c r="Z32" s="26"/>
      <c r="AA32" s="26"/>
      <c r="AB32" s="75"/>
      <c r="AC32" s="125"/>
      <c r="AD32" s="91"/>
      <c r="AE32" s="91"/>
      <c r="AF32" s="126"/>
    </row>
    <row r="33" ht="15.75" customHeight="1">
      <c r="A33" s="1"/>
      <c r="B33" s="31"/>
      <c r="C33" s="31"/>
      <c r="D33" s="31"/>
      <c r="E33" s="32"/>
      <c r="F33" s="32"/>
      <c r="G33" s="32"/>
      <c r="H33" s="32"/>
      <c r="I33" s="32"/>
      <c r="J33" s="4"/>
      <c r="K33" s="4"/>
      <c r="L33" s="4"/>
      <c r="M33" s="51"/>
      <c r="N33" s="22"/>
      <c r="O33" s="23"/>
      <c r="P33" s="24" t="s">
        <v>37</v>
      </c>
      <c r="Q33" s="121"/>
      <c r="R33" s="127"/>
      <c r="S33" s="127"/>
      <c r="T33" s="127"/>
      <c r="U33" s="122"/>
      <c r="V33" s="77"/>
      <c r="W33" s="77"/>
      <c r="X33" s="123"/>
      <c r="Y33" s="100">
        <f>Y32/J32</f>
        <v>32857.14286</v>
      </c>
      <c r="Z33" s="47"/>
      <c r="AA33" s="47"/>
      <c r="AB33" s="70"/>
      <c r="AC33" s="125"/>
      <c r="AD33" s="128"/>
      <c r="AE33" s="128"/>
      <c r="AF33" s="129"/>
      <c r="AG33" s="130"/>
      <c r="AH33" s="130"/>
    </row>
    <row r="34" ht="15.75" customHeight="1">
      <c r="A34" s="1"/>
      <c r="B34" s="31"/>
      <c r="C34" s="31"/>
      <c r="D34" s="31"/>
      <c r="E34" s="39" t="s">
        <v>53</v>
      </c>
      <c r="F34" s="40">
        <v>30000.0</v>
      </c>
      <c r="G34" s="20" t="s">
        <v>56</v>
      </c>
      <c r="H34" s="20" t="s">
        <v>57</v>
      </c>
      <c r="I34" s="20" t="s">
        <v>19</v>
      </c>
      <c r="J34" s="4">
        <v>0.0</v>
      </c>
      <c r="K34" s="4">
        <v>0.76</v>
      </c>
      <c r="L34" s="4">
        <v>0.0</v>
      </c>
      <c r="M34" s="51"/>
      <c r="N34" s="22"/>
      <c r="O34" s="23"/>
      <c r="P34" s="24"/>
      <c r="Q34" s="121"/>
      <c r="R34" s="127"/>
      <c r="S34" s="127"/>
      <c r="T34" s="127"/>
      <c r="U34" s="122"/>
      <c r="V34" s="77"/>
      <c r="W34" s="77"/>
      <c r="X34" s="77"/>
      <c r="Y34" s="131"/>
      <c r="Z34" s="132"/>
      <c r="AA34" s="132"/>
      <c r="AB34" s="132"/>
      <c r="AC34" s="133">
        <v>30000.0</v>
      </c>
      <c r="AD34" s="26"/>
      <c r="AE34" s="26"/>
      <c r="AF34" s="97"/>
      <c r="AG34" s="130"/>
      <c r="AH34" s="130"/>
    </row>
    <row r="35" ht="15.75" customHeight="1">
      <c r="A35" s="1"/>
      <c r="B35" s="31"/>
      <c r="C35" s="31"/>
      <c r="D35" s="31"/>
      <c r="E35" s="32"/>
      <c r="F35" s="32"/>
      <c r="G35" s="32"/>
      <c r="H35" s="32"/>
      <c r="I35" s="32"/>
      <c r="J35" s="4"/>
      <c r="K35" s="4"/>
      <c r="L35" s="4"/>
      <c r="M35" s="22" t="s">
        <v>29</v>
      </c>
      <c r="N35" s="58" t="s">
        <v>29</v>
      </c>
      <c r="O35" s="23" t="s">
        <v>29</v>
      </c>
      <c r="P35" s="45" t="s">
        <v>58</v>
      </c>
      <c r="Q35" s="121"/>
      <c r="R35" s="77"/>
      <c r="S35" s="77"/>
      <c r="T35" s="77"/>
      <c r="U35" s="122"/>
      <c r="V35" s="77"/>
      <c r="W35" s="77"/>
      <c r="X35" s="77"/>
      <c r="Y35" s="134"/>
      <c r="Z35" s="47"/>
      <c r="AA35" s="47"/>
      <c r="AB35" s="47"/>
      <c r="AC35" s="135">
        <f>AC34/K34</f>
        <v>39473.68421</v>
      </c>
      <c r="AD35" s="47"/>
      <c r="AE35" s="47"/>
      <c r="AF35" s="49"/>
      <c r="AG35" s="136"/>
    </row>
    <row r="36" ht="15.75" customHeight="1">
      <c r="A36" s="1"/>
      <c r="B36" s="31"/>
      <c r="C36" s="31"/>
      <c r="D36" s="31"/>
      <c r="E36" s="39" t="s">
        <v>26</v>
      </c>
      <c r="F36" s="40">
        <f>SUM(U40:AB40,Y36,Y38,Y42,Y44)</f>
        <v>225000</v>
      </c>
      <c r="G36" s="20" t="s">
        <v>38</v>
      </c>
      <c r="H36" s="20" t="s">
        <v>59</v>
      </c>
      <c r="I36" s="20" t="s">
        <v>18</v>
      </c>
      <c r="J36" s="4">
        <v>0.03</v>
      </c>
      <c r="K36" s="4">
        <v>0.0</v>
      </c>
      <c r="L36" s="4">
        <v>0.0</v>
      </c>
      <c r="M36" s="58">
        <v>3333333.0</v>
      </c>
      <c r="N36" s="22" t="s">
        <v>29</v>
      </c>
      <c r="O36" s="23" t="s">
        <v>29</v>
      </c>
      <c r="P36" s="24"/>
      <c r="Q36" s="137"/>
      <c r="R36" s="77"/>
      <c r="S36" s="77"/>
      <c r="T36" s="77"/>
      <c r="U36" s="138"/>
      <c r="V36" s="77"/>
      <c r="W36" s="77"/>
      <c r="X36" s="123"/>
      <c r="Y36" s="124">
        <v>50000.0</v>
      </c>
      <c r="Z36" s="26"/>
      <c r="AA36" s="26"/>
      <c r="AB36" s="26"/>
      <c r="AC36" s="96"/>
      <c r="AD36" s="26"/>
      <c r="AE36" s="26"/>
      <c r="AF36" s="97"/>
    </row>
    <row r="37" ht="15.75" customHeight="1">
      <c r="A37" s="1"/>
      <c r="B37" s="31"/>
      <c r="C37" s="31"/>
      <c r="D37" s="31"/>
      <c r="E37" s="31"/>
      <c r="F37" s="31"/>
      <c r="G37" s="31"/>
      <c r="H37" s="32"/>
      <c r="I37" s="32"/>
      <c r="J37" s="4"/>
      <c r="K37" s="4"/>
      <c r="L37" s="4"/>
      <c r="M37" s="58"/>
      <c r="N37" s="22"/>
      <c r="O37" s="23"/>
      <c r="P37" s="45" t="s">
        <v>37</v>
      </c>
      <c r="Q37" s="98"/>
      <c r="R37" s="99"/>
      <c r="S37" s="99"/>
      <c r="T37" s="139"/>
      <c r="U37" s="140"/>
      <c r="V37" s="141"/>
      <c r="W37" s="141"/>
      <c r="X37" s="141"/>
      <c r="Y37" s="142">
        <f>Y36/J36</f>
        <v>1666666.667</v>
      </c>
      <c r="Z37" s="35"/>
      <c r="AA37" s="35"/>
      <c r="AB37" s="35"/>
      <c r="AC37" s="111"/>
      <c r="AD37" s="112"/>
      <c r="AE37" s="112"/>
      <c r="AF37" s="113"/>
    </row>
    <row r="38" ht="15.75" customHeight="1">
      <c r="A38" s="1"/>
      <c r="B38" s="31"/>
      <c r="C38" s="31"/>
      <c r="D38" s="31"/>
      <c r="E38" s="31"/>
      <c r="F38" s="31"/>
      <c r="G38" s="31"/>
      <c r="H38" s="20" t="s">
        <v>40</v>
      </c>
      <c r="I38" s="73" t="s">
        <v>20</v>
      </c>
      <c r="J38" s="4">
        <v>0.0</v>
      </c>
      <c r="K38" s="4">
        <v>0.0</v>
      </c>
      <c r="L38" s="4">
        <v>5.8</v>
      </c>
      <c r="M38" s="22" t="s">
        <v>29</v>
      </c>
      <c r="N38" s="22" t="s">
        <v>29</v>
      </c>
      <c r="O38" s="74">
        <v>1.3793103E7</v>
      </c>
      <c r="P38" s="24"/>
      <c r="Q38" s="101"/>
      <c r="R38" s="102"/>
      <c r="S38" s="102"/>
      <c r="T38" s="143"/>
      <c r="U38" s="140"/>
      <c r="V38" s="141"/>
      <c r="W38" s="141"/>
      <c r="X38" s="141"/>
      <c r="Y38" s="103">
        <v>25000.0</v>
      </c>
      <c r="Z38" s="56"/>
      <c r="AA38" s="56"/>
      <c r="AB38" s="56"/>
      <c r="AC38" s="106"/>
      <c r="AD38" s="56"/>
      <c r="AE38" s="56"/>
      <c r="AF38" s="57"/>
    </row>
    <row r="39" ht="15.75" customHeight="1">
      <c r="A39" s="1"/>
      <c r="B39" s="31"/>
      <c r="C39" s="31"/>
      <c r="D39" s="31"/>
      <c r="E39" s="31"/>
      <c r="F39" s="31"/>
      <c r="G39" s="31"/>
      <c r="H39" s="32"/>
      <c r="I39" s="32"/>
      <c r="J39" s="4"/>
      <c r="K39" s="4"/>
      <c r="L39" s="4"/>
      <c r="M39" s="22"/>
      <c r="N39" s="22"/>
      <c r="O39" s="23"/>
      <c r="P39" s="45" t="s">
        <v>30</v>
      </c>
      <c r="Q39" s="144"/>
      <c r="R39" s="145"/>
      <c r="S39" s="145"/>
      <c r="T39" s="146"/>
      <c r="U39" s="147"/>
      <c r="V39" s="148"/>
      <c r="W39" s="148"/>
      <c r="X39" s="149"/>
      <c r="Y39" s="142">
        <f>Y38/L38*1000</f>
        <v>4310344.828</v>
      </c>
      <c r="Z39" s="35"/>
      <c r="AA39" s="35"/>
      <c r="AB39" s="35"/>
      <c r="AC39" s="111"/>
      <c r="AD39" s="112"/>
      <c r="AE39" s="112"/>
      <c r="AF39" s="113"/>
    </row>
    <row r="40" ht="15.75" customHeight="1">
      <c r="A40" s="1"/>
      <c r="B40" s="31"/>
      <c r="C40" s="31"/>
      <c r="D40" s="31"/>
      <c r="E40" s="31"/>
      <c r="F40" s="31"/>
      <c r="G40" s="31"/>
      <c r="H40" s="20" t="s">
        <v>60</v>
      </c>
      <c r="I40" s="20" t="s">
        <v>20</v>
      </c>
      <c r="J40" s="50">
        <v>0.0</v>
      </c>
      <c r="K40" s="50">
        <v>0.0</v>
      </c>
      <c r="L40" s="50">
        <v>18.0</v>
      </c>
      <c r="M40" s="22" t="s">
        <v>29</v>
      </c>
      <c r="N40" s="22" t="s">
        <v>29</v>
      </c>
      <c r="O40" s="23">
        <v>7777778.0</v>
      </c>
      <c r="P40" s="24"/>
      <c r="Q40" s="150"/>
      <c r="R40" s="151"/>
      <c r="S40" s="151"/>
      <c r="T40" s="151"/>
      <c r="U40" s="103">
        <v>50000.0</v>
      </c>
      <c r="V40" s="56"/>
      <c r="W40" s="56"/>
      <c r="X40" s="104"/>
      <c r="Y40" s="152">
        <v>45000.0</v>
      </c>
      <c r="Z40" s="56"/>
      <c r="AA40" s="56"/>
      <c r="AB40" s="56"/>
      <c r="AC40" s="106"/>
      <c r="AD40" s="56"/>
      <c r="AE40" s="56"/>
      <c r="AF40" s="57"/>
    </row>
    <row r="41" ht="15.75" customHeight="1">
      <c r="A41" s="1"/>
      <c r="B41" s="31"/>
      <c r="C41" s="31"/>
      <c r="D41" s="31"/>
      <c r="E41" s="31"/>
      <c r="F41" s="31"/>
      <c r="G41" s="31"/>
      <c r="H41" s="32"/>
      <c r="I41" s="32"/>
      <c r="J41" s="50"/>
      <c r="K41" s="50"/>
      <c r="L41" s="50"/>
      <c r="M41" s="22"/>
      <c r="N41" s="22"/>
      <c r="O41" s="23"/>
      <c r="P41" s="45" t="s">
        <v>30</v>
      </c>
      <c r="Q41" s="144"/>
      <c r="R41" s="145"/>
      <c r="S41" s="145"/>
      <c r="T41" s="153"/>
      <c r="U41" s="100">
        <f>U40/L40*1000</f>
        <v>2777777.778</v>
      </c>
      <c r="V41" s="47"/>
      <c r="W41" s="47"/>
      <c r="X41" s="47"/>
      <c r="Y41" s="46">
        <f>Y40/L40*1000</f>
        <v>2500000</v>
      </c>
      <c r="Z41" s="47"/>
      <c r="AA41" s="47"/>
      <c r="AB41" s="47"/>
      <c r="AC41" s="48"/>
      <c r="AD41" s="47"/>
      <c r="AE41" s="47"/>
      <c r="AF41" s="49"/>
    </row>
    <row r="42" ht="15.75" customHeight="1">
      <c r="A42" s="1"/>
      <c r="B42" s="31"/>
      <c r="C42" s="31"/>
      <c r="D42" s="31"/>
      <c r="E42" s="31"/>
      <c r="F42" s="31"/>
      <c r="G42" s="31"/>
      <c r="H42" s="20" t="s">
        <v>61</v>
      </c>
      <c r="I42" s="20" t="s">
        <v>20</v>
      </c>
      <c r="J42" s="50">
        <v>0.0</v>
      </c>
      <c r="K42" s="50">
        <v>0.0</v>
      </c>
      <c r="L42" s="50">
        <v>6.5</v>
      </c>
      <c r="M42" s="22" t="s">
        <v>29</v>
      </c>
      <c r="N42" s="22" t="s">
        <v>29</v>
      </c>
      <c r="O42" s="74">
        <v>9230769.0</v>
      </c>
      <c r="P42" s="24"/>
      <c r="Q42" s="150"/>
      <c r="R42" s="151"/>
      <c r="S42" s="151"/>
      <c r="T42" s="154"/>
      <c r="U42" s="155"/>
      <c r="V42" s="156"/>
      <c r="W42" s="156"/>
      <c r="X42" s="156"/>
      <c r="Y42" s="103">
        <v>30000.0</v>
      </c>
      <c r="Z42" s="56"/>
      <c r="AA42" s="56"/>
      <c r="AB42" s="56"/>
      <c r="AC42" s="106"/>
      <c r="AD42" s="56"/>
      <c r="AE42" s="56"/>
      <c r="AF42" s="57"/>
      <c r="AH42" s="136"/>
    </row>
    <row r="43" ht="15.75" customHeight="1">
      <c r="A43" s="1"/>
      <c r="B43" s="31"/>
      <c r="C43" s="31"/>
      <c r="D43" s="31"/>
      <c r="E43" s="31"/>
      <c r="F43" s="31"/>
      <c r="G43" s="31"/>
      <c r="H43" s="32"/>
      <c r="I43" s="32"/>
      <c r="J43" s="50"/>
      <c r="K43" s="50"/>
      <c r="L43" s="50"/>
      <c r="M43" s="22"/>
      <c r="N43" s="22"/>
      <c r="O43" s="23"/>
      <c r="P43" s="45" t="s">
        <v>30</v>
      </c>
      <c r="Q43" s="144"/>
      <c r="R43" s="145"/>
      <c r="S43" s="145"/>
      <c r="T43" s="157"/>
      <c r="U43" s="158"/>
      <c r="V43" s="159"/>
      <c r="W43" s="159"/>
      <c r="X43" s="159"/>
      <c r="Y43" s="100">
        <f>Y42/L42*1000</f>
        <v>4615384.615</v>
      </c>
      <c r="Z43" s="47"/>
      <c r="AA43" s="47"/>
      <c r="AB43" s="47"/>
      <c r="AC43" s="48"/>
      <c r="AD43" s="47"/>
      <c r="AE43" s="47"/>
      <c r="AF43" s="49"/>
      <c r="AH43" s="136"/>
    </row>
    <row r="44" ht="15.75" customHeight="1">
      <c r="A44" s="1"/>
      <c r="B44" s="31"/>
      <c r="C44" s="31"/>
      <c r="D44" s="31"/>
      <c r="E44" s="31"/>
      <c r="F44" s="31"/>
      <c r="G44" s="31"/>
      <c r="H44" s="20" t="s">
        <v>62</v>
      </c>
      <c r="I44" s="20" t="s">
        <v>19</v>
      </c>
      <c r="J44" s="50">
        <v>0.0</v>
      </c>
      <c r="K44" s="50">
        <v>0.6</v>
      </c>
      <c r="L44" s="50">
        <v>0.0</v>
      </c>
      <c r="M44" s="22" t="s">
        <v>29</v>
      </c>
      <c r="N44" s="58">
        <v>83333.0</v>
      </c>
      <c r="O44" s="23" t="s">
        <v>29</v>
      </c>
      <c r="P44" s="24"/>
      <c r="Q44" s="150"/>
      <c r="R44" s="151"/>
      <c r="S44" s="151"/>
      <c r="T44" s="154"/>
      <c r="U44" s="158"/>
      <c r="V44" s="159"/>
      <c r="W44" s="159"/>
      <c r="X44" s="159"/>
      <c r="Y44" s="103">
        <v>25000.0</v>
      </c>
      <c r="Z44" s="56"/>
      <c r="AA44" s="56"/>
      <c r="AB44" s="56"/>
      <c r="AC44" s="106"/>
      <c r="AD44" s="56"/>
      <c r="AE44" s="56"/>
      <c r="AF44" s="57"/>
    </row>
    <row r="45" ht="15.75" customHeight="1">
      <c r="A45" s="1"/>
      <c r="B45" s="31"/>
      <c r="C45" s="31"/>
      <c r="D45" s="31"/>
      <c r="E45" s="31"/>
      <c r="F45" s="31"/>
      <c r="G45" s="31"/>
      <c r="H45" s="32"/>
      <c r="I45" s="32"/>
      <c r="J45" s="50"/>
      <c r="K45" s="50"/>
      <c r="L45" s="50"/>
      <c r="M45" s="22"/>
      <c r="N45" s="58"/>
      <c r="O45" s="23"/>
      <c r="P45" s="45" t="s">
        <v>58</v>
      </c>
      <c r="Q45" s="144"/>
      <c r="R45" s="145"/>
      <c r="S45" s="145"/>
      <c r="T45" s="157"/>
      <c r="U45" s="158"/>
      <c r="V45" s="159"/>
      <c r="W45" s="159"/>
      <c r="X45" s="159"/>
      <c r="Y45" s="100">
        <f>Y44/K44</f>
        <v>41666.66667</v>
      </c>
      <c r="Z45" s="47"/>
      <c r="AA45" s="47"/>
      <c r="AB45" s="47"/>
      <c r="AC45" s="48"/>
      <c r="AD45" s="47"/>
      <c r="AE45" s="47"/>
      <c r="AF45" s="49"/>
    </row>
    <row r="46" ht="15.75" customHeight="1">
      <c r="A46" s="1"/>
      <c r="B46" s="31"/>
      <c r="C46" s="31"/>
      <c r="D46" s="31"/>
      <c r="E46" s="31"/>
      <c r="F46" s="31"/>
      <c r="G46" s="31"/>
      <c r="H46" s="20" t="s">
        <v>63</v>
      </c>
      <c r="I46" s="20" t="s">
        <v>19</v>
      </c>
      <c r="J46" s="50">
        <v>0.0</v>
      </c>
      <c r="K46" s="50">
        <v>0.6</v>
      </c>
      <c r="L46" s="50">
        <v>0.0</v>
      </c>
      <c r="M46" s="22" t="s">
        <v>29</v>
      </c>
      <c r="N46" s="58">
        <v>100000.0</v>
      </c>
      <c r="O46" s="23" t="s">
        <v>29</v>
      </c>
      <c r="P46" s="24"/>
      <c r="Q46" s="150"/>
      <c r="R46" s="151"/>
      <c r="S46" s="151"/>
      <c r="T46" s="154"/>
      <c r="U46" s="158"/>
      <c r="V46" s="159"/>
      <c r="W46" s="159"/>
      <c r="X46" s="160"/>
      <c r="Y46" s="161"/>
      <c r="Z46" s="43"/>
      <c r="AA46" s="43"/>
      <c r="AB46" s="43"/>
      <c r="AC46" s="162"/>
      <c r="AD46" s="43"/>
      <c r="AE46" s="43"/>
      <c r="AF46" s="44"/>
    </row>
    <row r="47" ht="15.75" customHeight="1">
      <c r="A47" s="1"/>
      <c r="B47" s="31"/>
      <c r="C47" s="31"/>
      <c r="D47" s="31"/>
      <c r="E47" s="31"/>
      <c r="F47" s="31"/>
      <c r="G47" s="31"/>
      <c r="H47" s="32"/>
      <c r="I47" s="32"/>
      <c r="J47" s="50"/>
      <c r="K47" s="50"/>
      <c r="L47" s="163"/>
      <c r="M47" s="22"/>
      <c r="N47" s="58"/>
      <c r="O47" s="23"/>
      <c r="P47" s="45" t="s">
        <v>58</v>
      </c>
      <c r="Q47" s="144"/>
      <c r="R47" s="145"/>
      <c r="S47" s="145"/>
      <c r="T47" s="157"/>
      <c r="U47" s="158"/>
      <c r="V47" s="159"/>
      <c r="W47" s="159"/>
      <c r="X47" s="160"/>
      <c r="Y47" s="153"/>
      <c r="Z47" s="151"/>
      <c r="AA47" s="151"/>
      <c r="AB47" s="151"/>
      <c r="AC47" s="164"/>
      <c r="AD47" s="151"/>
      <c r="AE47" s="151"/>
      <c r="AF47" s="165"/>
    </row>
    <row r="48" ht="15.75" customHeight="1">
      <c r="A48" s="1"/>
      <c r="B48" s="31"/>
      <c r="C48" s="31"/>
      <c r="D48" s="31"/>
      <c r="E48" s="31"/>
      <c r="F48" s="31"/>
      <c r="G48" s="31"/>
      <c r="H48" s="20" t="s">
        <v>64</v>
      </c>
      <c r="I48" s="20" t="s">
        <v>19</v>
      </c>
      <c r="J48" s="50">
        <v>0.0</v>
      </c>
      <c r="K48" s="50">
        <v>0.45</v>
      </c>
      <c r="L48" s="163">
        <v>0.0</v>
      </c>
      <c r="M48" s="22" t="s">
        <v>29</v>
      </c>
      <c r="N48" s="58">
        <v>200000.0</v>
      </c>
      <c r="O48" s="23" t="s">
        <v>29</v>
      </c>
      <c r="P48" s="24"/>
      <c r="Q48" s="150"/>
      <c r="R48" s="151"/>
      <c r="S48" s="151"/>
      <c r="T48" s="154"/>
      <c r="U48" s="158"/>
      <c r="V48" s="159"/>
      <c r="W48" s="159"/>
      <c r="X48" s="160"/>
      <c r="Y48" s="153"/>
      <c r="Z48" s="151"/>
      <c r="AA48" s="151"/>
      <c r="AB48" s="151"/>
      <c r="AC48" s="164"/>
      <c r="AD48" s="151"/>
      <c r="AE48" s="151"/>
      <c r="AF48" s="165"/>
      <c r="AG48" s="136"/>
    </row>
    <row r="49" ht="15.75" customHeight="1">
      <c r="A49" s="1"/>
      <c r="B49" s="31"/>
      <c r="C49" s="31"/>
      <c r="D49" s="31"/>
      <c r="E49" s="32"/>
      <c r="F49" s="32"/>
      <c r="G49" s="32"/>
      <c r="H49" s="32"/>
      <c r="I49" s="32"/>
      <c r="J49" s="19"/>
      <c r="K49" s="19"/>
      <c r="L49" s="166"/>
      <c r="M49" s="22"/>
      <c r="N49" s="58"/>
      <c r="O49" s="23"/>
      <c r="P49" s="45" t="s">
        <v>58</v>
      </c>
      <c r="Q49" s="167"/>
      <c r="R49" s="168"/>
      <c r="S49" s="168"/>
      <c r="T49" s="169"/>
      <c r="U49" s="170"/>
      <c r="V49" s="171"/>
      <c r="W49" s="171"/>
      <c r="X49" s="172"/>
      <c r="Y49" s="158"/>
      <c r="Z49" s="159"/>
      <c r="AA49" s="159"/>
      <c r="AB49" s="160"/>
      <c r="AC49" s="158"/>
      <c r="AD49" s="159"/>
      <c r="AE49" s="159"/>
      <c r="AF49" s="173"/>
      <c r="AG49" s="136"/>
    </row>
    <row r="50" ht="15.75" customHeight="1">
      <c r="A50" s="1"/>
      <c r="B50" s="31"/>
      <c r="C50" s="31"/>
      <c r="D50" s="31"/>
      <c r="E50" s="39" t="s">
        <v>47</v>
      </c>
      <c r="F50" s="17">
        <v>0.0</v>
      </c>
      <c r="G50" s="20" t="s">
        <v>65</v>
      </c>
      <c r="H50" s="20" t="s">
        <v>43</v>
      </c>
      <c r="I50" s="20" t="s">
        <v>44</v>
      </c>
      <c r="J50" s="19">
        <f>F50/M50</f>
        <v>0</v>
      </c>
      <c r="K50" s="19">
        <v>0.0</v>
      </c>
      <c r="L50" s="166">
        <v>0.0</v>
      </c>
      <c r="M50" s="58">
        <v>200000.0</v>
      </c>
      <c r="N50" s="58" t="s">
        <v>29</v>
      </c>
      <c r="O50" s="23" t="s">
        <v>29</v>
      </c>
      <c r="P50" s="24"/>
      <c r="Q50" s="167"/>
      <c r="R50" s="168"/>
      <c r="S50" s="168"/>
      <c r="T50" s="169"/>
      <c r="U50" s="168"/>
      <c r="V50" s="168"/>
      <c r="W50" s="168"/>
      <c r="X50" s="169"/>
      <c r="Y50" s="174"/>
      <c r="Z50" s="151"/>
      <c r="AA50" s="151"/>
      <c r="AB50" s="154"/>
      <c r="AC50" s="174"/>
      <c r="AD50" s="151"/>
      <c r="AE50" s="151"/>
      <c r="AF50" s="165"/>
      <c r="AG50" s="136"/>
    </row>
    <row r="51" ht="15.75" customHeight="1">
      <c r="A51" s="1"/>
      <c r="B51" s="31"/>
      <c r="C51" s="31"/>
      <c r="D51" s="31"/>
      <c r="E51" s="31"/>
      <c r="F51" s="32"/>
      <c r="G51" s="31"/>
      <c r="H51" s="31"/>
      <c r="I51" s="31"/>
      <c r="J51" s="19"/>
      <c r="K51" s="19"/>
      <c r="L51" s="166"/>
      <c r="M51" s="58"/>
      <c r="N51" s="58"/>
      <c r="O51" s="23"/>
      <c r="P51" s="45" t="s">
        <v>37</v>
      </c>
      <c r="Q51" s="167"/>
      <c r="R51" s="168"/>
      <c r="S51" s="168"/>
      <c r="T51" s="169"/>
      <c r="U51" s="168"/>
      <c r="V51" s="168"/>
      <c r="W51" s="168"/>
      <c r="X51" s="169"/>
      <c r="Y51" s="158"/>
      <c r="Z51" s="159"/>
      <c r="AA51" s="159"/>
      <c r="AB51" s="160"/>
      <c r="AC51" s="158"/>
      <c r="AD51" s="159"/>
      <c r="AE51" s="159"/>
      <c r="AF51" s="173"/>
      <c r="AG51" s="136"/>
    </row>
    <row r="52" ht="15.75" customHeight="1">
      <c r="A52" s="1"/>
      <c r="B52" s="31"/>
      <c r="C52" s="31"/>
      <c r="D52" s="31"/>
      <c r="E52" s="39" t="s">
        <v>47</v>
      </c>
      <c r="F52" s="17">
        <v>0.0</v>
      </c>
      <c r="G52" s="20" t="s">
        <v>66</v>
      </c>
      <c r="H52" s="20" t="s">
        <v>43</v>
      </c>
      <c r="I52" s="20" t="s">
        <v>44</v>
      </c>
      <c r="J52" s="19">
        <f>F52/M52</f>
        <v>0</v>
      </c>
      <c r="K52" s="19">
        <v>0.0</v>
      </c>
      <c r="L52" s="166">
        <v>0.0</v>
      </c>
      <c r="M52" s="58">
        <v>600000.0</v>
      </c>
      <c r="N52" s="58" t="s">
        <v>29</v>
      </c>
      <c r="O52" s="23" t="s">
        <v>29</v>
      </c>
      <c r="P52" s="62"/>
      <c r="Q52" s="167"/>
      <c r="R52" s="168"/>
      <c r="S52" s="168"/>
      <c r="T52" s="169"/>
      <c r="U52" s="153"/>
      <c r="V52" s="168"/>
      <c r="W52" s="168"/>
      <c r="X52" s="169"/>
      <c r="Y52" s="174"/>
      <c r="Z52" s="151"/>
      <c r="AA52" s="151"/>
      <c r="AB52" s="154"/>
      <c r="AC52" s="174"/>
      <c r="AD52" s="151"/>
      <c r="AE52" s="151"/>
      <c r="AF52" s="165"/>
      <c r="AG52" s="136"/>
    </row>
    <row r="53" ht="15.75" customHeight="1">
      <c r="A53" s="1"/>
      <c r="B53" s="31"/>
      <c r="C53" s="31"/>
      <c r="D53" s="31"/>
      <c r="E53" s="31"/>
      <c r="F53" s="32"/>
      <c r="G53" s="31"/>
      <c r="H53" s="31"/>
      <c r="I53" s="31"/>
      <c r="J53" s="19"/>
      <c r="K53" s="19"/>
      <c r="L53" s="166"/>
      <c r="M53" s="58"/>
      <c r="N53" s="58"/>
      <c r="O53" s="23"/>
      <c r="P53" s="45" t="s">
        <v>37</v>
      </c>
      <c r="Q53" s="167"/>
      <c r="R53" s="168"/>
      <c r="S53" s="168"/>
      <c r="T53" s="169"/>
      <c r="U53" s="168"/>
      <c r="V53" s="168"/>
      <c r="W53" s="168"/>
      <c r="X53" s="169"/>
      <c r="Y53" s="153"/>
      <c r="Z53" s="168"/>
      <c r="AA53" s="168"/>
      <c r="AB53" s="169"/>
      <c r="AC53" s="153"/>
      <c r="AD53" s="168"/>
      <c r="AE53" s="168"/>
      <c r="AF53" s="175"/>
      <c r="AG53" s="136"/>
    </row>
    <row r="54" ht="15.75" customHeight="1">
      <c r="A54" s="1"/>
      <c r="B54" s="31"/>
      <c r="C54" s="31"/>
      <c r="D54" s="31"/>
      <c r="E54" s="18" t="s">
        <v>47</v>
      </c>
      <c r="F54" s="17">
        <v>0.0</v>
      </c>
      <c r="G54" s="20" t="s">
        <v>67</v>
      </c>
      <c r="H54" s="20" t="s">
        <v>43</v>
      </c>
      <c r="I54" s="41" t="s">
        <v>44</v>
      </c>
      <c r="J54" s="176">
        <f>F54/M54</f>
        <v>0</v>
      </c>
      <c r="K54" s="176">
        <v>0.0</v>
      </c>
      <c r="L54" s="177">
        <v>0.0</v>
      </c>
      <c r="M54" s="58">
        <v>100000.0</v>
      </c>
      <c r="N54" s="60" t="s">
        <v>29</v>
      </c>
      <c r="O54" s="61" t="s">
        <v>29</v>
      </c>
      <c r="P54" s="62"/>
      <c r="Q54" s="178"/>
      <c r="R54" s="179"/>
      <c r="S54" s="179"/>
      <c r="T54" s="180"/>
      <c r="U54" s="181"/>
      <c r="V54" s="179"/>
      <c r="W54" s="179"/>
      <c r="X54" s="180"/>
      <c r="Y54" s="182"/>
      <c r="Z54" s="179"/>
      <c r="AA54" s="179"/>
      <c r="AB54" s="180"/>
      <c r="AC54" s="182"/>
      <c r="AD54" s="179"/>
      <c r="AE54" s="179"/>
      <c r="AF54" s="183"/>
      <c r="AG54" s="136"/>
      <c r="AH54" s="136"/>
    </row>
    <row r="55" ht="15.75" customHeight="1">
      <c r="A55" s="1"/>
      <c r="B55" s="32"/>
      <c r="C55" s="32"/>
      <c r="D55" s="32"/>
      <c r="E55" s="31"/>
      <c r="F55" s="32"/>
      <c r="G55" s="31"/>
      <c r="H55" s="31"/>
      <c r="I55" s="31"/>
      <c r="J55" s="184"/>
      <c r="K55" s="184"/>
      <c r="L55" s="184"/>
      <c r="M55" s="185"/>
      <c r="N55" s="186"/>
      <c r="O55" s="186"/>
      <c r="P55" s="187" t="s">
        <v>37</v>
      </c>
      <c r="Q55" s="188"/>
      <c r="R55" s="189"/>
      <c r="S55" s="189"/>
      <c r="T55" s="190"/>
      <c r="U55" s="190"/>
      <c r="V55" s="190"/>
      <c r="W55" s="190"/>
      <c r="X55" s="190"/>
      <c r="Y55" s="191"/>
      <c r="Z55" s="191"/>
      <c r="AA55" s="191"/>
      <c r="AB55" s="191"/>
      <c r="AC55" s="191"/>
      <c r="AD55" s="191"/>
      <c r="AE55" s="191"/>
      <c r="AF55" s="192"/>
      <c r="AG55" s="136"/>
      <c r="AH55" s="136"/>
    </row>
    <row r="56" ht="21.75" customHeight="1">
      <c r="A56" s="1"/>
      <c r="B56" s="193" t="s">
        <v>68</v>
      </c>
      <c r="C56" s="194"/>
      <c r="D56" s="195"/>
      <c r="E56" s="196"/>
      <c r="F56" s="197">
        <f>SUM(F10:F54)</f>
        <v>2319400.34</v>
      </c>
      <c r="G56" s="198"/>
      <c r="H56" s="196"/>
      <c r="I56" s="196"/>
      <c r="J56" s="198"/>
      <c r="K56" s="199"/>
      <c r="L56" s="200"/>
      <c r="M56" s="201">
        <f>SUM(M14:M16,M28,M32,M36,M54)</f>
        <v>21776190</v>
      </c>
      <c r="N56" s="201">
        <f>SUM(N35:N48)</f>
        <v>383333</v>
      </c>
      <c r="O56" s="201">
        <f>SUM(O10:O12,O18:O20,O24:O26,O30,O35,O38:O42)</f>
        <v>416199363</v>
      </c>
      <c r="P56" s="202"/>
      <c r="Q56" s="203"/>
      <c r="R56" s="204"/>
      <c r="S56" s="204"/>
      <c r="T56" s="204"/>
      <c r="U56" s="205"/>
      <c r="V56" s="204"/>
      <c r="W56" s="204"/>
      <c r="X56" s="204"/>
      <c r="Y56" s="205"/>
      <c r="Z56" s="204"/>
      <c r="AA56" s="204"/>
      <c r="AB56" s="204"/>
      <c r="AC56" s="206"/>
      <c r="AD56" s="7"/>
      <c r="AE56" s="7"/>
      <c r="AF56" s="9"/>
      <c r="AH56" s="136"/>
    </row>
    <row r="57" ht="15.75" customHeight="1">
      <c r="A57" s="1"/>
      <c r="B57" s="207"/>
      <c r="C57" s="208"/>
      <c r="D57" s="1"/>
      <c r="E57" s="1"/>
      <c r="F57" s="209"/>
      <c r="G57" s="1"/>
      <c r="H57" s="1"/>
      <c r="I57" s="1"/>
      <c r="J57" s="1"/>
      <c r="K57" s="1"/>
      <c r="L57" s="1"/>
      <c r="M57" s="1"/>
      <c r="N57" s="1"/>
      <c r="O57" s="210"/>
      <c r="P57" s="210"/>
      <c r="Q57" s="211"/>
      <c r="R57" s="212"/>
      <c r="S57" s="212"/>
      <c r="T57" s="212"/>
      <c r="U57" s="67"/>
      <c r="Y57" s="67"/>
      <c r="AC57" s="213"/>
    </row>
    <row r="58" ht="15.75" customHeight="1">
      <c r="A58" s="1"/>
      <c r="B58" s="1"/>
      <c r="C58" s="1"/>
      <c r="D58" s="1"/>
      <c r="E58" s="1"/>
      <c r="F58" s="214"/>
      <c r="G58" s="1"/>
      <c r="H58" s="1"/>
      <c r="I58" s="1"/>
      <c r="J58" s="1"/>
      <c r="K58" s="215"/>
      <c r="L58" s="1"/>
      <c r="M58" s="1"/>
      <c r="N58" s="1"/>
      <c r="O58" s="215"/>
      <c r="P58" s="215"/>
      <c r="Q58" s="216">
        <f>SUM(Q28,Q22,Q20,Q18,Q16,Q14,Q12,Q10)</f>
        <v>665366.003</v>
      </c>
      <c r="U58" s="216">
        <f>SUM(U10,U12,U14,U16,U18,U20,U22,U24,U26,U28,U40)</f>
        <v>773069.003</v>
      </c>
      <c r="Y58" s="216">
        <f>SUM(Y10,Y12,Y14,Y22,Y24,Y26,Y28,Y32,Y36,Y38,Y40,Y42,Y44)</f>
        <v>800965.333</v>
      </c>
      <c r="AC58" s="217">
        <f>SUM(AC34,AC10)</f>
        <v>80000</v>
      </c>
    </row>
    <row r="59" ht="15.75" customHeight="1">
      <c r="A59" s="1"/>
      <c r="B59" s="1"/>
      <c r="C59" s="1"/>
      <c r="D59" s="1"/>
      <c r="E59" s="1"/>
      <c r="F59" s="218"/>
      <c r="G59" s="1"/>
      <c r="H59" s="1"/>
      <c r="I59" s="1"/>
      <c r="J59" s="1"/>
      <c r="K59" s="1"/>
      <c r="L59" s="1"/>
      <c r="M59" s="1"/>
      <c r="N59" s="1"/>
      <c r="O59" s="219"/>
      <c r="P59" s="219"/>
      <c r="Q59" s="220"/>
      <c r="U59" s="220"/>
      <c r="Y59" s="220"/>
      <c r="AC59" s="220">
        <v>0.0</v>
      </c>
    </row>
    <row r="60" ht="15.75" customHeight="1">
      <c r="A60" s="1"/>
      <c r="B60" s="1"/>
      <c r="C60" s="1"/>
      <c r="D60" s="1"/>
      <c r="E60" s="1"/>
      <c r="F60" s="1"/>
      <c r="G60" s="214"/>
      <c r="H60" s="221"/>
      <c r="I60" s="1"/>
      <c r="J60" s="1"/>
      <c r="K60" s="1"/>
      <c r="L60" s="1"/>
      <c r="M60" s="1"/>
      <c r="N60" s="1"/>
      <c r="O60" s="1"/>
      <c r="P60" s="1" t="s">
        <v>69</v>
      </c>
      <c r="Q60" s="216">
        <f>SUM(Q58,U58,Y58,AC58)</f>
        <v>2319400.339</v>
      </c>
      <c r="Y60" s="130"/>
      <c r="Z60" s="130"/>
      <c r="AA60" s="130"/>
      <c r="AB60" s="130"/>
    </row>
    <row r="61" ht="15.75" customHeight="1">
      <c r="A61" s="1"/>
      <c r="B61" s="1"/>
      <c r="C61" s="222"/>
      <c r="D61" s="1"/>
      <c r="E61" s="214" t="s">
        <v>70</v>
      </c>
      <c r="F61" s="209">
        <v>150000.0</v>
      </c>
      <c r="G61" s="223"/>
      <c r="H61" s="214"/>
      <c r="I61" s="1"/>
      <c r="J61" s="1"/>
      <c r="K61" s="1"/>
      <c r="L61" s="1"/>
      <c r="M61" s="1"/>
      <c r="N61" s="1"/>
      <c r="O61" s="219"/>
      <c r="P61" s="219" t="s">
        <v>71</v>
      </c>
      <c r="Q61" s="136">
        <v>1958255.664</v>
      </c>
      <c r="Y61" s="130"/>
      <c r="Z61" s="130"/>
      <c r="AA61" s="130"/>
      <c r="AB61" s="130"/>
      <c r="AC61" s="224"/>
    </row>
    <row r="62" ht="15.75" customHeight="1">
      <c r="A62" s="1"/>
      <c r="B62" s="1"/>
      <c r="C62" s="222"/>
      <c r="D62" s="1"/>
      <c r="E62" s="1"/>
      <c r="F62" s="223"/>
      <c r="G62" s="1"/>
      <c r="H62" s="1"/>
      <c r="I62" s="1"/>
      <c r="J62" s="1"/>
      <c r="K62" s="1"/>
      <c r="L62" s="1"/>
      <c r="M62" s="1"/>
      <c r="N62" s="1"/>
      <c r="O62" s="1"/>
      <c r="P62" s="1" t="s">
        <v>72</v>
      </c>
      <c r="Q62" s="225">
        <f>Q60+Q61</f>
        <v>4277656.003</v>
      </c>
      <c r="Y62" s="130"/>
      <c r="Z62" s="130"/>
      <c r="AA62" s="130"/>
      <c r="AB62" s="130"/>
      <c r="AC62" s="226"/>
    </row>
    <row r="63" ht="15.75" customHeight="1">
      <c r="A63" s="1"/>
      <c r="B63" s="1"/>
      <c r="C63" s="1"/>
      <c r="D63" s="1"/>
      <c r="E63" s="1"/>
      <c r="F63" s="223"/>
      <c r="G63" s="1"/>
      <c r="H63" s="1"/>
      <c r="I63" s="1"/>
      <c r="J63" s="20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227"/>
      <c r="F64" s="1"/>
      <c r="G64" s="1"/>
      <c r="H64" s="1"/>
      <c r="I64" s="1"/>
      <c r="J64" s="1"/>
      <c r="K64" s="214"/>
      <c r="L64" s="1"/>
      <c r="M64" s="1"/>
      <c r="N64" s="1"/>
      <c r="O64" s="1"/>
      <c r="P64" s="1"/>
      <c r="Q64" s="228">
        <f>Q62-F57</f>
        <v>4277656.003</v>
      </c>
      <c r="Y64" s="1"/>
      <c r="Z64" s="216"/>
    </row>
    <row r="65" ht="15.75" customHeight="1">
      <c r="A65" s="1"/>
      <c r="B65" s="1"/>
      <c r="C65" s="1"/>
      <c r="D65" s="1"/>
      <c r="E65" s="229"/>
      <c r="F65" s="1"/>
      <c r="G65" s="1"/>
      <c r="H65" s="214"/>
      <c r="I65" s="214"/>
      <c r="J65" s="214"/>
      <c r="K65" s="1"/>
      <c r="L65" s="1"/>
      <c r="M65" s="1"/>
      <c r="N65" s="1"/>
      <c r="O65" s="1"/>
      <c r="P65" s="1"/>
      <c r="Q65" s="228">
        <f>Q64-F56</f>
        <v>1958255.663</v>
      </c>
      <c r="Y65" s="1"/>
      <c r="Z65" s="230"/>
    </row>
    <row r="66" ht="15.75" customHeight="1">
      <c r="A66" s="1"/>
      <c r="B66" s="1"/>
      <c r="C66" s="1"/>
      <c r="D66" s="1"/>
      <c r="E66" s="229"/>
      <c r="F66" s="1"/>
      <c r="G66" s="1"/>
      <c r="H66" s="1"/>
      <c r="I66" s="1"/>
      <c r="J66" s="1"/>
      <c r="K66" s="23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22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229"/>
      <c r="F68" s="1"/>
      <c r="G68" s="1"/>
      <c r="H68" s="1"/>
      <c r="I68" s="1"/>
      <c r="J68" s="1"/>
      <c r="K68" s="221"/>
      <c r="L68" s="231"/>
      <c r="M68" s="209">
        <v>140200.0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227"/>
      <c r="F69" s="1"/>
      <c r="G69" s="1"/>
      <c r="H69" s="1"/>
      <c r="I69" s="1"/>
      <c r="J69" s="1"/>
      <c r="K69" s="221"/>
      <c r="L69" s="231"/>
      <c r="M69" s="209">
        <v>50000.0</v>
      </c>
      <c r="N69" s="209">
        <v>1.2</v>
      </c>
      <c r="O69" s="215">
        <f>M69/N69</f>
        <v>41666.66667</v>
      </c>
      <c r="P69" s="215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227"/>
      <c r="F70" s="1"/>
      <c r="G70" s="1"/>
      <c r="H70" s="1"/>
      <c r="I70" s="1"/>
      <c r="J70" s="1"/>
      <c r="K70" s="1"/>
      <c r="L70" s="1"/>
      <c r="M70" s="209">
        <f>M68-M69</f>
        <v>90200</v>
      </c>
      <c r="N70" s="209">
        <v>2.0</v>
      </c>
      <c r="O70" s="232">
        <f>M70/N70*1000</f>
        <v>45100000</v>
      </c>
      <c r="P70" s="232"/>
      <c r="Q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22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09"/>
      <c r="J72" s="1"/>
      <c r="K72" s="1"/>
      <c r="L72" s="1"/>
      <c r="M72" s="1"/>
      <c r="N72" s="1"/>
      <c r="O72" s="1" t="s">
        <v>34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4">
    <mergeCell ref="Q14:T14"/>
    <mergeCell ref="U14:X14"/>
    <mergeCell ref="Y14:AB14"/>
    <mergeCell ref="AC14:AF14"/>
    <mergeCell ref="Q15:T15"/>
    <mergeCell ref="U15:X15"/>
    <mergeCell ref="Y15:AB15"/>
    <mergeCell ref="AC15:AF15"/>
    <mergeCell ref="F16:F21"/>
    <mergeCell ref="G16:G21"/>
    <mergeCell ref="H16:H17"/>
    <mergeCell ref="I16:I17"/>
    <mergeCell ref="Q16:T16"/>
    <mergeCell ref="U16:X16"/>
    <mergeCell ref="Q21:T21"/>
    <mergeCell ref="U21:X21"/>
    <mergeCell ref="F22:F23"/>
    <mergeCell ref="G22:G23"/>
    <mergeCell ref="F26:F27"/>
    <mergeCell ref="G26:G27"/>
    <mergeCell ref="H26:H27"/>
    <mergeCell ref="I26:I27"/>
    <mergeCell ref="H22:H23"/>
    <mergeCell ref="I22:I23"/>
    <mergeCell ref="Y22:AB22"/>
    <mergeCell ref="AC22:AF22"/>
    <mergeCell ref="U8:X8"/>
    <mergeCell ref="Y8:AB8"/>
    <mergeCell ref="AC8:AF8"/>
    <mergeCell ref="B10:B23"/>
    <mergeCell ref="C10:C23"/>
    <mergeCell ref="AC10:AF10"/>
    <mergeCell ref="AC11:AF11"/>
    <mergeCell ref="Y23:AB23"/>
    <mergeCell ref="E22:E23"/>
    <mergeCell ref="E24:E25"/>
    <mergeCell ref="F24:F25"/>
    <mergeCell ref="G24:G25"/>
    <mergeCell ref="H24:H25"/>
    <mergeCell ref="I24:I25"/>
    <mergeCell ref="Y27:AB27"/>
    <mergeCell ref="AC27:AF27"/>
    <mergeCell ref="Y35:AB35"/>
    <mergeCell ref="AC35:AF35"/>
    <mergeCell ref="E50:E51"/>
    <mergeCell ref="E52:E53"/>
    <mergeCell ref="D10:D23"/>
    <mergeCell ref="E12:E13"/>
    <mergeCell ref="E14:E15"/>
    <mergeCell ref="E16:E21"/>
    <mergeCell ref="B24:B55"/>
    <mergeCell ref="C24:C55"/>
    <mergeCell ref="D24:D55"/>
    <mergeCell ref="E54:E55"/>
    <mergeCell ref="G30:G31"/>
    <mergeCell ref="H30:H31"/>
    <mergeCell ref="E26:E27"/>
    <mergeCell ref="E28:E29"/>
    <mergeCell ref="F28:F29"/>
    <mergeCell ref="G28:G29"/>
    <mergeCell ref="H28:H29"/>
    <mergeCell ref="I28:I29"/>
    <mergeCell ref="F30:F31"/>
    <mergeCell ref="I30:I31"/>
    <mergeCell ref="E30:E31"/>
    <mergeCell ref="E32:E33"/>
    <mergeCell ref="F32:F33"/>
    <mergeCell ref="G32:G33"/>
    <mergeCell ref="H32:H33"/>
    <mergeCell ref="I32:I33"/>
    <mergeCell ref="F34:F35"/>
    <mergeCell ref="I34:I35"/>
    <mergeCell ref="G34:G35"/>
    <mergeCell ref="H34:H35"/>
    <mergeCell ref="H36:H37"/>
    <mergeCell ref="I36:I37"/>
    <mergeCell ref="H38:H39"/>
    <mergeCell ref="I38:I39"/>
    <mergeCell ref="I40:I41"/>
    <mergeCell ref="H48:H49"/>
    <mergeCell ref="I48:I49"/>
    <mergeCell ref="H50:H51"/>
    <mergeCell ref="I50:I51"/>
    <mergeCell ref="H52:H53"/>
    <mergeCell ref="I52:I53"/>
    <mergeCell ref="H40:H41"/>
    <mergeCell ref="H42:H43"/>
    <mergeCell ref="I42:I43"/>
    <mergeCell ref="H44:H45"/>
    <mergeCell ref="I44:I45"/>
    <mergeCell ref="H46:H47"/>
    <mergeCell ref="I46:I47"/>
    <mergeCell ref="F52:F53"/>
    <mergeCell ref="F54:F55"/>
    <mergeCell ref="G54:G55"/>
    <mergeCell ref="H54:H55"/>
    <mergeCell ref="I54:I55"/>
    <mergeCell ref="E34:E35"/>
    <mergeCell ref="E36:E49"/>
    <mergeCell ref="F36:F49"/>
    <mergeCell ref="G36:G49"/>
    <mergeCell ref="F50:F51"/>
    <mergeCell ref="G50:G51"/>
    <mergeCell ref="G52:G53"/>
    <mergeCell ref="Q56:T56"/>
    <mergeCell ref="Q57:T57"/>
    <mergeCell ref="Q58:T58"/>
    <mergeCell ref="Q59:T59"/>
    <mergeCell ref="Q60:X60"/>
    <mergeCell ref="Q61:X61"/>
    <mergeCell ref="Q62:X62"/>
    <mergeCell ref="U57:X57"/>
    <mergeCell ref="U58:X58"/>
    <mergeCell ref="Y58:AB58"/>
    <mergeCell ref="AC58:AF58"/>
    <mergeCell ref="U59:X59"/>
    <mergeCell ref="Y59:AB59"/>
    <mergeCell ref="AC59:AF59"/>
    <mergeCell ref="Q29:T29"/>
    <mergeCell ref="Q30:T30"/>
    <mergeCell ref="AC30:AF30"/>
    <mergeCell ref="AC31:AF31"/>
    <mergeCell ref="Q32:T32"/>
    <mergeCell ref="Y32:AB32"/>
    <mergeCell ref="AC32:AF32"/>
    <mergeCell ref="U32:X32"/>
    <mergeCell ref="U33:X33"/>
    <mergeCell ref="Y33:AB33"/>
    <mergeCell ref="U34:X34"/>
    <mergeCell ref="AC34:AF34"/>
    <mergeCell ref="Q35:T35"/>
    <mergeCell ref="U35:X35"/>
    <mergeCell ref="Y38:AB38"/>
    <mergeCell ref="AC38:AF38"/>
    <mergeCell ref="Y39:AB39"/>
    <mergeCell ref="AC39:AF39"/>
    <mergeCell ref="Q36:T36"/>
    <mergeCell ref="U36:X36"/>
    <mergeCell ref="Y36:AB36"/>
    <mergeCell ref="AC36:AF36"/>
    <mergeCell ref="Y37:AB37"/>
    <mergeCell ref="AC37:AF37"/>
    <mergeCell ref="Q38:T38"/>
    <mergeCell ref="Q40:T40"/>
    <mergeCell ref="U40:X40"/>
    <mergeCell ref="Y40:AB40"/>
    <mergeCell ref="AC40:AF40"/>
    <mergeCell ref="U41:X41"/>
    <mergeCell ref="AC41:AF41"/>
    <mergeCell ref="AC42:AF42"/>
    <mergeCell ref="Q42:T42"/>
    <mergeCell ref="Q44:T44"/>
    <mergeCell ref="Q46:T46"/>
    <mergeCell ref="Q48:T48"/>
    <mergeCell ref="Q54:T54"/>
    <mergeCell ref="U54:X54"/>
    <mergeCell ref="U56:X56"/>
    <mergeCell ref="AC61:AF61"/>
    <mergeCell ref="AC62:AF62"/>
    <mergeCell ref="Q64:X64"/>
    <mergeCell ref="Z64:AB64"/>
    <mergeCell ref="Q65:X65"/>
    <mergeCell ref="Z65:AB65"/>
    <mergeCell ref="E10:E11"/>
    <mergeCell ref="F10:F11"/>
    <mergeCell ref="G10:G11"/>
    <mergeCell ref="H10:H11"/>
    <mergeCell ref="Q8:T8"/>
    <mergeCell ref="Q10:T10"/>
    <mergeCell ref="U10:X10"/>
    <mergeCell ref="Y10:AB10"/>
    <mergeCell ref="I10:I11"/>
    <mergeCell ref="Q11:T11"/>
    <mergeCell ref="U11:X11"/>
    <mergeCell ref="Y11:AB11"/>
    <mergeCell ref="F12:F13"/>
    <mergeCell ref="G12:G13"/>
    <mergeCell ref="H12:H13"/>
    <mergeCell ref="I12:I13"/>
    <mergeCell ref="Q12:T12"/>
    <mergeCell ref="U12:X12"/>
    <mergeCell ref="Y12:AB12"/>
    <mergeCell ref="AC12:AF12"/>
    <mergeCell ref="Q13:T13"/>
    <mergeCell ref="U13:X13"/>
    <mergeCell ref="Y13:AB13"/>
    <mergeCell ref="AC13:AF13"/>
    <mergeCell ref="F14:F15"/>
    <mergeCell ref="G14:G15"/>
    <mergeCell ref="H14:H15"/>
    <mergeCell ref="I14:I15"/>
    <mergeCell ref="Y16:AB16"/>
    <mergeCell ref="Q17:T17"/>
    <mergeCell ref="U17:X17"/>
    <mergeCell ref="H18:H19"/>
    <mergeCell ref="I18:I19"/>
    <mergeCell ref="Q18:T18"/>
    <mergeCell ref="U18:X18"/>
    <mergeCell ref="Y18:AB18"/>
    <mergeCell ref="Q19:T19"/>
    <mergeCell ref="U19:X19"/>
    <mergeCell ref="H20:H21"/>
    <mergeCell ref="I20:I21"/>
    <mergeCell ref="Q20:T20"/>
    <mergeCell ref="U20:X20"/>
    <mergeCell ref="Y20:AB20"/>
    <mergeCell ref="AC20:AF20"/>
    <mergeCell ref="Y25:AB25"/>
    <mergeCell ref="AC25:AF25"/>
    <mergeCell ref="Q23:T23"/>
    <mergeCell ref="U23:X23"/>
    <mergeCell ref="Q24:T24"/>
    <mergeCell ref="U24:X24"/>
    <mergeCell ref="Y24:AB24"/>
    <mergeCell ref="AC24:AF24"/>
    <mergeCell ref="U25:X25"/>
    <mergeCell ref="Q22:T22"/>
    <mergeCell ref="U22:X22"/>
    <mergeCell ref="Q26:T26"/>
    <mergeCell ref="U26:X26"/>
    <mergeCell ref="Y26:AB26"/>
    <mergeCell ref="AC26:AF26"/>
    <mergeCell ref="U27:X27"/>
    <mergeCell ref="Q28:T28"/>
    <mergeCell ref="U28:X28"/>
    <mergeCell ref="Y28:AB28"/>
    <mergeCell ref="AC28:AF28"/>
    <mergeCell ref="U29:X29"/>
    <mergeCell ref="Y29:AB29"/>
    <mergeCell ref="AC29:AF29"/>
    <mergeCell ref="Y45:AB45"/>
    <mergeCell ref="Y46:AB46"/>
    <mergeCell ref="Y47:AB47"/>
    <mergeCell ref="Y50:AB50"/>
    <mergeCell ref="AC50:AF50"/>
    <mergeCell ref="Y52:AB52"/>
    <mergeCell ref="AC52:AF52"/>
    <mergeCell ref="Y41:AB41"/>
    <mergeCell ref="Y42:AB42"/>
    <mergeCell ref="Y43:AB43"/>
    <mergeCell ref="AC43:AF43"/>
    <mergeCell ref="Y44:AB44"/>
    <mergeCell ref="AC44:AF44"/>
    <mergeCell ref="AC45:AF45"/>
    <mergeCell ref="Y56:AB56"/>
    <mergeCell ref="Y57:AB57"/>
    <mergeCell ref="AC46:AF46"/>
    <mergeCell ref="AC47:AF47"/>
    <mergeCell ref="Y48:AB48"/>
    <mergeCell ref="AC48:AF48"/>
    <mergeCell ref="Y54:AB54"/>
    <mergeCell ref="AC54:AF54"/>
    <mergeCell ref="AC56:AF56"/>
    <mergeCell ref="AC57:AF5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2" width="3.86"/>
    <col customWidth="1" min="3" max="3" width="17.0"/>
    <col customWidth="1" min="4" max="4" width="18.29"/>
    <col customWidth="1" min="5" max="5" width="12.86"/>
    <col customWidth="1" min="6" max="6" width="19.14"/>
    <col customWidth="1" min="7" max="7" width="25.29"/>
    <col customWidth="1" min="8" max="8" width="13.86"/>
    <col customWidth="1" min="9" max="9" width="9.86"/>
    <col customWidth="1" min="10" max="10" width="32.29"/>
    <col customWidth="1" min="11" max="11" width="12.29"/>
    <col customWidth="1" min="12" max="12" width="10.14"/>
    <col customWidth="1" min="13" max="13" width="11.29"/>
    <col customWidth="1" min="14" max="14" width="6.0"/>
    <col customWidth="1" min="15" max="15" width="10.29"/>
    <col customWidth="1" min="16" max="16" width="11.43"/>
    <col customWidth="1" min="17" max="17" width="8.86"/>
    <col customWidth="1" min="18" max="18" width="16.71"/>
    <col customWidth="1" min="19" max="24" width="13.86"/>
    <col customWidth="1" min="25" max="25" width="15.43"/>
    <col customWidth="1" min="26" max="26" width="7.0"/>
    <col customWidth="1" min="27" max="28" width="14.43"/>
  </cols>
  <sheetData>
    <row r="1" ht="15.75" customHeight="1">
      <c r="A1" s="583"/>
      <c r="B1" s="584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6"/>
      <c r="Z1" s="130"/>
      <c r="AA1" s="130"/>
      <c r="AB1" s="130"/>
    </row>
    <row r="2" ht="15.75" customHeight="1">
      <c r="A2" s="583"/>
      <c r="B2" s="584"/>
      <c r="C2" s="585"/>
      <c r="D2" s="587" t="s">
        <v>229</v>
      </c>
      <c r="E2" s="587" t="s">
        <v>230</v>
      </c>
      <c r="F2" s="587"/>
      <c r="G2" s="585"/>
      <c r="H2" s="585"/>
      <c r="I2" s="585"/>
      <c r="J2" s="587"/>
      <c r="K2" s="585"/>
      <c r="L2" s="585"/>
      <c r="M2" s="586"/>
      <c r="N2" s="586"/>
      <c r="O2" s="586"/>
      <c r="P2" s="586"/>
      <c r="Q2" s="586"/>
      <c r="R2" s="587"/>
      <c r="S2" s="587"/>
      <c r="T2" s="587"/>
      <c r="U2" s="587"/>
      <c r="V2" s="587"/>
      <c r="W2" s="587"/>
      <c r="X2" s="587" t="s">
        <v>231</v>
      </c>
      <c r="Y2" s="588">
        <v>43867.0</v>
      </c>
      <c r="Z2" s="130"/>
      <c r="AA2" s="130"/>
      <c r="AB2" s="130"/>
    </row>
    <row r="3" ht="15.75" customHeight="1">
      <c r="A3" s="583"/>
      <c r="B3" s="584"/>
      <c r="C3" s="585"/>
      <c r="D3" s="587" t="s">
        <v>232</v>
      </c>
      <c r="E3" s="589" t="s">
        <v>233</v>
      </c>
      <c r="F3" s="589"/>
      <c r="G3" s="585"/>
      <c r="H3" s="585"/>
      <c r="I3" s="585"/>
      <c r="J3" s="589"/>
      <c r="K3" s="585"/>
      <c r="L3" s="585"/>
      <c r="M3" s="586"/>
      <c r="N3" s="586"/>
      <c r="O3" s="586"/>
      <c r="P3" s="586"/>
      <c r="Q3" s="586"/>
      <c r="R3" s="587"/>
      <c r="S3" s="587"/>
      <c r="T3" s="587"/>
      <c r="U3" s="587"/>
      <c r="V3" s="587"/>
      <c r="W3" s="587"/>
      <c r="X3" s="587" t="s">
        <v>234</v>
      </c>
      <c r="Y3" s="590" t="s">
        <v>235</v>
      </c>
      <c r="Z3" s="130"/>
      <c r="AA3" s="130"/>
      <c r="AB3" s="130"/>
    </row>
    <row r="4" ht="15.75" customHeight="1">
      <c r="A4" s="583"/>
      <c r="B4" s="584"/>
      <c r="C4" s="585"/>
      <c r="D4" s="587" t="s">
        <v>236</v>
      </c>
      <c r="E4" s="587" t="s">
        <v>237</v>
      </c>
      <c r="F4" s="587"/>
      <c r="G4" s="585"/>
      <c r="H4" s="585"/>
      <c r="I4" s="585"/>
      <c r="J4" s="587"/>
      <c r="K4" s="585"/>
      <c r="L4" s="585"/>
      <c r="M4" s="586"/>
      <c r="N4" s="586"/>
      <c r="O4" s="586"/>
      <c r="P4" s="586"/>
      <c r="Q4" s="586"/>
      <c r="R4" s="587"/>
      <c r="S4" s="587"/>
      <c r="T4" s="587"/>
      <c r="U4" s="587"/>
      <c r="V4" s="587"/>
      <c r="W4" s="587"/>
      <c r="X4" s="587" t="s">
        <v>238</v>
      </c>
      <c r="Y4" s="590" t="s">
        <v>179</v>
      </c>
      <c r="Z4" s="130"/>
      <c r="AA4" s="130"/>
      <c r="AB4" s="130"/>
    </row>
    <row r="5" ht="15.75" customHeight="1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4"/>
      <c r="Q5" s="584"/>
      <c r="R5" s="584"/>
      <c r="S5" s="584"/>
      <c r="T5" s="584"/>
      <c r="U5" s="584"/>
      <c r="V5" s="584"/>
      <c r="W5" s="584"/>
      <c r="X5" s="584"/>
      <c r="Y5" s="584"/>
      <c r="Z5" s="130"/>
      <c r="AA5" s="130"/>
      <c r="AB5" s="130"/>
    </row>
    <row r="6" ht="15.75" customHeight="1">
      <c r="A6" s="583"/>
      <c r="B6" s="583"/>
      <c r="C6" s="583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3"/>
      <c r="P6" s="583"/>
      <c r="Q6" s="583"/>
      <c r="R6" s="583"/>
      <c r="S6" s="583"/>
      <c r="T6" s="583"/>
      <c r="U6" s="583"/>
      <c r="V6" s="583"/>
      <c r="W6" s="583"/>
      <c r="X6" s="583"/>
      <c r="Y6" s="583"/>
      <c r="Z6" s="130"/>
      <c r="AA6" s="130"/>
      <c r="AB6" s="130"/>
    </row>
    <row r="7" ht="45.0" customHeight="1">
      <c r="A7" s="583"/>
      <c r="B7" s="583"/>
      <c r="C7" s="591" t="s">
        <v>239</v>
      </c>
      <c r="D7" s="591" t="s">
        <v>240</v>
      </c>
      <c r="E7" s="591" t="s">
        <v>241</v>
      </c>
      <c r="F7" s="591" t="s">
        <v>242</v>
      </c>
      <c r="G7" s="591" t="s">
        <v>243</v>
      </c>
      <c r="H7" s="591" t="s">
        <v>244</v>
      </c>
      <c r="I7" s="591" t="s">
        <v>245</v>
      </c>
      <c r="J7" s="591" t="s">
        <v>246</v>
      </c>
      <c r="K7" s="591" t="s">
        <v>247</v>
      </c>
      <c r="L7" s="591" t="s">
        <v>248</v>
      </c>
      <c r="M7" s="591" t="s">
        <v>249</v>
      </c>
      <c r="N7" s="591" t="s">
        <v>250</v>
      </c>
      <c r="O7" s="591" t="s">
        <v>251</v>
      </c>
      <c r="P7" s="591" t="s">
        <v>252</v>
      </c>
      <c r="Q7" s="591" t="s">
        <v>253</v>
      </c>
      <c r="R7" s="591" t="s">
        <v>254</v>
      </c>
      <c r="S7" s="591" t="s">
        <v>5</v>
      </c>
      <c r="T7" s="591" t="s">
        <v>255</v>
      </c>
      <c r="U7" s="591" t="s">
        <v>256</v>
      </c>
      <c r="V7" s="591" t="s">
        <v>8</v>
      </c>
      <c r="W7" s="591" t="s">
        <v>78</v>
      </c>
      <c r="X7" s="591" t="s">
        <v>257</v>
      </c>
      <c r="Y7" s="591" t="s">
        <v>258</v>
      </c>
      <c r="Z7" s="592" t="s">
        <v>90</v>
      </c>
      <c r="AA7" s="130"/>
      <c r="AB7" s="130"/>
    </row>
    <row r="8" ht="30.0" customHeight="1">
      <c r="A8" s="130"/>
      <c r="B8" s="593"/>
      <c r="C8" s="594" t="s">
        <v>259</v>
      </c>
      <c r="D8" s="594" t="s">
        <v>260</v>
      </c>
      <c r="E8" s="595" t="s">
        <v>261</v>
      </c>
      <c r="F8" s="595" t="s">
        <v>262</v>
      </c>
      <c r="G8" s="596" t="s">
        <v>263</v>
      </c>
      <c r="H8" s="597">
        <v>5.4519192E7</v>
      </c>
      <c r="I8" s="598">
        <f>SUM(K8:K16)/H8/N8</f>
        <v>0.3849773326</v>
      </c>
      <c r="J8" s="599" t="s">
        <v>264</v>
      </c>
      <c r="K8" s="600">
        <f t="shared" ref="K8:K9" si="1">P8/O8</f>
        <v>5666666.667</v>
      </c>
      <c r="L8" s="601">
        <v>0.008</v>
      </c>
      <c r="M8" s="602" t="s">
        <v>29</v>
      </c>
      <c r="N8" s="603">
        <v>6.0</v>
      </c>
      <c r="O8" s="604">
        <v>0.6</v>
      </c>
      <c r="P8" s="605">
        <f t="shared" ref="P8:P9" si="2">Y8/R8</f>
        <v>3400000</v>
      </c>
      <c r="Q8" s="603" t="s">
        <v>265</v>
      </c>
      <c r="R8" s="606">
        <v>0.05</v>
      </c>
      <c r="S8" s="607">
        <v>90000.0</v>
      </c>
      <c r="T8" s="607">
        <v>80000.0</v>
      </c>
      <c r="U8" s="607"/>
      <c r="V8" s="607"/>
      <c r="W8" s="607"/>
      <c r="X8" s="607"/>
      <c r="Y8" s="608">
        <f t="shared" ref="Y8:Y16" si="3">SUM(S8:X8)</f>
        <v>170000</v>
      </c>
      <c r="Z8" s="609">
        <f t="shared" ref="Z8:Z16" si="4">Y8/$Y$17</f>
        <v>0.1888888889</v>
      </c>
      <c r="AA8" s="610"/>
      <c r="AB8" s="611"/>
    </row>
    <row r="9" ht="30.0" customHeight="1">
      <c r="B9" s="593"/>
      <c r="C9" s="612"/>
      <c r="D9" s="612"/>
      <c r="E9" s="612"/>
      <c r="F9" s="612"/>
      <c r="G9" s="612"/>
      <c r="H9" s="612"/>
      <c r="I9" s="612"/>
      <c r="J9" s="599" t="s">
        <v>266</v>
      </c>
      <c r="K9" s="600">
        <f t="shared" si="1"/>
        <v>5555555.556</v>
      </c>
      <c r="L9" s="601">
        <v>0.008</v>
      </c>
      <c r="M9" s="602" t="s">
        <v>29</v>
      </c>
      <c r="N9" s="603">
        <v>6.0</v>
      </c>
      <c r="O9" s="604">
        <v>0.6</v>
      </c>
      <c r="P9" s="605">
        <f t="shared" si="2"/>
        <v>3333333.333</v>
      </c>
      <c r="Q9" s="603" t="s">
        <v>265</v>
      </c>
      <c r="R9" s="606">
        <v>0.03</v>
      </c>
      <c r="S9" s="607"/>
      <c r="T9" s="607"/>
      <c r="U9" s="607">
        <v>50000.0</v>
      </c>
      <c r="V9" s="607">
        <v>50000.0</v>
      </c>
      <c r="W9" s="607"/>
      <c r="X9" s="607"/>
      <c r="Y9" s="608">
        <f t="shared" si="3"/>
        <v>100000</v>
      </c>
      <c r="Z9" s="609">
        <f t="shared" si="4"/>
        <v>0.1111111111</v>
      </c>
      <c r="AA9" s="610"/>
      <c r="AB9" s="611"/>
    </row>
    <row r="10" ht="102.0" customHeight="1">
      <c r="B10" s="593"/>
      <c r="C10" s="612"/>
      <c r="D10" s="612"/>
      <c r="E10" s="612"/>
      <c r="F10" s="612"/>
      <c r="G10" s="612"/>
      <c r="H10" s="612"/>
      <c r="I10" s="612"/>
      <c r="J10" s="613" t="s">
        <v>267</v>
      </c>
      <c r="K10" s="600">
        <f t="shared" ref="K10:K13" si="5">Y10/R10*1000</f>
        <v>31034482.76</v>
      </c>
      <c r="L10" s="601">
        <v>0.001</v>
      </c>
      <c r="M10" s="602" t="s">
        <v>29</v>
      </c>
      <c r="N10" s="603">
        <v>12.0</v>
      </c>
      <c r="O10" s="603" t="s">
        <v>29</v>
      </c>
      <c r="P10" s="603" t="s">
        <v>29</v>
      </c>
      <c r="Q10" s="603" t="s">
        <v>17</v>
      </c>
      <c r="R10" s="606">
        <v>5.8</v>
      </c>
      <c r="S10" s="607">
        <v>60000.0</v>
      </c>
      <c r="T10" s="607">
        <v>40000.0</v>
      </c>
      <c r="U10" s="607">
        <v>25000.0</v>
      </c>
      <c r="V10" s="607">
        <v>25000.0</v>
      </c>
      <c r="W10" s="607">
        <v>20000.0</v>
      </c>
      <c r="X10" s="607">
        <v>10000.0</v>
      </c>
      <c r="Y10" s="608">
        <f t="shared" si="3"/>
        <v>180000</v>
      </c>
      <c r="Z10" s="609">
        <f t="shared" si="4"/>
        <v>0.2</v>
      </c>
      <c r="AA10" s="611"/>
      <c r="AB10" s="611"/>
    </row>
    <row r="11" ht="30.75" customHeight="1">
      <c r="B11" s="593"/>
      <c r="C11" s="612"/>
      <c r="D11" s="612"/>
      <c r="E11" s="612"/>
      <c r="F11" s="612"/>
      <c r="G11" s="612"/>
      <c r="H11" s="612"/>
      <c r="I11" s="612"/>
      <c r="J11" s="614" t="s">
        <v>268</v>
      </c>
      <c r="K11" s="600">
        <f t="shared" si="5"/>
        <v>7692307.692</v>
      </c>
      <c r="L11" s="601">
        <v>0.001</v>
      </c>
      <c r="M11" s="602" t="s">
        <v>29</v>
      </c>
      <c r="N11" s="603">
        <v>3.0</v>
      </c>
      <c r="O11" s="603" t="s">
        <v>29</v>
      </c>
      <c r="P11" s="603" t="s">
        <v>29</v>
      </c>
      <c r="Q11" s="603" t="s">
        <v>17</v>
      </c>
      <c r="R11" s="606">
        <v>6.5</v>
      </c>
      <c r="S11" s="607">
        <v>30000.0</v>
      </c>
      <c r="T11" s="607">
        <v>20000.0</v>
      </c>
      <c r="U11" s="607"/>
      <c r="V11" s="607"/>
      <c r="W11" s="607"/>
      <c r="X11" s="607"/>
      <c r="Y11" s="608">
        <f t="shared" si="3"/>
        <v>50000</v>
      </c>
      <c r="Z11" s="609">
        <f t="shared" si="4"/>
        <v>0.05555555556</v>
      </c>
      <c r="AA11" s="130"/>
      <c r="AB11" s="611"/>
    </row>
    <row r="12" ht="30.75" customHeight="1">
      <c r="B12" s="593"/>
      <c r="C12" s="612"/>
      <c r="D12" s="612"/>
      <c r="E12" s="612"/>
      <c r="F12" s="612"/>
      <c r="G12" s="612"/>
      <c r="H12" s="612"/>
      <c r="I12" s="612"/>
      <c r="J12" s="614" t="s">
        <v>269</v>
      </c>
      <c r="K12" s="600">
        <f t="shared" si="5"/>
        <v>7777777.778</v>
      </c>
      <c r="L12" s="601">
        <v>0.009</v>
      </c>
      <c r="M12" s="602" t="s">
        <v>29</v>
      </c>
      <c r="N12" s="603">
        <v>4.0</v>
      </c>
      <c r="O12" s="603" t="s">
        <v>29</v>
      </c>
      <c r="P12" s="603" t="s">
        <v>29</v>
      </c>
      <c r="Q12" s="603" t="s">
        <v>17</v>
      </c>
      <c r="R12" s="606">
        <v>18.0</v>
      </c>
      <c r="S12" s="607"/>
      <c r="T12" s="607">
        <v>50000.0</v>
      </c>
      <c r="U12" s="607">
        <v>45000.0</v>
      </c>
      <c r="V12" s="607">
        <v>45000.0</v>
      </c>
      <c r="W12" s="607"/>
      <c r="X12" s="607"/>
      <c r="Y12" s="608">
        <f t="shared" si="3"/>
        <v>140000</v>
      </c>
      <c r="Z12" s="609">
        <f t="shared" si="4"/>
        <v>0.1555555556</v>
      </c>
      <c r="AA12" s="130"/>
      <c r="AB12" s="130"/>
    </row>
    <row r="13" ht="30.75" customHeight="1">
      <c r="B13" s="593"/>
      <c r="C13" s="612"/>
      <c r="D13" s="612"/>
      <c r="E13" s="612"/>
      <c r="F13" s="612"/>
      <c r="G13" s="612"/>
      <c r="H13" s="612"/>
      <c r="I13" s="612"/>
      <c r="J13" s="614" t="s">
        <v>61</v>
      </c>
      <c r="K13" s="600">
        <f t="shared" si="5"/>
        <v>9230769.231</v>
      </c>
      <c r="L13" s="601">
        <v>0.001</v>
      </c>
      <c r="M13" s="602" t="s">
        <v>29</v>
      </c>
      <c r="N13" s="603">
        <v>3.0</v>
      </c>
      <c r="O13" s="603" t="s">
        <v>29</v>
      </c>
      <c r="P13" s="603" t="s">
        <v>29</v>
      </c>
      <c r="Q13" s="603" t="s">
        <v>17</v>
      </c>
      <c r="R13" s="606">
        <v>6.5</v>
      </c>
      <c r="S13" s="607"/>
      <c r="T13" s="607"/>
      <c r="U13" s="607">
        <v>30000.0</v>
      </c>
      <c r="V13" s="607">
        <v>30000.0</v>
      </c>
      <c r="W13" s="607"/>
      <c r="X13" s="607"/>
      <c r="Y13" s="608">
        <f t="shared" si="3"/>
        <v>60000</v>
      </c>
      <c r="Z13" s="609">
        <f t="shared" si="4"/>
        <v>0.06666666667</v>
      </c>
      <c r="AA13" s="130"/>
      <c r="AB13" s="130"/>
    </row>
    <row r="14" ht="30.75" customHeight="1">
      <c r="B14" s="593"/>
      <c r="C14" s="612"/>
      <c r="D14" s="612"/>
      <c r="E14" s="612"/>
      <c r="F14" s="612"/>
      <c r="G14" s="612"/>
      <c r="H14" s="612"/>
      <c r="I14" s="612"/>
      <c r="J14" s="599" t="s">
        <v>62</v>
      </c>
      <c r="K14" s="600">
        <f t="shared" ref="K14:K16" si="6">M14/L14</f>
        <v>12820512.82</v>
      </c>
      <c r="L14" s="601">
        <v>0.0065</v>
      </c>
      <c r="M14" s="602">
        <f t="shared" ref="M14:M16" si="7">Y14/R14</f>
        <v>83333.33333</v>
      </c>
      <c r="N14" s="603" t="s">
        <v>29</v>
      </c>
      <c r="O14" s="604" t="s">
        <v>29</v>
      </c>
      <c r="P14" s="605" t="s">
        <v>270</v>
      </c>
      <c r="Q14" s="603" t="s">
        <v>16</v>
      </c>
      <c r="R14" s="606">
        <v>0.6</v>
      </c>
      <c r="S14" s="607"/>
      <c r="T14" s="607"/>
      <c r="U14" s="607">
        <v>25000.0</v>
      </c>
      <c r="V14" s="607">
        <v>25000.0</v>
      </c>
      <c r="W14" s="607"/>
      <c r="X14" s="607"/>
      <c r="Y14" s="608">
        <f t="shared" si="3"/>
        <v>50000</v>
      </c>
      <c r="Z14" s="609">
        <f t="shared" si="4"/>
        <v>0.05555555556</v>
      </c>
      <c r="AA14" s="130"/>
      <c r="AB14" s="130"/>
    </row>
    <row r="15" ht="30.75" customHeight="1">
      <c r="B15" s="593"/>
      <c r="C15" s="612"/>
      <c r="D15" s="612"/>
      <c r="E15" s="612"/>
      <c r="F15" s="612"/>
      <c r="G15" s="612"/>
      <c r="H15" s="612"/>
      <c r="I15" s="612"/>
      <c r="J15" s="599" t="s">
        <v>271</v>
      </c>
      <c r="K15" s="600">
        <f t="shared" si="6"/>
        <v>15384615.38</v>
      </c>
      <c r="L15" s="601">
        <v>0.0065</v>
      </c>
      <c r="M15" s="602">
        <f t="shared" si="7"/>
        <v>100000</v>
      </c>
      <c r="N15" s="603" t="s">
        <v>29</v>
      </c>
      <c r="O15" s="604" t="s">
        <v>29</v>
      </c>
      <c r="P15" s="605" t="s">
        <v>270</v>
      </c>
      <c r="Q15" s="603" t="s">
        <v>16</v>
      </c>
      <c r="R15" s="606">
        <v>0.6</v>
      </c>
      <c r="S15" s="607"/>
      <c r="T15" s="607"/>
      <c r="U15" s="607"/>
      <c r="V15" s="607"/>
      <c r="W15" s="607">
        <v>40000.0</v>
      </c>
      <c r="X15" s="607">
        <v>20000.0</v>
      </c>
      <c r="Y15" s="608">
        <f t="shared" si="3"/>
        <v>60000</v>
      </c>
      <c r="Z15" s="609">
        <f t="shared" si="4"/>
        <v>0.06666666667</v>
      </c>
      <c r="AA15" s="130"/>
      <c r="AB15" s="130"/>
    </row>
    <row r="16" ht="30.0" customHeight="1">
      <c r="B16" s="593"/>
      <c r="C16" s="615"/>
      <c r="D16" s="615"/>
      <c r="E16" s="615"/>
      <c r="F16" s="615"/>
      <c r="G16" s="615"/>
      <c r="H16" s="615"/>
      <c r="I16" s="615"/>
      <c r="J16" s="599" t="s">
        <v>64</v>
      </c>
      <c r="K16" s="600">
        <f t="shared" si="6"/>
        <v>30769230.77</v>
      </c>
      <c r="L16" s="601">
        <v>0.0065</v>
      </c>
      <c r="M16" s="602">
        <f t="shared" si="7"/>
        <v>200000</v>
      </c>
      <c r="N16" s="603" t="s">
        <v>29</v>
      </c>
      <c r="O16" s="604" t="s">
        <v>29</v>
      </c>
      <c r="P16" s="605" t="s">
        <v>270</v>
      </c>
      <c r="Q16" s="603" t="s">
        <v>16</v>
      </c>
      <c r="R16" s="606">
        <v>0.45</v>
      </c>
      <c r="S16" s="607"/>
      <c r="T16" s="607"/>
      <c r="U16" s="607"/>
      <c r="V16" s="607"/>
      <c r="W16" s="607">
        <v>60000.0</v>
      </c>
      <c r="X16" s="607">
        <v>30000.0</v>
      </c>
      <c r="Y16" s="608">
        <f t="shared" si="3"/>
        <v>90000</v>
      </c>
      <c r="Z16" s="609">
        <f t="shared" si="4"/>
        <v>0.1</v>
      </c>
      <c r="AA16" s="130"/>
      <c r="AB16" s="130"/>
    </row>
    <row r="17" ht="30.0" customHeight="1">
      <c r="A17" s="583"/>
      <c r="B17" s="583"/>
      <c r="C17" s="616"/>
      <c r="D17" s="616"/>
      <c r="E17" s="583"/>
      <c r="F17" s="583"/>
      <c r="G17" s="583"/>
      <c r="H17" s="583"/>
      <c r="I17" s="583"/>
      <c r="J17" s="583"/>
      <c r="K17" s="617">
        <f>SUM(K8:K16)</f>
        <v>125931918.7</v>
      </c>
      <c r="L17" s="592"/>
      <c r="M17" s="617">
        <f>SUM(M8:M16)</f>
        <v>383333.3333</v>
      </c>
      <c r="N17" s="617"/>
      <c r="O17" s="617"/>
      <c r="P17" s="617">
        <f>SUM(P8:P16)</f>
        <v>6733333.333</v>
      </c>
      <c r="Q17" s="592"/>
      <c r="R17" s="592"/>
      <c r="S17" s="592">
        <f t="shared" ref="S17:Z17" si="8">SUM(S8:S16)</f>
        <v>180000</v>
      </c>
      <c r="T17" s="592">
        <f t="shared" si="8"/>
        <v>190000</v>
      </c>
      <c r="U17" s="592">
        <f t="shared" si="8"/>
        <v>175000</v>
      </c>
      <c r="V17" s="592">
        <f t="shared" si="8"/>
        <v>175000</v>
      </c>
      <c r="W17" s="592">
        <f t="shared" si="8"/>
        <v>120000</v>
      </c>
      <c r="X17" s="592">
        <f t="shared" si="8"/>
        <v>60000</v>
      </c>
      <c r="Y17" s="592">
        <f t="shared" si="8"/>
        <v>900000</v>
      </c>
      <c r="Z17" s="618">
        <f t="shared" si="8"/>
        <v>1</v>
      </c>
      <c r="AA17" s="130"/>
      <c r="AB17" s="130"/>
    </row>
    <row r="18" ht="15.75" customHeight="1">
      <c r="A18" s="619"/>
      <c r="B18" s="130"/>
      <c r="C18" s="620" t="s">
        <v>272</v>
      </c>
      <c r="D18" s="284"/>
      <c r="E18" s="284"/>
      <c r="F18" s="284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621">
        <f t="shared" ref="S18:X18" si="9">S17/$Y$17</f>
        <v>0.2</v>
      </c>
      <c r="T18" s="621">
        <f t="shared" si="9"/>
        <v>0.2111111111</v>
      </c>
      <c r="U18" s="621">
        <f t="shared" si="9"/>
        <v>0.1944444444</v>
      </c>
      <c r="V18" s="621">
        <f t="shared" si="9"/>
        <v>0.1944444444</v>
      </c>
      <c r="W18" s="621">
        <f t="shared" si="9"/>
        <v>0.1333333333</v>
      </c>
      <c r="X18" s="621">
        <f t="shared" si="9"/>
        <v>0.06666666667</v>
      </c>
      <c r="Y18" s="130"/>
      <c r="Z18" s="130"/>
      <c r="AA18" s="130"/>
      <c r="AB18" s="130"/>
    </row>
    <row r="19" ht="15.75" customHeight="1">
      <c r="A19" s="619"/>
      <c r="B19" s="130"/>
      <c r="C19" s="622" t="s">
        <v>273</v>
      </c>
      <c r="D19" s="284"/>
      <c r="E19" s="284"/>
      <c r="F19" s="284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611"/>
      <c r="Z19" s="130"/>
      <c r="AA19" s="130"/>
      <c r="AB19" s="130"/>
    </row>
    <row r="20" ht="15.75" customHeight="1">
      <c r="A20" s="619"/>
      <c r="B20" s="130"/>
      <c r="C20" s="623" t="s">
        <v>274</v>
      </c>
      <c r="D20" s="284"/>
      <c r="E20" s="284"/>
      <c r="F20" s="284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610"/>
      <c r="Z20" s="130"/>
      <c r="AA20" s="130"/>
      <c r="AB20" s="130"/>
    </row>
    <row r="21" ht="15.75" customHeight="1">
      <c r="A21" s="619"/>
      <c r="B21" s="130"/>
      <c r="C21" s="624"/>
      <c r="D21" s="624"/>
      <c r="E21" s="624"/>
      <c r="F21" s="624"/>
      <c r="G21" s="130"/>
      <c r="H21" s="130"/>
      <c r="I21" s="130"/>
      <c r="J21" s="624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611"/>
      <c r="V21" s="130"/>
      <c r="W21" s="130"/>
      <c r="X21" s="130"/>
      <c r="Y21" s="610"/>
      <c r="Z21" s="130"/>
      <c r="AA21" s="130"/>
      <c r="AB21" s="130"/>
    </row>
    <row r="22" ht="15.75" customHeight="1">
      <c r="A22" s="619"/>
      <c r="B22" s="130"/>
      <c r="C22" s="625" t="s">
        <v>275</v>
      </c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610"/>
      <c r="Z22" s="130"/>
      <c r="AA22" s="130"/>
      <c r="AB22" s="130"/>
    </row>
    <row r="23" ht="15.75" customHeight="1">
      <c r="A23" s="619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626"/>
      <c r="T23" s="626"/>
      <c r="U23" s="626"/>
      <c r="V23" s="626"/>
      <c r="W23" s="626"/>
      <c r="X23" s="626"/>
      <c r="Y23" s="130"/>
      <c r="Z23" s="130"/>
      <c r="AA23" s="130"/>
      <c r="AB23" s="130"/>
    </row>
    <row r="24" ht="15.75" customHeight="1">
      <c r="A24" s="619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ht="15.75" customHeight="1">
      <c r="A25" s="619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ht="15.75" customHeight="1">
      <c r="A26" s="619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ht="15.75" customHeight="1">
      <c r="A27" s="619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ht="15.75" customHeight="1">
      <c r="A28" s="619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ht="15.75" customHeight="1">
      <c r="A29" s="619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ht="15.75" customHeight="1">
      <c r="A30" s="619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ht="15.75" customHeight="1">
      <c r="A31" s="619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ht="15.75" customHeight="1">
      <c r="A32" s="619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ht="15.75" customHeight="1">
      <c r="A33" s="619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ht="15.75" customHeight="1">
      <c r="A34" s="619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ht="15.75" customHeight="1">
      <c r="A35" s="619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ht="15.75" customHeight="1">
      <c r="A36" s="619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ht="15.75" customHeight="1">
      <c r="A37" s="619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ht="15.75" customHeight="1">
      <c r="A38" s="619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ht="15.75" customHeight="1">
      <c r="A39" s="619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ht="15.75" customHeight="1">
      <c r="A40" s="619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ht="15.75" customHeight="1">
      <c r="A41" s="61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ht="15.75" customHeight="1">
      <c r="A42" s="619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ht="15.75" customHeight="1">
      <c r="A43" s="619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ht="15.75" customHeight="1">
      <c r="A44" s="619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ht="15.75" customHeight="1">
      <c r="A45" s="619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ht="15.75" customHeight="1">
      <c r="A46" s="619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ht="15.75" customHeight="1">
      <c r="A47" s="619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ht="15.75" customHeight="1">
      <c r="A48" s="619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ht="15.75" customHeight="1">
      <c r="A49" s="619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ht="15.75" customHeight="1">
      <c r="A50" s="619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ht="15.75" customHeight="1">
      <c r="A51" s="619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ht="15.75" customHeight="1">
      <c r="A52" s="619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ht="15.75" customHeight="1">
      <c r="A53" s="619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ht="15.75" customHeight="1">
      <c r="A54" s="619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ht="15.75" customHeight="1">
      <c r="A55" s="619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ht="15.75" customHeight="1">
      <c r="A56" s="619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ht="15.75" customHeight="1">
      <c r="A57" s="619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ht="15.75" customHeight="1">
      <c r="A58" s="619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ht="15.75" customHeight="1">
      <c r="A59" s="619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ht="15.75" customHeight="1">
      <c r="A60" s="619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ht="15.75" customHeight="1">
      <c r="A61" s="619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ht="15.75" customHeight="1">
      <c r="A62" s="619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ht="15.75" customHeight="1">
      <c r="A63" s="619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ht="15.75" customHeight="1">
      <c r="A64" s="619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ht="15.75" customHeight="1">
      <c r="A65" s="619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ht="15.75" customHeight="1">
      <c r="A66" s="619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ht="15.75" customHeight="1">
      <c r="A67" s="61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ht="15.75" customHeight="1">
      <c r="A68" s="619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ht="15.75" customHeight="1">
      <c r="A69" s="619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ht="15.75" customHeight="1">
      <c r="A70" s="619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ht="15.75" customHeight="1">
      <c r="A71" s="619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ht="15.75" customHeight="1">
      <c r="A72" s="619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ht="15.75" customHeight="1">
      <c r="A73" s="61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ht="15.75" customHeight="1">
      <c r="A74" s="619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ht="15.75" customHeight="1">
      <c r="A75" s="619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ht="15.75" customHeight="1">
      <c r="A76" s="61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ht="15.75" customHeight="1">
      <c r="A77" s="619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ht="15.75" customHeight="1">
      <c r="A78" s="619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ht="15.75" customHeight="1">
      <c r="A79" s="619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ht="15.75" customHeight="1">
      <c r="A80" s="619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ht="15.75" customHeight="1">
      <c r="A81" s="619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ht="15.75" customHeight="1">
      <c r="A82" s="619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ht="15.75" customHeight="1">
      <c r="A83" s="619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ht="15.75" customHeight="1">
      <c r="A84" s="619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ht="15.75" customHeight="1">
      <c r="A85" s="619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ht="15.75" customHeight="1">
      <c r="A86" s="619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ht="15.75" customHeight="1">
      <c r="A87" s="619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ht="15.75" customHeight="1">
      <c r="A88" s="619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ht="15.75" customHeight="1">
      <c r="A89" s="619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ht="15.75" customHeight="1">
      <c r="A90" s="619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ht="15.75" customHeight="1">
      <c r="A91" s="619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ht="15.75" customHeight="1">
      <c r="A92" s="619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ht="15.75" customHeight="1">
      <c r="A93" s="619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ht="15.75" customHeight="1">
      <c r="A94" s="619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ht="15.75" customHeight="1">
      <c r="A95" s="619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ht="15.75" customHeight="1">
      <c r="A96" s="619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ht="15.75" customHeight="1">
      <c r="A97" s="619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ht="15.75" customHeight="1">
      <c r="A98" s="619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ht="15.75" customHeight="1">
      <c r="A99" s="619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ht="15.75" customHeight="1">
      <c r="A100" s="619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ht="15.75" customHeight="1">
      <c r="A101" s="619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ht="15.75" customHeight="1">
      <c r="A102" s="619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ht="15.75" customHeight="1">
      <c r="A103" s="619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ht="15.75" customHeight="1">
      <c r="A104" s="619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ht="15.75" customHeight="1">
      <c r="A105" s="619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ht="15.75" customHeight="1">
      <c r="A106" s="619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ht="15.75" customHeight="1">
      <c r="A107" s="61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ht="15.75" customHeight="1">
      <c r="A108" s="619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ht="15.75" customHeight="1">
      <c r="A109" s="619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ht="15.75" customHeight="1">
      <c r="A110" s="619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ht="15.75" customHeight="1">
      <c r="A111" s="619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ht="15.75" customHeight="1">
      <c r="A112" s="619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ht="15.75" customHeight="1">
      <c r="A113" s="619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ht="15.75" customHeight="1">
      <c r="A114" s="619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ht="15.75" customHeight="1">
      <c r="A115" s="619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ht="15.75" customHeight="1">
      <c r="A116" s="619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ht="15.75" customHeight="1">
      <c r="A117" s="619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ht="15.75" customHeight="1">
      <c r="A118" s="619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ht="15.75" customHeight="1">
      <c r="A119" s="619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ht="15.75" customHeight="1">
      <c r="A120" s="619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ht="15.75" customHeight="1">
      <c r="A121" s="619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ht="15.75" customHeight="1">
      <c r="A122" s="619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ht="15.75" customHeight="1">
      <c r="A123" s="619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ht="15.75" customHeight="1">
      <c r="A124" s="619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ht="15.75" customHeight="1">
      <c r="A125" s="619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ht="15.75" customHeight="1">
      <c r="A126" s="619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ht="15.75" customHeight="1">
      <c r="A127" s="619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ht="15.75" customHeight="1">
      <c r="A128" s="619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ht="15.75" customHeight="1">
      <c r="A129" s="619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ht="15.75" customHeight="1">
      <c r="A130" s="619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ht="15.75" customHeight="1">
      <c r="A131" s="619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ht="15.75" customHeight="1">
      <c r="A132" s="619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ht="15.75" customHeight="1">
      <c r="A133" s="61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ht="15.75" customHeight="1">
      <c r="A134" s="619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ht="15.75" customHeight="1">
      <c r="A135" s="619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ht="15.75" customHeight="1">
      <c r="A136" s="619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ht="15.75" customHeight="1">
      <c r="A137" s="619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ht="15.75" customHeight="1">
      <c r="A138" s="619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ht="15.75" customHeight="1">
      <c r="A139" s="619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ht="15.75" customHeight="1">
      <c r="A140" s="619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ht="15.75" customHeight="1">
      <c r="A141" s="619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ht="15.75" customHeight="1">
      <c r="A142" s="619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ht="15.75" customHeight="1">
      <c r="A143" s="619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ht="15.75" customHeight="1">
      <c r="A144" s="619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ht="15.75" customHeight="1">
      <c r="A145" s="619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ht="15.75" customHeight="1">
      <c r="A146" s="619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ht="15.75" customHeight="1">
      <c r="A147" s="619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ht="15.75" customHeight="1">
      <c r="A148" s="619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ht="15.75" customHeight="1">
      <c r="A149" s="619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ht="15.75" customHeight="1">
      <c r="A150" s="619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ht="15.75" customHeight="1">
      <c r="A151" s="619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ht="15.75" customHeight="1">
      <c r="A152" s="619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ht="15.75" customHeight="1">
      <c r="A153" s="619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ht="15.75" customHeight="1">
      <c r="A154" s="619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ht="15.75" customHeight="1">
      <c r="A155" s="619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ht="15.75" customHeight="1">
      <c r="A156" s="619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ht="15.75" customHeight="1">
      <c r="A157" s="619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ht="15.75" customHeight="1">
      <c r="A158" s="619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ht="15.75" customHeight="1">
      <c r="A159" s="61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ht="15.75" customHeight="1">
      <c r="A160" s="619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ht="15.75" customHeight="1">
      <c r="A161" s="619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ht="15.75" customHeight="1">
      <c r="A162" s="619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ht="15.75" customHeight="1">
      <c r="A163" s="619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ht="15.75" customHeight="1">
      <c r="A164" s="619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ht="15.75" customHeight="1">
      <c r="A165" s="619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ht="15.75" customHeight="1">
      <c r="A166" s="619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ht="15.75" customHeight="1">
      <c r="A167" s="619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ht="15.75" customHeight="1">
      <c r="A168" s="619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ht="15.75" customHeight="1">
      <c r="A169" s="619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ht="15.75" customHeight="1">
      <c r="A170" s="619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ht="15.75" customHeight="1">
      <c r="A171" s="619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ht="15.75" customHeight="1">
      <c r="A172" s="619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ht="15.75" customHeight="1">
      <c r="A173" s="619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ht="15.75" customHeight="1">
      <c r="A174" s="619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ht="15.75" customHeight="1">
      <c r="A175" s="619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ht="15.75" customHeight="1">
      <c r="A176" s="619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ht="15.75" customHeight="1">
      <c r="A177" s="619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ht="15.75" customHeight="1">
      <c r="A178" s="619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ht="15.75" customHeight="1">
      <c r="A179" s="619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ht="15.75" customHeight="1">
      <c r="A180" s="619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ht="15.75" customHeight="1">
      <c r="A181" s="619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ht="15.75" customHeight="1">
      <c r="A182" s="619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ht="15.75" customHeight="1">
      <c r="A183" s="619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ht="15.75" customHeight="1">
      <c r="A184" s="619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ht="15.75" customHeight="1">
      <c r="A185" s="619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ht="15.75" customHeight="1">
      <c r="A186" s="619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ht="15.75" customHeight="1">
      <c r="A187" s="619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ht="15.75" customHeight="1">
      <c r="A188" s="619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ht="15.75" customHeight="1">
      <c r="A189" s="619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ht="15.75" customHeight="1">
      <c r="A190" s="619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ht="15.75" customHeight="1">
      <c r="A191" s="619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ht="15.75" customHeight="1">
      <c r="A192" s="619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ht="15.75" customHeight="1">
      <c r="A193" s="619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ht="15.75" customHeight="1">
      <c r="A194" s="619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ht="15.75" customHeight="1">
      <c r="A195" s="619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ht="15.75" customHeight="1">
      <c r="A196" s="619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ht="15.75" customHeight="1">
      <c r="A197" s="619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ht="15.75" customHeight="1">
      <c r="A198" s="619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ht="15.75" customHeight="1">
      <c r="A199" s="619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ht="15.75" customHeight="1">
      <c r="A200" s="619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ht="15.75" customHeight="1">
      <c r="A201" s="619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ht="15.75" customHeight="1">
      <c r="A202" s="619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ht="15.75" customHeight="1">
      <c r="A203" s="619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ht="15.75" customHeight="1">
      <c r="A204" s="619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ht="15.75" customHeight="1">
      <c r="A205" s="619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ht="15.75" customHeight="1">
      <c r="A206" s="619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ht="15.75" customHeight="1">
      <c r="A207" s="619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ht="15.75" customHeight="1">
      <c r="A208" s="619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ht="15.75" customHeight="1">
      <c r="A209" s="619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ht="15.75" customHeight="1">
      <c r="A210" s="619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ht="15.75" customHeight="1">
      <c r="A211" s="619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ht="15.75" customHeight="1">
      <c r="A212" s="619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ht="15.75" customHeight="1">
      <c r="A213" s="619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ht="15.75" customHeight="1">
      <c r="A214" s="619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ht="15.75" customHeight="1">
      <c r="A215" s="619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ht="15.75" customHeight="1">
      <c r="A216" s="619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ht="15.75" customHeight="1">
      <c r="A217" s="619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ht="15.75" customHeight="1">
      <c r="A218" s="619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ht="15.75" customHeight="1">
      <c r="A219" s="619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ht="15.75" customHeight="1">
      <c r="A220" s="619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ht="15.75" customHeight="1">
      <c r="A221" s="619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ht="15.75" customHeight="1">
      <c r="A222" s="619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8:F16"/>
    <mergeCell ref="C18:F18"/>
    <mergeCell ref="C19:F19"/>
    <mergeCell ref="C20:F20"/>
    <mergeCell ref="A8:A16"/>
    <mergeCell ref="C8:C16"/>
    <mergeCell ref="D8:D16"/>
    <mergeCell ref="E8:E16"/>
    <mergeCell ref="G8:G16"/>
    <mergeCell ref="H8:H16"/>
    <mergeCell ref="I8:I16"/>
  </mergeCells>
  <hyperlinks>
    <hyperlink r:id="rId1" ref="E3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8.71"/>
    <col customWidth="1" min="3" max="3" width="17.71"/>
    <col customWidth="1" min="4" max="4" width="16.14"/>
    <col customWidth="1" min="5" max="5" width="14.43"/>
    <col customWidth="1" min="6" max="6" width="15.43"/>
    <col customWidth="1" min="7" max="7" width="23.43"/>
    <col customWidth="1" min="8" max="8" width="21.43"/>
    <col customWidth="1" min="9" max="9" width="16.29"/>
    <col customWidth="1" min="10" max="10" width="17.43"/>
    <col customWidth="1" min="11" max="12" width="14.43"/>
    <col customWidth="1" hidden="1" min="13" max="14" width="14.43"/>
    <col customWidth="1" hidden="1" min="15" max="15" width="17.0"/>
    <col customWidth="1" min="16" max="16" width="17.0"/>
    <col customWidth="1" min="17" max="24" width="6.14"/>
    <col customWidth="1" min="25" max="27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 ht="15.75" customHeight="1">
      <c r="A4" s="1"/>
      <c r="B4" s="2" t="s">
        <v>0</v>
      </c>
      <c r="C4" s="3" t="s">
        <v>1</v>
      </c>
      <c r="D4" s="1"/>
      <c r="E4" s="233" t="s">
        <v>73</v>
      </c>
      <c r="F4" s="215">
        <v>5.2E7</v>
      </c>
      <c r="G4" s="1"/>
      <c r="H4" s="234" t="s">
        <v>20</v>
      </c>
      <c r="I4" s="215">
        <f>SUM(Q11:X11,Q15,Q17:X17,Q27:X27,)</f>
        <v>75197684.71</v>
      </c>
      <c r="J4" s="1"/>
      <c r="K4" s="1"/>
      <c r="L4" s="1"/>
      <c r="M4" s="1"/>
      <c r="N4" s="1"/>
      <c r="O4" s="1"/>
      <c r="P4" s="1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 ht="15.75" customHeight="1">
      <c r="A5" s="1"/>
      <c r="B5" s="2" t="s">
        <v>2</v>
      </c>
      <c r="C5" s="3" t="s">
        <v>3</v>
      </c>
      <c r="D5" s="1"/>
      <c r="E5" s="233" t="s">
        <v>74</v>
      </c>
      <c r="F5" s="215">
        <f>F4*F6</f>
        <v>35360000</v>
      </c>
      <c r="G5" s="1"/>
      <c r="H5" s="234" t="s">
        <v>18</v>
      </c>
      <c r="I5" s="215">
        <f>SUM(Q13,Q19:X19,Q21:X21,Q25:X25)</f>
        <v>15689018.99</v>
      </c>
      <c r="J5" s="1"/>
      <c r="K5" s="1"/>
      <c r="L5" s="1"/>
      <c r="M5" s="1"/>
      <c r="N5" s="1"/>
      <c r="O5" s="1"/>
      <c r="P5" s="1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 ht="15.75" customHeight="1">
      <c r="A6" s="1"/>
      <c r="B6" s="2" t="s">
        <v>4</v>
      </c>
      <c r="C6" s="4">
        <f>F34</f>
        <v>1183131</v>
      </c>
      <c r="D6" s="1"/>
      <c r="E6" s="233" t="s">
        <v>75</v>
      </c>
      <c r="F6" s="221">
        <v>0.68</v>
      </c>
      <c r="G6" s="223"/>
      <c r="H6" s="234" t="s">
        <v>19</v>
      </c>
      <c r="I6" s="215">
        <f>SUM(Q23:X23,Q29,Q31:X31,Q33:X33)</f>
        <v>491568.2061</v>
      </c>
      <c r="J6" s="1"/>
      <c r="K6" s="1"/>
      <c r="L6" s="1"/>
      <c r="M6" s="1"/>
      <c r="N6" s="1"/>
      <c r="O6" s="1"/>
      <c r="P6" s="1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 ht="15.75" customHeight="1">
      <c r="A7" s="1"/>
      <c r="B7" s="1"/>
      <c r="C7" s="1"/>
      <c r="D7" s="1"/>
      <c r="E7" s="233" t="s">
        <v>76</v>
      </c>
      <c r="F7" s="235" t="s">
        <v>77</v>
      </c>
      <c r="G7" s="1"/>
      <c r="H7" s="1"/>
      <c r="I7" s="1"/>
      <c r="J7" s="1"/>
      <c r="K7" s="1"/>
      <c r="L7" s="5"/>
      <c r="M7" s="1"/>
      <c r="N7" s="1"/>
      <c r="O7" s="1"/>
      <c r="P7" s="1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36" t="s">
        <v>78</v>
      </c>
      <c r="R8" s="237"/>
      <c r="S8" s="237"/>
      <c r="T8" s="237"/>
      <c r="U8" s="236" t="s">
        <v>79</v>
      </c>
      <c r="V8" s="237"/>
      <c r="W8" s="237"/>
      <c r="X8" s="238"/>
      <c r="Y8" s="130"/>
      <c r="Z8" s="130"/>
      <c r="AA8" s="130"/>
    </row>
    <row r="9">
      <c r="A9" s="1"/>
      <c r="B9" s="10" t="s">
        <v>9</v>
      </c>
      <c r="C9" s="11" t="s">
        <v>10</v>
      </c>
      <c r="D9" s="11" t="s">
        <v>4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11</v>
      </c>
      <c r="J9" s="11" t="s">
        <v>15</v>
      </c>
      <c r="K9" s="11" t="s">
        <v>16</v>
      </c>
      <c r="L9" s="11" t="s">
        <v>17</v>
      </c>
      <c r="M9" s="11" t="s">
        <v>18</v>
      </c>
      <c r="N9" s="11" t="s">
        <v>19</v>
      </c>
      <c r="O9" s="11" t="s">
        <v>20</v>
      </c>
      <c r="P9" s="239"/>
      <c r="Q9" s="13" t="s">
        <v>21</v>
      </c>
      <c r="R9" s="13" t="s">
        <v>22</v>
      </c>
      <c r="S9" s="13" t="s">
        <v>23</v>
      </c>
      <c r="T9" s="13" t="s">
        <v>24</v>
      </c>
      <c r="U9" s="13" t="s">
        <v>21</v>
      </c>
      <c r="V9" s="13" t="s">
        <v>22</v>
      </c>
      <c r="W9" s="13" t="s">
        <v>23</v>
      </c>
      <c r="X9" s="240" t="s">
        <v>24</v>
      </c>
      <c r="Y9" s="130"/>
      <c r="Z9" s="130"/>
      <c r="AA9" s="130"/>
    </row>
    <row r="10" ht="15.75" customHeight="1">
      <c r="A10" s="1"/>
      <c r="B10" s="241" t="s">
        <v>25</v>
      </c>
      <c r="C10" s="16">
        <f>D10/C6</f>
        <v>0.327207638</v>
      </c>
      <c r="D10" s="17">
        <f>SUM(F10:F13)</f>
        <v>387129.5</v>
      </c>
      <c r="E10" s="39" t="s">
        <v>26</v>
      </c>
      <c r="F10" s="17">
        <v>170000.0</v>
      </c>
      <c r="G10" s="20" t="s">
        <v>27</v>
      </c>
      <c r="H10" s="20" t="s">
        <v>80</v>
      </c>
      <c r="I10" s="20" t="s">
        <v>20</v>
      </c>
      <c r="J10" s="4">
        <v>0.0</v>
      </c>
      <c r="K10" s="4">
        <v>0.0</v>
      </c>
      <c r="L10" s="4">
        <v>2.0</v>
      </c>
      <c r="M10" s="22" t="s">
        <v>29</v>
      </c>
      <c r="N10" s="22" t="s">
        <v>29</v>
      </c>
      <c r="O10" s="23">
        <v>1.25E7</v>
      </c>
      <c r="P10" s="24"/>
      <c r="Q10" s="242">
        <v>0.0</v>
      </c>
      <c r="R10" s="56"/>
      <c r="S10" s="56"/>
      <c r="T10" s="243"/>
      <c r="U10" s="242">
        <v>100000.0</v>
      </c>
      <c r="V10" s="56"/>
      <c r="W10" s="56"/>
      <c r="X10" s="243"/>
      <c r="Y10" s="130"/>
      <c r="Z10" s="130"/>
      <c r="AA10" s="130"/>
    </row>
    <row r="11" ht="15.75" customHeight="1">
      <c r="A11" s="1"/>
      <c r="B11" s="31"/>
      <c r="C11" s="31"/>
      <c r="D11" s="31"/>
      <c r="E11" s="32"/>
      <c r="F11" s="32"/>
      <c r="G11" s="32"/>
      <c r="H11" s="32"/>
      <c r="I11" s="32"/>
      <c r="J11" s="4"/>
      <c r="K11" s="4"/>
      <c r="L11" s="4"/>
      <c r="M11" s="22"/>
      <c r="N11" s="22"/>
      <c r="O11" s="23"/>
      <c r="P11" s="45" t="s">
        <v>30</v>
      </c>
      <c r="Q11" s="100"/>
      <c r="R11" s="47"/>
      <c r="S11" s="47"/>
      <c r="T11" s="70"/>
      <c r="U11" s="100">
        <f>U10/L10*1000</f>
        <v>50000000</v>
      </c>
      <c r="V11" s="47"/>
      <c r="W11" s="47"/>
      <c r="X11" s="70"/>
      <c r="Y11" s="130"/>
      <c r="Z11" s="130"/>
      <c r="AA11" s="130"/>
    </row>
    <row r="12" ht="15.75" customHeight="1">
      <c r="A12" s="1"/>
      <c r="B12" s="31"/>
      <c r="C12" s="31"/>
      <c r="D12" s="31"/>
      <c r="E12" s="18" t="s">
        <v>26</v>
      </c>
      <c r="F12" s="17">
        <f>Q12+U12</f>
        <v>217129.5</v>
      </c>
      <c r="G12" s="244" t="s">
        <v>35</v>
      </c>
      <c r="H12" s="244" t="s">
        <v>36</v>
      </c>
      <c r="I12" s="20" t="s">
        <v>18</v>
      </c>
      <c r="J12" s="50">
        <v>0.05</v>
      </c>
      <c r="K12" s="50">
        <v>0.0</v>
      </c>
      <c r="L12" s="50">
        <v>0.0</v>
      </c>
      <c r="M12" s="51">
        <v>9700000.0</v>
      </c>
      <c r="N12" s="22" t="s">
        <v>29</v>
      </c>
      <c r="O12" s="23" t="s">
        <v>29</v>
      </c>
      <c r="P12" s="24"/>
      <c r="Q12" s="242">
        <v>217129.5</v>
      </c>
      <c r="R12" s="56"/>
      <c r="S12" s="56"/>
      <c r="T12" s="243"/>
      <c r="U12" s="174">
        <v>0.0</v>
      </c>
      <c r="V12" s="151"/>
      <c r="W12" s="151"/>
      <c r="X12" s="245"/>
      <c r="Y12" s="130"/>
      <c r="Z12" s="130"/>
      <c r="AA12" s="130"/>
    </row>
    <row r="13" ht="15.75" customHeight="1">
      <c r="A13" s="1"/>
      <c r="B13" s="31"/>
      <c r="C13" s="31"/>
      <c r="D13" s="31"/>
      <c r="E13" s="32"/>
      <c r="F13" s="32"/>
      <c r="G13" s="32"/>
      <c r="H13" s="32"/>
      <c r="I13" s="32"/>
      <c r="J13" s="50"/>
      <c r="K13" s="50"/>
      <c r="L13" s="50"/>
      <c r="M13" s="58"/>
      <c r="N13" s="22"/>
      <c r="O13" s="23"/>
      <c r="P13" s="45" t="s">
        <v>37</v>
      </c>
      <c r="Q13" s="100">
        <f>Q12/J12</f>
        <v>4342590</v>
      </c>
      <c r="R13" s="47"/>
      <c r="S13" s="47"/>
      <c r="T13" s="70"/>
      <c r="U13" s="246">
        <f>U12/J12</f>
        <v>0</v>
      </c>
      <c r="V13" s="151"/>
      <c r="W13" s="151"/>
      <c r="X13" s="245"/>
      <c r="Y13" s="130"/>
      <c r="Z13" s="130"/>
      <c r="AA13" s="130"/>
    </row>
    <row r="14" ht="15.75" customHeight="1">
      <c r="A14" s="1"/>
      <c r="B14" s="15" t="s">
        <v>45</v>
      </c>
      <c r="C14" s="16">
        <f>D14/C6</f>
        <v>0.672792362</v>
      </c>
      <c r="D14" s="17">
        <f>SUM(F14:F33)</f>
        <v>796001.5</v>
      </c>
      <c r="E14" s="39" t="s">
        <v>26</v>
      </c>
      <c r="F14" s="17">
        <f>Q14</f>
        <v>0</v>
      </c>
      <c r="G14" s="20" t="s">
        <v>27</v>
      </c>
      <c r="H14" s="20" t="s">
        <v>46</v>
      </c>
      <c r="I14" s="73" t="s">
        <v>20</v>
      </c>
      <c r="J14" s="4">
        <v>0.0</v>
      </c>
      <c r="K14" s="4">
        <v>0.0</v>
      </c>
      <c r="L14" s="4">
        <v>2.3</v>
      </c>
      <c r="M14" s="22" t="s">
        <v>29</v>
      </c>
      <c r="N14" s="22" t="s">
        <v>29</v>
      </c>
      <c r="O14" s="74">
        <v>1.11442026E8</v>
      </c>
      <c r="P14" s="24"/>
      <c r="Q14" s="124">
        <v>0.0</v>
      </c>
      <c r="R14" s="26"/>
      <c r="S14" s="26"/>
      <c r="T14" s="75"/>
      <c r="U14" s="88"/>
      <c r="V14" s="77"/>
      <c r="W14" s="77"/>
      <c r="X14" s="123"/>
      <c r="Y14" s="130"/>
      <c r="Z14" s="130"/>
      <c r="AA14" s="130"/>
    </row>
    <row r="15" ht="15.75" customHeight="1">
      <c r="A15" s="1"/>
      <c r="B15" s="31"/>
      <c r="C15" s="31"/>
      <c r="D15" s="31"/>
      <c r="E15" s="32"/>
      <c r="F15" s="32"/>
      <c r="G15" s="32"/>
      <c r="H15" s="32"/>
      <c r="I15" s="32"/>
      <c r="J15" s="4"/>
      <c r="K15" s="4"/>
      <c r="L15" s="4"/>
      <c r="M15" s="22"/>
      <c r="N15" s="22"/>
      <c r="O15" s="23"/>
      <c r="P15" s="45" t="s">
        <v>30</v>
      </c>
      <c r="Q15" s="100" t="s">
        <v>29</v>
      </c>
      <c r="R15" s="47"/>
      <c r="S15" s="47"/>
      <c r="T15" s="70"/>
      <c r="U15" s="247"/>
      <c r="V15" s="248"/>
      <c r="W15" s="248"/>
      <c r="X15" s="249"/>
      <c r="Y15" s="130"/>
      <c r="Z15" s="130"/>
      <c r="AA15" s="130"/>
    </row>
    <row r="16" ht="15.75" customHeight="1">
      <c r="A16" s="1"/>
      <c r="B16" s="31"/>
      <c r="C16" s="31"/>
      <c r="D16" s="31"/>
      <c r="E16" s="39" t="s">
        <v>47</v>
      </c>
      <c r="F16" s="17">
        <f>SUM(Q16,U16)</f>
        <v>36144.33</v>
      </c>
      <c r="G16" s="20" t="s">
        <v>48</v>
      </c>
      <c r="H16" s="20" t="s">
        <v>49</v>
      </c>
      <c r="I16" s="73" t="s">
        <v>20</v>
      </c>
      <c r="J16" s="4">
        <v>0.0</v>
      </c>
      <c r="K16" s="4">
        <v>0.0</v>
      </c>
      <c r="L16" s="4">
        <v>2.3</v>
      </c>
      <c r="M16" s="22" t="s">
        <v>29</v>
      </c>
      <c r="N16" s="22" t="s">
        <v>29</v>
      </c>
      <c r="O16" s="74">
        <v>1.06522E8</v>
      </c>
      <c r="P16" s="24"/>
      <c r="Q16" s="103">
        <v>0.0</v>
      </c>
      <c r="R16" s="56"/>
      <c r="S16" s="56"/>
      <c r="T16" s="243"/>
      <c r="U16" s="103">
        <v>36144.33</v>
      </c>
      <c r="V16" s="56"/>
      <c r="W16" s="56"/>
      <c r="X16" s="243"/>
      <c r="Y16" s="130"/>
      <c r="Z16" s="130"/>
      <c r="AA16" s="130"/>
    </row>
    <row r="17" ht="15.75" customHeight="1">
      <c r="A17" s="1"/>
      <c r="B17" s="31"/>
      <c r="C17" s="31"/>
      <c r="D17" s="31"/>
      <c r="E17" s="32"/>
      <c r="F17" s="32"/>
      <c r="G17" s="32"/>
      <c r="H17" s="32"/>
      <c r="I17" s="32"/>
      <c r="J17" s="4"/>
      <c r="K17" s="4"/>
      <c r="L17" s="4"/>
      <c r="M17" s="22"/>
      <c r="N17" s="22"/>
      <c r="O17" s="23"/>
      <c r="P17" s="45" t="s">
        <v>30</v>
      </c>
      <c r="Q17" s="100" t="s">
        <v>29</v>
      </c>
      <c r="R17" s="47"/>
      <c r="S17" s="47"/>
      <c r="T17" s="70"/>
      <c r="U17" s="100">
        <f>U16/L16*1000</f>
        <v>15714926.09</v>
      </c>
      <c r="V17" s="47"/>
      <c r="W17" s="47"/>
      <c r="X17" s="70"/>
      <c r="Y17" s="130"/>
      <c r="Z17" s="130"/>
      <c r="AA17" s="130"/>
    </row>
    <row r="18" ht="15.75" customHeight="1">
      <c r="A18" s="1"/>
      <c r="B18" s="31"/>
      <c r="C18" s="31"/>
      <c r="D18" s="31"/>
      <c r="E18" s="18" t="s">
        <v>26</v>
      </c>
      <c r="F18" s="17">
        <v>200000.0</v>
      </c>
      <c r="G18" s="244" t="s">
        <v>35</v>
      </c>
      <c r="H18" s="244" t="s">
        <v>50</v>
      </c>
      <c r="I18" s="20" t="s">
        <v>18</v>
      </c>
      <c r="J18" s="50">
        <v>0.05</v>
      </c>
      <c r="K18" s="50">
        <v>0.0</v>
      </c>
      <c r="L18" s="50">
        <v>0.0</v>
      </c>
      <c r="M18" s="51">
        <v>5200000.0</v>
      </c>
      <c r="N18" s="22" t="s">
        <v>29</v>
      </c>
      <c r="O18" s="23" t="s">
        <v>29</v>
      </c>
      <c r="P18" s="24"/>
      <c r="Q18" s="124">
        <v>263563.0</v>
      </c>
      <c r="R18" s="26"/>
      <c r="S18" s="26"/>
      <c r="T18" s="75"/>
      <c r="U18" s="103">
        <v>100000.0</v>
      </c>
      <c r="V18" s="56"/>
      <c r="W18" s="56"/>
      <c r="X18" s="243"/>
      <c r="Y18" s="130"/>
      <c r="Z18" s="130"/>
      <c r="AA18" s="130"/>
    </row>
    <row r="19" ht="15.75" customHeight="1">
      <c r="A19" s="1"/>
      <c r="B19" s="31"/>
      <c r="C19" s="31"/>
      <c r="D19" s="31"/>
      <c r="E19" s="32"/>
      <c r="F19" s="32"/>
      <c r="G19" s="32"/>
      <c r="H19" s="32"/>
      <c r="I19" s="32"/>
      <c r="J19" s="50"/>
      <c r="K19" s="50"/>
      <c r="L19" s="50"/>
      <c r="M19" s="58"/>
      <c r="N19" s="22"/>
      <c r="O19" s="23"/>
      <c r="P19" s="45" t="s">
        <v>37</v>
      </c>
      <c r="Q19" s="142">
        <f>Q18/J18</f>
        <v>5271260</v>
      </c>
      <c r="R19" s="35"/>
      <c r="S19" s="35"/>
      <c r="T19" s="250"/>
      <c r="U19" s="142">
        <f>U18/J18</f>
        <v>2000000</v>
      </c>
      <c r="V19" s="35"/>
      <c r="W19" s="35"/>
      <c r="X19" s="250"/>
      <c r="Y19" s="130"/>
      <c r="Z19" s="130"/>
      <c r="AA19" s="130"/>
    </row>
    <row r="20" ht="15.75" customHeight="1">
      <c r="A20" s="1"/>
      <c r="B20" s="31"/>
      <c r="C20" s="31"/>
      <c r="D20" s="31"/>
      <c r="E20" s="39" t="s">
        <v>47</v>
      </c>
      <c r="F20" s="17">
        <v>143861.0</v>
      </c>
      <c r="G20" s="20" t="s">
        <v>51</v>
      </c>
      <c r="H20" s="20" t="s">
        <v>52</v>
      </c>
      <c r="I20" s="20" t="s">
        <v>18</v>
      </c>
      <c r="J20" s="59">
        <v>0.086</v>
      </c>
      <c r="K20" s="59">
        <v>0.0</v>
      </c>
      <c r="L20" s="59">
        <v>0.0</v>
      </c>
      <c r="M20" s="51">
        <v>3485837.0</v>
      </c>
      <c r="N20" s="60" t="s">
        <v>29</v>
      </c>
      <c r="O20" s="23" t="s">
        <v>29</v>
      </c>
      <c r="P20" s="24"/>
      <c r="Q20" s="251">
        <f>F20/2</f>
        <v>71930.5</v>
      </c>
      <c r="R20" s="26"/>
      <c r="S20" s="26"/>
      <c r="T20" s="252"/>
      <c r="U20" s="253">
        <f>F20/2</f>
        <v>71930.5</v>
      </c>
      <c r="V20" s="26"/>
      <c r="W20" s="26"/>
      <c r="X20" s="75"/>
      <c r="Y20" s="130"/>
      <c r="Z20" s="254"/>
      <c r="AA20" s="130" t="s">
        <v>81</v>
      </c>
    </row>
    <row r="21" ht="15.75" customHeight="1">
      <c r="A21" s="1"/>
      <c r="B21" s="31"/>
      <c r="C21" s="31"/>
      <c r="D21" s="31"/>
      <c r="E21" s="32"/>
      <c r="F21" s="32"/>
      <c r="G21" s="32"/>
      <c r="H21" s="32"/>
      <c r="I21" s="32"/>
      <c r="J21" s="59"/>
      <c r="K21" s="59"/>
      <c r="L21" s="59"/>
      <c r="M21" s="58"/>
      <c r="N21" s="60"/>
      <c r="O21" s="23"/>
      <c r="P21" s="45" t="s">
        <v>37</v>
      </c>
      <c r="Q21" s="255">
        <f>Q20/J20</f>
        <v>836401.1628</v>
      </c>
      <c r="R21" s="47"/>
      <c r="S21" s="47"/>
      <c r="T21" s="47"/>
      <c r="U21" s="256">
        <f>U20/J20</f>
        <v>836401.1628</v>
      </c>
      <c r="V21" s="47"/>
      <c r="W21" s="47"/>
      <c r="X21" s="70"/>
      <c r="Y21" s="130"/>
      <c r="Z21" s="257"/>
      <c r="AA21" s="130" t="s">
        <v>82</v>
      </c>
    </row>
    <row r="22" ht="15.75" customHeight="1">
      <c r="A22" s="1"/>
      <c r="B22" s="31"/>
      <c r="C22" s="31"/>
      <c r="D22" s="31"/>
      <c r="E22" s="39" t="s">
        <v>53</v>
      </c>
      <c r="F22" s="17">
        <f>Q22+U22</f>
        <v>113925.17</v>
      </c>
      <c r="G22" s="244" t="s">
        <v>83</v>
      </c>
      <c r="H22" s="244" t="s">
        <v>55</v>
      </c>
      <c r="I22" s="20" t="s">
        <v>19</v>
      </c>
      <c r="J22" s="4">
        <v>0.0</v>
      </c>
      <c r="K22" s="4">
        <v>0.76</v>
      </c>
      <c r="L22" s="4">
        <v>0.0</v>
      </c>
      <c r="M22" s="51">
        <v>42857.0</v>
      </c>
      <c r="N22" s="22" t="s">
        <v>29</v>
      </c>
      <c r="O22" s="23" t="s">
        <v>29</v>
      </c>
      <c r="P22" s="24"/>
      <c r="Q22" s="258">
        <v>60000.0</v>
      </c>
      <c r="R22" s="26"/>
      <c r="S22" s="26"/>
      <c r="T22" s="259"/>
      <c r="U22" s="260">
        <v>53925.17</v>
      </c>
      <c r="V22" s="26"/>
      <c r="W22" s="26"/>
      <c r="X22" s="75"/>
      <c r="Y22" s="130"/>
      <c r="Z22" s="130"/>
      <c r="AA22" s="130"/>
    </row>
    <row r="23" ht="15.75" customHeight="1">
      <c r="A23" s="1"/>
      <c r="B23" s="31"/>
      <c r="C23" s="31"/>
      <c r="D23" s="31"/>
      <c r="E23" s="32"/>
      <c r="F23" s="32"/>
      <c r="G23" s="32"/>
      <c r="H23" s="32"/>
      <c r="I23" s="32"/>
      <c r="J23" s="4"/>
      <c r="K23" s="4"/>
      <c r="L23" s="4"/>
      <c r="M23" s="22" t="s">
        <v>29</v>
      </c>
      <c r="N23" s="58" t="s">
        <v>29</v>
      </c>
      <c r="O23" s="23" t="s">
        <v>29</v>
      </c>
      <c r="P23" s="45" t="s">
        <v>58</v>
      </c>
      <c r="Q23" s="261">
        <f>Q22/K22</f>
        <v>78947.36842</v>
      </c>
      <c r="R23" s="47"/>
      <c r="S23" s="47"/>
      <c r="T23" s="47"/>
      <c r="U23" s="262">
        <f>U22/K22</f>
        <v>70954.17105</v>
      </c>
      <c r="V23" s="47"/>
      <c r="W23" s="47"/>
      <c r="X23" s="70"/>
      <c r="Y23" s="136"/>
      <c r="Z23" s="130"/>
      <c r="AA23" s="130"/>
    </row>
    <row r="24" ht="15.75" customHeight="1">
      <c r="A24" s="1"/>
      <c r="B24" s="31"/>
      <c r="C24" s="31"/>
      <c r="D24" s="31"/>
      <c r="E24" s="39" t="s">
        <v>26</v>
      </c>
      <c r="F24" s="17">
        <f>SUM(Q24,Q26:X26,U24,U28,Q28,Q30:X30,Q32:X32)</f>
        <v>302071</v>
      </c>
      <c r="G24" s="244" t="s">
        <v>38</v>
      </c>
      <c r="H24" s="263" t="s">
        <v>59</v>
      </c>
      <c r="I24" s="263" t="s">
        <v>18</v>
      </c>
      <c r="J24" s="4">
        <v>0.03</v>
      </c>
      <c r="K24" s="4">
        <v>0.0</v>
      </c>
      <c r="L24" s="4">
        <v>0.0</v>
      </c>
      <c r="M24" s="58">
        <v>3333333.0</v>
      </c>
      <c r="N24" s="22" t="s">
        <v>29</v>
      </c>
      <c r="O24" s="23" t="s">
        <v>29</v>
      </c>
      <c r="P24" s="24"/>
      <c r="Q24" s="264">
        <v>50000.0</v>
      </c>
      <c r="R24" s="26"/>
      <c r="S24" s="26"/>
      <c r="T24" s="75"/>
      <c r="U24" s="88">
        <v>22071.0</v>
      </c>
      <c r="V24" s="77"/>
      <c r="W24" s="77"/>
      <c r="X24" s="123"/>
      <c r="Y24" s="130"/>
      <c r="Z24" s="130"/>
      <c r="AA24" s="130"/>
    </row>
    <row r="25" ht="15.75" customHeight="1">
      <c r="A25" s="1"/>
      <c r="B25" s="31"/>
      <c r="C25" s="31"/>
      <c r="D25" s="31"/>
      <c r="E25" s="31"/>
      <c r="F25" s="31"/>
      <c r="G25" s="31"/>
      <c r="H25" s="32"/>
      <c r="I25" s="32"/>
      <c r="J25" s="4"/>
      <c r="K25" s="4"/>
      <c r="L25" s="4"/>
      <c r="M25" s="58"/>
      <c r="N25" s="22"/>
      <c r="O25" s="23"/>
      <c r="P25" s="45" t="s">
        <v>37</v>
      </c>
      <c r="Q25" s="255">
        <f>Q24/J24</f>
        <v>1666666.667</v>
      </c>
      <c r="R25" s="47"/>
      <c r="S25" s="47"/>
      <c r="T25" s="70"/>
      <c r="U25" s="120">
        <f>U24/J24</f>
        <v>735700</v>
      </c>
      <c r="V25" s="47"/>
      <c r="W25" s="47"/>
      <c r="X25" s="70"/>
      <c r="Y25" s="130"/>
      <c r="Z25" s="130"/>
      <c r="AA25" s="130"/>
    </row>
    <row r="26" ht="15.75" customHeight="1">
      <c r="A26" s="1"/>
      <c r="B26" s="31"/>
      <c r="C26" s="31"/>
      <c r="D26" s="31"/>
      <c r="E26" s="31"/>
      <c r="F26" s="31"/>
      <c r="G26" s="31"/>
      <c r="H26" s="263" t="s">
        <v>40</v>
      </c>
      <c r="I26" s="265" t="s">
        <v>20</v>
      </c>
      <c r="J26" s="4">
        <v>0.0</v>
      </c>
      <c r="K26" s="4">
        <v>0.0</v>
      </c>
      <c r="L26" s="4">
        <v>5.8</v>
      </c>
      <c r="M26" s="22" t="s">
        <v>29</v>
      </c>
      <c r="N26" s="22" t="s">
        <v>29</v>
      </c>
      <c r="O26" s="74">
        <v>1.3793103E7</v>
      </c>
      <c r="P26" s="24"/>
      <c r="Q26" s="264">
        <f>20000</f>
        <v>20000</v>
      </c>
      <c r="R26" s="26"/>
      <c r="S26" s="26"/>
      <c r="T26" s="252"/>
      <c r="U26" s="266">
        <v>35000.0</v>
      </c>
      <c r="V26" s="56"/>
      <c r="W26" s="56"/>
      <c r="X26" s="243"/>
      <c r="Y26" s="130"/>
      <c r="Z26" s="130"/>
      <c r="AA26" s="130"/>
    </row>
    <row r="27" ht="15.75" customHeight="1">
      <c r="A27" s="1"/>
      <c r="B27" s="31"/>
      <c r="C27" s="31"/>
      <c r="D27" s="31"/>
      <c r="E27" s="31"/>
      <c r="F27" s="31"/>
      <c r="G27" s="31"/>
      <c r="H27" s="32"/>
      <c r="I27" s="32"/>
      <c r="J27" s="4"/>
      <c r="K27" s="4"/>
      <c r="L27" s="4"/>
      <c r="M27" s="22"/>
      <c r="N27" s="22"/>
      <c r="O27" s="23"/>
      <c r="P27" s="45" t="s">
        <v>30</v>
      </c>
      <c r="Q27" s="255">
        <f>Q26/L26*1000</f>
        <v>3448275.862</v>
      </c>
      <c r="R27" s="47"/>
      <c r="S27" s="47"/>
      <c r="T27" s="47"/>
      <c r="U27" s="256">
        <f>U26/L26*1000</f>
        <v>6034482.759</v>
      </c>
      <c r="V27" s="47"/>
      <c r="W27" s="47"/>
      <c r="X27" s="70"/>
      <c r="Y27" s="130"/>
      <c r="Z27" s="136"/>
      <c r="AA27" s="130"/>
    </row>
    <row r="28" ht="15.75" customHeight="1">
      <c r="A28" s="1"/>
      <c r="B28" s="31"/>
      <c r="C28" s="31"/>
      <c r="D28" s="31"/>
      <c r="E28" s="31"/>
      <c r="F28" s="31"/>
      <c r="G28" s="31"/>
      <c r="H28" s="263" t="s">
        <v>62</v>
      </c>
      <c r="I28" s="263" t="s">
        <v>19</v>
      </c>
      <c r="J28" s="50">
        <v>0.0</v>
      </c>
      <c r="K28" s="50">
        <v>0.6</v>
      </c>
      <c r="L28" s="50">
        <v>0.0</v>
      </c>
      <c r="M28" s="22" t="s">
        <v>29</v>
      </c>
      <c r="N28" s="58">
        <v>83333.0</v>
      </c>
      <c r="O28" s="23" t="s">
        <v>29</v>
      </c>
      <c r="P28" s="24"/>
      <c r="Q28" s="267">
        <v>25000.0</v>
      </c>
      <c r="R28" s="56"/>
      <c r="S28" s="56"/>
      <c r="T28" s="243"/>
      <c r="U28" s="174"/>
      <c r="V28" s="151"/>
      <c r="W28" s="151"/>
      <c r="X28" s="245"/>
      <c r="Y28" s="130"/>
      <c r="Z28" s="130"/>
      <c r="AA28" s="130"/>
    </row>
    <row r="29" ht="15.75" customHeight="1">
      <c r="A29" s="1"/>
      <c r="B29" s="31"/>
      <c r="C29" s="31"/>
      <c r="D29" s="31"/>
      <c r="E29" s="31"/>
      <c r="F29" s="31"/>
      <c r="G29" s="31"/>
      <c r="H29" s="32"/>
      <c r="I29" s="32"/>
      <c r="J29" s="50"/>
      <c r="K29" s="50"/>
      <c r="L29" s="50"/>
      <c r="M29" s="22"/>
      <c r="N29" s="58"/>
      <c r="O29" s="23"/>
      <c r="P29" s="45" t="s">
        <v>58</v>
      </c>
      <c r="Q29" s="255">
        <v>41666.66666666667</v>
      </c>
      <c r="R29" s="47"/>
      <c r="S29" s="47"/>
      <c r="T29" s="70"/>
      <c r="U29" s="268"/>
      <c r="V29" s="269"/>
      <c r="W29" s="269"/>
      <c r="X29" s="270"/>
      <c r="Y29" s="130"/>
      <c r="Z29" s="130"/>
      <c r="AA29" s="130"/>
    </row>
    <row r="30" ht="15.75" customHeight="1">
      <c r="A30" s="1"/>
      <c r="B30" s="31"/>
      <c r="C30" s="31"/>
      <c r="D30" s="31"/>
      <c r="E30" s="31"/>
      <c r="F30" s="31"/>
      <c r="G30" s="31"/>
      <c r="H30" s="263" t="s">
        <v>63</v>
      </c>
      <c r="I30" s="263" t="s">
        <v>19</v>
      </c>
      <c r="J30" s="50">
        <v>0.0</v>
      </c>
      <c r="K30" s="50">
        <v>0.6</v>
      </c>
      <c r="L30" s="50">
        <v>0.0</v>
      </c>
      <c r="M30" s="22" t="s">
        <v>29</v>
      </c>
      <c r="N30" s="58">
        <v>100000.0</v>
      </c>
      <c r="O30" s="23" t="s">
        <v>29</v>
      </c>
      <c r="P30" s="24"/>
      <c r="Q30" s="267">
        <v>40000.0</v>
      </c>
      <c r="R30" s="56"/>
      <c r="S30" s="56"/>
      <c r="T30" s="104"/>
      <c r="U30" s="266">
        <v>20000.0</v>
      </c>
      <c r="V30" s="56"/>
      <c r="W30" s="56"/>
      <c r="X30" s="243"/>
      <c r="Y30" s="130"/>
      <c r="Z30" s="130"/>
      <c r="AA30" s="130"/>
    </row>
    <row r="31" ht="15.75" customHeight="1">
      <c r="A31" s="1"/>
      <c r="B31" s="31"/>
      <c r="C31" s="31"/>
      <c r="D31" s="31"/>
      <c r="E31" s="31"/>
      <c r="F31" s="31"/>
      <c r="G31" s="31"/>
      <c r="H31" s="32"/>
      <c r="I31" s="32"/>
      <c r="J31" s="50"/>
      <c r="K31" s="50"/>
      <c r="L31" s="163"/>
      <c r="M31" s="22"/>
      <c r="N31" s="58"/>
      <c r="O31" s="23"/>
      <c r="P31" s="45" t="s">
        <v>58</v>
      </c>
      <c r="Q31" s="255">
        <f>Q30/K30</f>
        <v>66666.66667</v>
      </c>
      <c r="R31" s="47"/>
      <c r="S31" s="47"/>
      <c r="T31" s="47"/>
      <c r="U31" s="256">
        <f>U30/K30</f>
        <v>33333.33333</v>
      </c>
      <c r="V31" s="47"/>
      <c r="W31" s="47"/>
      <c r="X31" s="70"/>
      <c r="Y31" s="130"/>
      <c r="Z31" s="130"/>
      <c r="AA31" s="130"/>
    </row>
    <row r="32" ht="15.75" customHeight="1">
      <c r="A32" s="1"/>
      <c r="B32" s="31"/>
      <c r="C32" s="31"/>
      <c r="D32" s="31"/>
      <c r="E32" s="31"/>
      <c r="F32" s="31"/>
      <c r="G32" s="31"/>
      <c r="H32" s="263" t="s">
        <v>64</v>
      </c>
      <c r="I32" s="263" t="s">
        <v>19</v>
      </c>
      <c r="J32" s="50">
        <v>0.0</v>
      </c>
      <c r="K32" s="50">
        <v>0.45</v>
      </c>
      <c r="L32" s="163">
        <v>0.0</v>
      </c>
      <c r="M32" s="22" t="s">
        <v>29</v>
      </c>
      <c r="N32" s="58">
        <v>200000.0</v>
      </c>
      <c r="O32" s="23" t="s">
        <v>29</v>
      </c>
      <c r="P32" s="24"/>
      <c r="Q32" s="267">
        <v>60000.0</v>
      </c>
      <c r="R32" s="56"/>
      <c r="S32" s="56"/>
      <c r="T32" s="104"/>
      <c r="U32" s="266">
        <v>30000.0</v>
      </c>
      <c r="V32" s="56"/>
      <c r="W32" s="56"/>
      <c r="X32" s="243"/>
      <c r="Y32" s="136"/>
      <c r="Z32" s="130"/>
      <c r="AA32" s="130"/>
    </row>
    <row r="33" ht="15.75" customHeight="1">
      <c r="A33" s="1"/>
      <c r="B33" s="31"/>
      <c r="C33" s="31"/>
      <c r="D33" s="31"/>
      <c r="E33" s="271"/>
      <c r="F33" s="32"/>
      <c r="G33" s="32"/>
      <c r="H33" s="32"/>
      <c r="I33" s="32"/>
      <c r="J33" s="19"/>
      <c r="K33" s="19"/>
      <c r="L33" s="166"/>
      <c r="M33" s="22"/>
      <c r="N33" s="58"/>
      <c r="O33" s="23"/>
      <c r="P33" s="45" t="s">
        <v>58</v>
      </c>
      <c r="Q33" s="255">
        <f>Q32/K32</f>
        <v>133333.3333</v>
      </c>
      <c r="R33" s="47"/>
      <c r="S33" s="47"/>
      <c r="T33" s="47"/>
      <c r="U33" s="256">
        <f>U32/K32</f>
        <v>66666.66667</v>
      </c>
      <c r="V33" s="47"/>
      <c r="W33" s="47"/>
      <c r="X33" s="70"/>
      <c r="Y33" s="136"/>
      <c r="Z33" s="130"/>
      <c r="AA33" s="130"/>
    </row>
    <row r="34" ht="21.75" customHeight="1">
      <c r="A34" s="1"/>
      <c r="B34" s="193" t="s">
        <v>68</v>
      </c>
      <c r="C34" s="194"/>
      <c r="D34" s="195"/>
      <c r="E34" s="196"/>
      <c r="F34" s="197">
        <f>SUM(F10:F33)</f>
        <v>1183131</v>
      </c>
      <c r="G34" s="198"/>
      <c r="H34" s="196"/>
      <c r="I34" s="196"/>
      <c r="J34" s="198"/>
      <c r="K34" s="199"/>
      <c r="L34" s="200"/>
      <c r="M34" s="201" t="str">
        <f>SUM(M12:M13,M18,M22,M24,#REF!)</f>
        <v>#REF!</v>
      </c>
      <c r="N34" s="201">
        <f>SUM(N23:N32)</f>
        <v>383333</v>
      </c>
      <c r="O34" s="201" t="str">
        <f>SUM(O10,#REF!,O14:O16,O20,O23,O26:O27)</f>
        <v>#REF!</v>
      </c>
      <c r="P34" s="202"/>
      <c r="Q34" s="205"/>
      <c r="R34" s="204"/>
      <c r="S34" s="204"/>
      <c r="T34" s="204"/>
      <c r="U34" s="205"/>
      <c r="V34" s="204"/>
      <c r="W34" s="204"/>
      <c r="X34" s="272"/>
      <c r="Y34" s="130"/>
      <c r="Z34" s="136"/>
      <c r="AA34" s="130"/>
    </row>
    <row r="35" ht="15.75" customHeight="1">
      <c r="A35" s="1"/>
      <c r="B35" s="207"/>
      <c r="C35" s="208"/>
      <c r="D35" s="1"/>
      <c r="E35" s="1"/>
      <c r="F35" s="209"/>
      <c r="G35" s="1"/>
      <c r="H35" s="1"/>
      <c r="I35" s="1"/>
      <c r="J35" s="1"/>
      <c r="K35" s="1"/>
      <c r="L35" s="1"/>
      <c r="M35" s="1"/>
      <c r="N35" s="1"/>
      <c r="O35" s="210"/>
      <c r="P35" s="210"/>
      <c r="Q35" s="273">
        <v>807623.0</v>
      </c>
      <c r="R35" s="212"/>
      <c r="S35" s="212"/>
      <c r="T35" s="212"/>
      <c r="U35" s="273">
        <v>469071.0</v>
      </c>
      <c r="V35" s="212"/>
      <c r="W35" s="212"/>
      <c r="X35" s="212"/>
      <c r="Y35" s="130"/>
      <c r="Z35" s="130"/>
      <c r="AA35" s="130"/>
    </row>
    <row r="36" ht="15.75" customHeight="1">
      <c r="A36" s="1"/>
      <c r="B36" s="1"/>
      <c r="C36" s="1"/>
      <c r="D36" s="1"/>
      <c r="E36" s="1"/>
      <c r="F36" s="214"/>
      <c r="G36" s="1"/>
      <c r="H36" s="1"/>
      <c r="I36" s="1"/>
      <c r="J36" s="1"/>
      <c r="K36" s="215"/>
      <c r="L36" s="1"/>
      <c r="M36" s="1"/>
      <c r="N36" s="1"/>
      <c r="O36" s="215"/>
      <c r="P36" s="215"/>
      <c r="Q36" s="217">
        <f>Q43-Q35</f>
        <v>-807623</v>
      </c>
      <c r="U36" s="217">
        <f>U43-U35</f>
        <v>-469071</v>
      </c>
      <c r="Y36" s="130"/>
      <c r="Z36" s="130"/>
      <c r="AA36" s="130"/>
    </row>
    <row r="37" ht="15.75" customHeight="1">
      <c r="A37" s="1"/>
      <c r="B37" s="1"/>
      <c r="C37" s="1"/>
      <c r="D37" s="1"/>
      <c r="E37" s="1"/>
      <c r="F37" s="218"/>
      <c r="G37" s="1"/>
      <c r="H37" s="1"/>
      <c r="I37" s="1"/>
      <c r="J37" s="1"/>
      <c r="K37" s="1"/>
      <c r="L37" s="1"/>
      <c r="M37" s="1"/>
      <c r="N37" s="1"/>
      <c r="O37" s="219"/>
      <c r="P37" s="219"/>
      <c r="Q37" s="220"/>
      <c r="U37" s="274"/>
      <c r="Y37" s="130"/>
      <c r="Z37" s="130"/>
      <c r="AA37" s="130"/>
    </row>
    <row r="38" ht="15.75" customHeight="1">
      <c r="A38" s="1"/>
      <c r="B38" s="1"/>
      <c r="C38" s="1"/>
      <c r="D38" s="1"/>
      <c r="E38" s="1"/>
      <c r="F38" s="218"/>
      <c r="G38" s="214"/>
      <c r="H38" s="221"/>
      <c r="I38" s="1"/>
      <c r="J38" s="1"/>
      <c r="K38" s="1"/>
      <c r="L38" s="1"/>
      <c r="M38" s="1"/>
      <c r="N38" s="1"/>
      <c r="O38" s="1"/>
      <c r="P38" s="1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</row>
    <row r="39" ht="15.75" customHeight="1">
      <c r="A39" s="1"/>
      <c r="B39" s="1"/>
      <c r="C39" s="222"/>
      <c r="D39" s="1"/>
      <c r="E39" s="214"/>
      <c r="F39" s="209"/>
      <c r="G39" s="223"/>
      <c r="H39" s="214"/>
      <c r="I39" s="1"/>
      <c r="J39" s="1">
        <v>18000.0</v>
      </c>
      <c r="K39" s="1"/>
      <c r="L39" s="1"/>
      <c r="M39" s="1"/>
      <c r="N39" s="1"/>
      <c r="O39" s="219"/>
      <c r="P39" s="219"/>
      <c r="Q39" s="136"/>
      <c r="Y39" s="130"/>
      <c r="Z39" s="130"/>
      <c r="AA39" s="130"/>
    </row>
    <row r="40" ht="15.75" customHeight="1">
      <c r="A40" s="1"/>
      <c r="B40" s="1"/>
      <c r="C40" s="222"/>
      <c r="D40" s="1"/>
      <c r="E40" s="1"/>
      <c r="F40" s="209"/>
      <c r="G40" s="1"/>
      <c r="H40" s="1"/>
      <c r="I40" s="1"/>
      <c r="J40" s="214">
        <f>J39/K28</f>
        <v>30000</v>
      </c>
      <c r="K40" s="1"/>
      <c r="L40" s="1"/>
      <c r="M40" s="1"/>
      <c r="N40" s="1"/>
      <c r="O40" s="1"/>
      <c r="P40" s="1"/>
      <c r="Q40" s="130"/>
      <c r="Y40" s="130"/>
      <c r="Z40" s="130"/>
      <c r="AA40" s="130"/>
    </row>
    <row r="41" ht="15.75" customHeight="1">
      <c r="A41" s="1"/>
      <c r="B41" s="1"/>
      <c r="C41" s="1"/>
      <c r="D41" s="1"/>
      <c r="E41" s="1"/>
      <c r="F41" s="223"/>
      <c r="G41" s="1"/>
      <c r="H41" s="1"/>
      <c r="I41" s="1"/>
      <c r="J41" s="209"/>
      <c r="K41" s="1"/>
      <c r="L41" s="1"/>
      <c r="M41" s="1"/>
      <c r="N41" s="1"/>
      <c r="O41" s="1"/>
      <c r="P41" s="1"/>
      <c r="Q41" s="136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 ht="15.75" customHeight="1">
      <c r="A42" s="1"/>
      <c r="B42" s="1"/>
      <c r="C42" s="1"/>
      <c r="D42" s="1"/>
      <c r="E42" s="227"/>
      <c r="F42" s="1"/>
      <c r="G42" s="1"/>
      <c r="H42" s="1"/>
      <c r="I42" s="1"/>
      <c r="J42" s="1"/>
      <c r="K42" s="214"/>
      <c r="L42" s="1"/>
      <c r="M42" s="1"/>
      <c r="N42" s="1"/>
      <c r="O42" s="1"/>
      <c r="P42" s="1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 ht="15.75" customHeight="1">
      <c r="A43" s="1"/>
      <c r="B43" s="1"/>
      <c r="C43" s="1"/>
      <c r="D43" s="1"/>
      <c r="E43" s="229"/>
      <c r="F43" s="1"/>
      <c r="G43" s="1"/>
      <c r="H43" s="214"/>
      <c r="I43" s="214"/>
      <c r="J43" s="214">
        <v>27000.0</v>
      </c>
      <c r="K43" s="1"/>
      <c r="L43" s="1"/>
      <c r="M43" s="1"/>
      <c r="N43" s="1"/>
      <c r="O43" s="1"/>
      <c r="P43" s="1"/>
      <c r="Q43" s="275"/>
      <c r="U43" s="217"/>
      <c r="Y43" s="130"/>
      <c r="Z43" s="130"/>
      <c r="AA43" s="130"/>
    </row>
    <row r="44" ht="15.75" customHeight="1">
      <c r="A44" s="1"/>
      <c r="B44" s="1"/>
      <c r="C44" s="1"/>
      <c r="D44" s="1"/>
      <c r="E44" s="229"/>
      <c r="F44" s="1"/>
      <c r="G44" s="1"/>
      <c r="H44" s="1"/>
      <c r="I44" s="1"/>
      <c r="J44" s="215">
        <f>J43/L26*1000</f>
        <v>4655172.414</v>
      </c>
      <c r="K44" s="231"/>
      <c r="L44" s="1"/>
      <c r="M44" s="1"/>
      <c r="N44" s="1"/>
      <c r="O44" s="1"/>
      <c r="P44" s="1"/>
      <c r="Q44" s="275"/>
      <c r="U44" s="276"/>
      <c r="Y44" s="130"/>
      <c r="Z44" s="130"/>
      <c r="AA44" s="130"/>
    </row>
    <row r="45" ht="15.75" customHeight="1">
      <c r="A45" s="1"/>
      <c r="B45" s="1"/>
      <c r="C45" s="1"/>
      <c r="D45" s="1"/>
      <c r="E45" s="22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 ht="15.75" customHeight="1">
      <c r="A46" s="1"/>
      <c r="B46" s="1"/>
      <c r="C46" s="1"/>
      <c r="D46" s="1"/>
      <c r="E46" s="229"/>
      <c r="F46" s="1"/>
      <c r="G46" s="1"/>
      <c r="H46" s="1"/>
      <c r="I46" s="1"/>
      <c r="J46" s="1"/>
      <c r="K46" s="221"/>
      <c r="L46" s="231"/>
      <c r="M46" s="209">
        <v>140200.0</v>
      </c>
      <c r="N46" s="1"/>
      <c r="O46" s="1"/>
      <c r="P46" s="1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 ht="15.75" customHeight="1">
      <c r="A47" s="1"/>
      <c r="B47" s="1"/>
      <c r="C47" s="1"/>
      <c r="D47" s="1"/>
      <c r="E47" s="227"/>
      <c r="F47" s="1"/>
      <c r="G47" s="1"/>
      <c r="H47" s="1"/>
      <c r="I47" s="1"/>
      <c r="J47" s="1"/>
      <c r="K47" s="221"/>
      <c r="L47" s="231"/>
      <c r="M47" s="209">
        <v>50000.0</v>
      </c>
      <c r="N47" s="209">
        <v>1.2</v>
      </c>
      <c r="O47" s="215">
        <f>M47/N47</f>
        <v>41666.66667</v>
      </c>
      <c r="P47" s="215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 ht="15.75" customHeight="1">
      <c r="A48" s="1"/>
      <c r="B48" s="1"/>
      <c r="C48" s="1"/>
      <c r="D48" s="1"/>
      <c r="E48" s="227"/>
      <c r="F48" s="1"/>
      <c r="G48" s="1"/>
      <c r="H48" s="1"/>
      <c r="I48" s="1"/>
      <c r="J48" s="1"/>
      <c r="K48" s="1"/>
      <c r="L48" s="1"/>
      <c r="M48" s="209">
        <f>M46-M47</f>
        <v>90200</v>
      </c>
      <c r="N48" s="209">
        <v>2.0</v>
      </c>
      <c r="O48" s="232">
        <f>M48/N48*1000</f>
        <v>45100000</v>
      </c>
      <c r="P48" s="232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 ht="15.75" customHeight="1">
      <c r="A49" s="1"/>
      <c r="B49" s="1"/>
      <c r="C49" s="1"/>
      <c r="D49" s="1"/>
      <c r="E49" s="22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09"/>
      <c r="J50" s="1"/>
      <c r="K50" s="1"/>
      <c r="L50" s="1"/>
      <c r="M50" s="1"/>
      <c r="N50" s="1"/>
      <c r="O50" s="1" t="s">
        <v>34</v>
      </c>
      <c r="P50" s="1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U20:X20"/>
    <mergeCell ref="U21:X21"/>
    <mergeCell ref="U12:X12"/>
    <mergeCell ref="U13:X13"/>
    <mergeCell ref="U14:X14"/>
    <mergeCell ref="U16:X16"/>
    <mergeCell ref="U17:X17"/>
    <mergeCell ref="U18:X18"/>
    <mergeCell ref="U19:X19"/>
    <mergeCell ref="Q18:T18"/>
    <mergeCell ref="Q19:T19"/>
    <mergeCell ref="Q20:T20"/>
    <mergeCell ref="Q21:T21"/>
    <mergeCell ref="Q22:T22"/>
    <mergeCell ref="U22:X22"/>
    <mergeCell ref="U23:X23"/>
    <mergeCell ref="Q23:T23"/>
    <mergeCell ref="Q24:T24"/>
    <mergeCell ref="Q25:T25"/>
    <mergeCell ref="Q26:T26"/>
    <mergeCell ref="U26:X26"/>
    <mergeCell ref="Q27:T27"/>
    <mergeCell ref="U27:X27"/>
    <mergeCell ref="Q31:T31"/>
    <mergeCell ref="Q32:T32"/>
    <mergeCell ref="Q33:T33"/>
    <mergeCell ref="Q34:T34"/>
    <mergeCell ref="Q35:T35"/>
    <mergeCell ref="Q36:T36"/>
    <mergeCell ref="Q37:T37"/>
    <mergeCell ref="Q28:T28"/>
    <mergeCell ref="U28:X28"/>
    <mergeCell ref="Q29:T29"/>
    <mergeCell ref="U29:X29"/>
    <mergeCell ref="Q30:T30"/>
    <mergeCell ref="U30:X30"/>
    <mergeCell ref="U31:X31"/>
    <mergeCell ref="Q40:X40"/>
    <mergeCell ref="Q43:T43"/>
    <mergeCell ref="U43:X43"/>
    <mergeCell ref="Q44:T44"/>
    <mergeCell ref="U44:X44"/>
    <mergeCell ref="U32:X32"/>
    <mergeCell ref="U33:X33"/>
    <mergeCell ref="U34:X34"/>
    <mergeCell ref="U35:X35"/>
    <mergeCell ref="U36:X36"/>
    <mergeCell ref="U37:X37"/>
    <mergeCell ref="Q39:X39"/>
    <mergeCell ref="G10:G11"/>
    <mergeCell ref="H10:H11"/>
    <mergeCell ref="Q8:T8"/>
    <mergeCell ref="Q10:T10"/>
    <mergeCell ref="U10:X10"/>
    <mergeCell ref="Q11:T11"/>
    <mergeCell ref="U11:X11"/>
    <mergeCell ref="G12:G13"/>
    <mergeCell ref="H12:H13"/>
    <mergeCell ref="G14:G15"/>
    <mergeCell ref="H14:H15"/>
    <mergeCell ref="I14:I15"/>
    <mergeCell ref="U8:X8"/>
    <mergeCell ref="B10:B13"/>
    <mergeCell ref="C10:C13"/>
    <mergeCell ref="D10:D13"/>
    <mergeCell ref="E10:E11"/>
    <mergeCell ref="F10:F11"/>
    <mergeCell ref="I10:I11"/>
    <mergeCell ref="I12:I13"/>
    <mergeCell ref="Q12:T12"/>
    <mergeCell ref="Q13:T13"/>
    <mergeCell ref="Q14:T14"/>
    <mergeCell ref="Q15:T15"/>
    <mergeCell ref="Q16:T16"/>
    <mergeCell ref="Q17:T17"/>
    <mergeCell ref="U24:X24"/>
    <mergeCell ref="U25:X25"/>
    <mergeCell ref="H32:H33"/>
    <mergeCell ref="I32:I33"/>
    <mergeCell ref="E24:E32"/>
    <mergeCell ref="F24:F33"/>
    <mergeCell ref="G24:G33"/>
    <mergeCell ref="H24:H25"/>
    <mergeCell ref="I24:I25"/>
    <mergeCell ref="H26:H27"/>
    <mergeCell ref="I26:I27"/>
    <mergeCell ref="E16:E17"/>
    <mergeCell ref="F16:F17"/>
    <mergeCell ref="G16:G17"/>
    <mergeCell ref="H16:H17"/>
    <mergeCell ref="I16:I17"/>
    <mergeCell ref="E18:E19"/>
    <mergeCell ref="F18:F19"/>
    <mergeCell ref="G18:G19"/>
    <mergeCell ref="H18:H19"/>
    <mergeCell ref="I18:I19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E12:E13"/>
    <mergeCell ref="F12:F13"/>
    <mergeCell ref="B14:B33"/>
    <mergeCell ref="C14:C33"/>
    <mergeCell ref="D14:D33"/>
    <mergeCell ref="E14:E15"/>
    <mergeCell ref="F14:F15"/>
    <mergeCell ref="H28:H29"/>
    <mergeCell ref="I28:I29"/>
    <mergeCell ref="H30:H31"/>
    <mergeCell ref="I30:I3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0.86"/>
    <col customWidth="1" hidden="1" min="3" max="3" width="17.71"/>
    <col customWidth="1" hidden="1" min="4" max="4" width="16.14"/>
    <col customWidth="1" hidden="1" min="5" max="5" width="14.43"/>
    <col customWidth="1" hidden="1" min="6" max="6" width="15.43"/>
    <col customWidth="1" min="7" max="7" width="17.71"/>
    <col customWidth="1" min="8" max="8" width="21.43"/>
    <col customWidth="1" min="9" max="9" width="16.29"/>
    <col customWidth="1" min="10" max="10" width="7.86"/>
    <col customWidth="1" min="11" max="11" width="9.14"/>
    <col customWidth="1" min="12" max="12" width="11.14"/>
    <col customWidth="1" min="13" max="13" width="9.43"/>
    <col customWidth="1" min="14" max="14" width="7.71"/>
    <col customWidth="1" min="15" max="15" width="9.86"/>
    <col customWidth="1" min="16" max="16" width="11.0"/>
    <col customWidth="1" min="17" max="17" width="12.14"/>
    <col customWidth="1" min="18" max="18" width="13.43"/>
    <col customWidth="1" min="19" max="19" width="11.43"/>
    <col customWidth="1" min="20" max="20" width="9.71"/>
    <col customWidth="1" min="21" max="21" width="12.86"/>
    <col customWidth="1" min="22" max="22" width="13.14"/>
    <col customWidth="1" min="23" max="23" width="15.29"/>
    <col customWidth="1" min="24" max="26" width="6.14"/>
    <col customWidth="1" min="27" max="27" width="9.71"/>
    <col customWidth="1" min="28" max="47" width="6.14"/>
    <col customWidth="1" min="48" max="48" width="12.43"/>
    <col customWidth="1" min="49" max="69" width="6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5.75" customHeight="1">
      <c r="A4" s="1"/>
      <c r="B4" s="2" t="s">
        <v>0</v>
      </c>
      <c r="C4" s="3" t="s">
        <v>1</v>
      </c>
      <c r="D4" s="1"/>
      <c r="E4" s="1"/>
      <c r="F4" s="1"/>
      <c r="G4" s="1"/>
      <c r="H4" s="1"/>
      <c r="I4" s="1">
        <v>5.0E7</v>
      </c>
      <c r="J4" s="1"/>
      <c r="K4" s="1">
        <v>2.8E7</v>
      </c>
      <c r="L4" s="215">
        <f>SUM(K4:K6)</f>
        <v>32498000</v>
      </c>
      <c r="M4" s="1"/>
      <c r="N4" s="1"/>
      <c r="O4" s="1"/>
      <c r="P4" s="1" t="s">
        <v>84</v>
      </c>
      <c r="Q4" s="221">
        <f>O10/L11</f>
        <v>0.635</v>
      </c>
      <c r="R4" s="1"/>
      <c r="S4" s="221">
        <f>M23/J23</f>
        <v>0.7370689655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.75" customHeight="1">
      <c r="A5" s="1"/>
      <c r="B5" s="2" t="s">
        <v>2</v>
      </c>
      <c r="C5" s="3" t="s">
        <v>3</v>
      </c>
      <c r="D5" s="1"/>
      <c r="E5" s="1"/>
      <c r="F5" s="1"/>
      <c r="G5" s="1"/>
      <c r="H5" s="1"/>
      <c r="I5" s="221">
        <f>L4/I4</f>
        <v>0.64996</v>
      </c>
      <c r="J5" s="1"/>
      <c r="K5" s="1">
        <v>1098000.0</v>
      </c>
      <c r="L5" s="1"/>
      <c r="M5" s="1"/>
      <c r="N5" s="1"/>
      <c r="O5" s="1"/>
      <c r="P5" s="1" t="s">
        <v>85</v>
      </c>
      <c r="Q5" s="221">
        <f>O13/L13</f>
        <v>0.5601875</v>
      </c>
      <c r="R5" s="1"/>
      <c r="S5" s="221">
        <f>M29/J29</f>
        <v>0.4</v>
      </c>
      <c r="T5" s="1"/>
      <c r="U5" s="215">
        <f>AB27/O27*1000</f>
        <v>25114644.63</v>
      </c>
      <c r="V5" s="215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5.75" customHeight="1">
      <c r="A6" s="1"/>
      <c r="B6" s="2" t="s">
        <v>4</v>
      </c>
      <c r="C6" s="4">
        <v>4428576.0</v>
      </c>
      <c r="D6" s="1"/>
      <c r="E6" s="1"/>
      <c r="F6" s="1"/>
      <c r="G6" s="1"/>
      <c r="H6" s="1"/>
      <c r="I6" s="1"/>
      <c r="J6" s="1"/>
      <c r="K6" s="1">
        <v>3400000.0</v>
      </c>
      <c r="L6" s="1"/>
      <c r="M6" s="1"/>
      <c r="N6" s="1"/>
      <c r="O6" s="1"/>
      <c r="P6" s="1" t="s">
        <v>86</v>
      </c>
      <c r="Q6" s="221">
        <f>M15/J15</f>
        <v>0.6</v>
      </c>
      <c r="R6" s="1"/>
      <c r="S6" s="221">
        <f>O25/L25</f>
        <v>0.5260869565</v>
      </c>
      <c r="T6" s="1"/>
      <c r="U6" s="1"/>
      <c r="V6" s="215"/>
      <c r="W6" s="277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15"/>
      <c r="U7" s="1"/>
      <c r="V7" s="2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278" t="s">
        <v>87</v>
      </c>
      <c r="K8" s="237"/>
      <c r="L8" s="237"/>
      <c r="M8" s="279" t="s">
        <v>88</v>
      </c>
      <c r="N8" s="237"/>
      <c r="O8" s="238"/>
      <c r="P8" s="280" t="s">
        <v>87</v>
      </c>
      <c r="Q8" s="237"/>
      <c r="R8" s="237"/>
      <c r="S8" s="279" t="s">
        <v>88</v>
      </c>
      <c r="T8" s="237"/>
      <c r="U8" s="237"/>
      <c r="V8" s="238"/>
      <c r="W8" s="281"/>
      <c r="X8" s="282" t="s">
        <v>5</v>
      </c>
      <c r="Y8" s="237"/>
      <c r="Z8" s="237"/>
      <c r="AA8" s="237"/>
      <c r="AB8" s="236" t="s">
        <v>6</v>
      </c>
      <c r="AC8" s="237"/>
      <c r="AD8" s="237"/>
      <c r="AE8" s="237"/>
      <c r="AF8" s="236" t="s">
        <v>7</v>
      </c>
      <c r="AG8" s="237"/>
      <c r="AH8" s="237"/>
      <c r="AI8" s="237"/>
      <c r="AJ8" s="236" t="s">
        <v>8</v>
      </c>
      <c r="AK8" s="237"/>
      <c r="AL8" s="237"/>
      <c r="AM8" s="237"/>
      <c r="AN8" s="236" t="s">
        <v>78</v>
      </c>
      <c r="AO8" s="237"/>
      <c r="AP8" s="237"/>
      <c r="AQ8" s="237"/>
      <c r="AR8" s="236" t="s">
        <v>79</v>
      </c>
      <c r="AS8" s="237"/>
      <c r="AT8" s="237"/>
      <c r="AU8" s="238"/>
      <c r="AV8" s="283" t="s">
        <v>89</v>
      </c>
      <c r="AW8" s="284"/>
      <c r="AX8" s="284"/>
      <c r="AY8" s="285"/>
      <c r="AZ8" s="285"/>
      <c r="BA8" s="285"/>
      <c r="BB8" s="285"/>
      <c r="BC8" s="285"/>
      <c r="BD8" s="285"/>
      <c r="BE8" s="285"/>
      <c r="BF8" s="285"/>
      <c r="BG8" s="285"/>
      <c r="BH8" s="285"/>
      <c r="BI8" s="285"/>
      <c r="BJ8" s="285"/>
      <c r="BK8" s="285"/>
      <c r="BL8" s="285"/>
      <c r="BM8" s="285"/>
      <c r="BN8" s="285"/>
      <c r="BO8" s="285"/>
      <c r="BP8" s="285"/>
      <c r="BQ8" s="285"/>
    </row>
    <row r="9" ht="15.75" customHeight="1">
      <c r="A9" s="1"/>
      <c r="B9" s="10" t="s">
        <v>9</v>
      </c>
      <c r="C9" s="11" t="s">
        <v>10</v>
      </c>
      <c r="D9" s="11" t="s">
        <v>4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11</v>
      </c>
      <c r="J9" s="11" t="s">
        <v>15</v>
      </c>
      <c r="K9" s="11" t="s">
        <v>16</v>
      </c>
      <c r="L9" s="11" t="s">
        <v>17</v>
      </c>
      <c r="M9" s="286" t="s">
        <v>15</v>
      </c>
      <c r="N9" s="286" t="s">
        <v>16</v>
      </c>
      <c r="O9" s="286" t="s">
        <v>17</v>
      </c>
      <c r="P9" s="11" t="s">
        <v>18</v>
      </c>
      <c r="Q9" s="11" t="s">
        <v>19</v>
      </c>
      <c r="R9" s="11" t="s">
        <v>20</v>
      </c>
      <c r="S9" s="287" t="s">
        <v>18</v>
      </c>
      <c r="T9" s="287" t="s">
        <v>19</v>
      </c>
      <c r="U9" s="287" t="s">
        <v>20</v>
      </c>
      <c r="V9" s="287" t="s">
        <v>90</v>
      </c>
      <c r="W9" s="288" t="s">
        <v>91</v>
      </c>
      <c r="X9" s="289" t="s">
        <v>21</v>
      </c>
      <c r="Y9" s="290" t="s">
        <v>22</v>
      </c>
      <c r="Z9" s="290" t="s">
        <v>23</v>
      </c>
      <c r="AA9" s="290" t="s">
        <v>24</v>
      </c>
      <c r="AB9" s="290" t="s">
        <v>21</v>
      </c>
      <c r="AC9" s="290" t="s">
        <v>22</v>
      </c>
      <c r="AD9" s="290" t="s">
        <v>23</v>
      </c>
      <c r="AE9" s="290" t="s">
        <v>24</v>
      </c>
      <c r="AF9" s="290" t="s">
        <v>21</v>
      </c>
      <c r="AG9" s="290" t="s">
        <v>22</v>
      </c>
      <c r="AH9" s="290" t="s">
        <v>23</v>
      </c>
      <c r="AI9" s="290" t="s">
        <v>24</v>
      </c>
      <c r="AJ9" s="290" t="s">
        <v>21</v>
      </c>
      <c r="AK9" s="290" t="s">
        <v>22</v>
      </c>
      <c r="AL9" s="290" t="s">
        <v>23</v>
      </c>
      <c r="AM9" s="290" t="s">
        <v>24</v>
      </c>
      <c r="AN9" s="290" t="s">
        <v>21</v>
      </c>
      <c r="AO9" s="290" t="s">
        <v>22</v>
      </c>
      <c r="AP9" s="290" t="s">
        <v>23</v>
      </c>
      <c r="AQ9" s="290" t="s">
        <v>24</v>
      </c>
      <c r="AR9" s="290" t="s">
        <v>21</v>
      </c>
      <c r="AS9" s="290" t="s">
        <v>22</v>
      </c>
      <c r="AT9" s="290" t="s">
        <v>23</v>
      </c>
      <c r="AU9" s="291" t="s">
        <v>24</v>
      </c>
      <c r="AV9" s="292"/>
      <c r="AW9" s="237"/>
      <c r="AX9" s="238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</row>
    <row r="10" ht="15.75" customHeight="1">
      <c r="A10" s="1"/>
      <c r="B10" s="294"/>
      <c r="C10" s="295"/>
      <c r="D10" s="296"/>
      <c r="E10" s="297"/>
      <c r="F10" s="298"/>
      <c r="G10" s="20" t="s">
        <v>27</v>
      </c>
      <c r="H10" s="20" t="s">
        <v>28</v>
      </c>
      <c r="I10" s="20" t="s">
        <v>20</v>
      </c>
      <c r="J10" s="299"/>
      <c r="K10" s="299"/>
      <c r="L10" s="4"/>
      <c r="M10" s="300"/>
      <c r="N10" s="300"/>
      <c r="O10" s="301">
        <v>1.27</v>
      </c>
      <c r="P10" s="21"/>
      <c r="Q10" s="22"/>
      <c r="R10" s="58"/>
      <c r="S10" s="302"/>
      <c r="T10" s="302"/>
      <c r="U10" s="303"/>
      <c r="V10" s="304"/>
      <c r="W10" s="305" t="s">
        <v>92</v>
      </c>
      <c r="X10" s="306">
        <f>BRA!P10</f>
        <v>107032.67</v>
      </c>
      <c r="Y10" s="26"/>
      <c r="Z10" s="26"/>
      <c r="AA10" s="26"/>
      <c r="AB10" s="307">
        <f>BRA!T10</f>
        <v>73485.67</v>
      </c>
      <c r="AC10" s="53"/>
      <c r="AD10" s="53"/>
      <c r="AE10" s="53"/>
      <c r="AF10" s="307">
        <f>BRA!X10</f>
        <v>80200</v>
      </c>
      <c r="AG10" s="53"/>
      <c r="AH10" s="53"/>
      <c r="AI10" s="53"/>
      <c r="AJ10" s="211"/>
      <c r="AK10" s="211"/>
      <c r="AL10" s="211"/>
      <c r="AM10" s="211"/>
      <c r="AN10" s="211"/>
      <c r="AO10" s="211"/>
      <c r="AP10" s="211"/>
      <c r="AQ10" s="211"/>
      <c r="AR10" s="308"/>
      <c r="AS10" s="309"/>
      <c r="AT10" s="309"/>
      <c r="AU10" s="310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</row>
    <row r="11" ht="15.75" customHeight="1">
      <c r="A11" s="1"/>
      <c r="B11" s="15" t="s">
        <v>25</v>
      </c>
      <c r="C11" s="16">
        <f>D11/C6</f>
        <v>0.4167746788</v>
      </c>
      <c r="D11" s="17">
        <f>SUM(F11:F23)</f>
        <v>1845718.34</v>
      </c>
      <c r="E11" s="312" t="s">
        <v>26</v>
      </c>
      <c r="F11" s="50">
        <v>260718.34</v>
      </c>
      <c r="G11" s="32"/>
      <c r="H11" s="32"/>
      <c r="I11" s="32"/>
      <c r="J11" s="313" t="s">
        <v>93</v>
      </c>
      <c r="K11" s="313" t="s">
        <v>93</v>
      </c>
      <c r="L11" s="4">
        <v>2.0</v>
      </c>
      <c r="M11" s="300">
        <v>0.0</v>
      </c>
      <c r="N11" s="300">
        <v>0.0</v>
      </c>
      <c r="O11" s="314"/>
      <c r="P11" s="21" t="s">
        <v>29</v>
      </c>
      <c r="Q11" s="22" t="s">
        <v>29</v>
      </c>
      <c r="R11" s="23">
        <v>1.3E8</v>
      </c>
      <c r="S11" s="315" t="s">
        <v>29</v>
      </c>
      <c r="T11" s="315" t="s">
        <v>29</v>
      </c>
      <c r="U11" s="316">
        <v>1.1102111E8</v>
      </c>
      <c r="V11" s="304">
        <f>U11/R11</f>
        <v>0.8540085385</v>
      </c>
      <c r="W11" s="317" t="s">
        <v>88</v>
      </c>
      <c r="X11" s="318">
        <v>107032.67</v>
      </c>
      <c r="Y11" s="53"/>
      <c r="Z11" s="53"/>
      <c r="AA11" s="53"/>
      <c r="AB11" s="319">
        <v>33964.14</v>
      </c>
      <c r="AC11" s="26"/>
      <c r="AD11" s="320"/>
      <c r="AE11" s="320"/>
      <c r="AF11" s="321"/>
      <c r="AG11" s="26"/>
      <c r="AH11" s="26"/>
      <c r="AI11" s="26"/>
      <c r="AJ11" s="322"/>
      <c r="AK11" s="26"/>
      <c r="AL11" s="26"/>
      <c r="AM11" s="259"/>
      <c r="AN11" s="323"/>
      <c r="AO11" s="26"/>
      <c r="AP11" s="26"/>
      <c r="AQ11" s="259"/>
      <c r="AR11" s="324"/>
      <c r="AS11" s="325"/>
      <c r="AT11" s="325"/>
      <c r="AU11" s="326"/>
      <c r="AV11" s="311"/>
      <c r="AW11" s="311"/>
    </row>
    <row r="12" ht="15.75" customHeight="1">
      <c r="A12" s="1"/>
      <c r="B12" s="31"/>
      <c r="C12" s="31"/>
      <c r="D12" s="31"/>
      <c r="E12" s="327"/>
      <c r="F12" s="59"/>
      <c r="G12" s="20" t="s">
        <v>32</v>
      </c>
      <c r="H12" s="20" t="s">
        <v>33</v>
      </c>
      <c r="I12" s="20" t="s">
        <v>20</v>
      </c>
      <c r="J12" s="31"/>
      <c r="K12" s="31"/>
      <c r="L12" s="4"/>
      <c r="M12" s="300"/>
      <c r="N12" s="300"/>
      <c r="O12" s="328"/>
      <c r="P12" s="22"/>
      <c r="Q12" s="22"/>
      <c r="R12" s="23"/>
      <c r="S12" s="315"/>
      <c r="T12" s="315"/>
      <c r="U12" s="316"/>
      <c r="V12" s="329"/>
      <c r="W12" s="305" t="s">
        <v>92</v>
      </c>
      <c r="X12" s="306">
        <f>BRA!P11</f>
        <v>75000</v>
      </c>
      <c r="Y12" s="26"/>
      <c r="Z12" s="26"/>
      <c r="AA12" s="26"/>
      <c r="AB12" s="307">
        <f>BRA!T11</f>
        <v>45000</v>
      </c>
      <c r="AC12" s="53"/>
      <c r="AD12" s="53"/>
      <c r="AE12" s="53"/>
      <c r="AF12" s="307">
        <f>BRA!X11</f>
        <v>40000</v>
      </c>
      <c r="AG12" s="53"/>
      <c r="AH12" s="53"/>
      <c r="AI12" s="53"/>
      <c r="AJ12" s="330">
        <f>BRA!AB11</f>
        <v>40000</v>
      </c>
      <c r="AK12" s="284"/>
      <c r="AL12" s="284"/>
      <c r="AM12" s="284"/>
      <c r="AN12" s="331"/>
      <c r="AO12" s="119"/>
      <c r="AP12" s="119"/>
      <c r="AQ12" s="332"/>
      <c r="AR12" s="331"/>
      <c r="AS12" s="119"/>
      <c r="AT12" s="119"/>
      <c r="AU12" s="333"/>
      <c r="AV12" s="334"/>
      <c r="AW12" s="334"/>
      <c r="AX12" s="334"/>
      <c r="AY12" s="334"/>
      <c r="AZ12" s="334"/>
      <c r="BA12" s="334"/>
      <c r="BB12" s="334"/>
      <c r="BC12" s="334"/>
      <c r="BD12" s="334"/>
      <c r="BE12" s="334"/>
      <c r="BF12" s="334"/>
      <c r="BG12" s="334"/>
      <c r="BH12" s="334"/>
      <c r="BI12" s="334"/>
      <c r="BJ12" s="334"/>
      <c r="BK12" s="334"/>
      <c r="BL12" s="334"/>
      <c r="BM12" s="334"/>
      <c r="BN12" s="334"/>
      <c r="BO12" s="334"/>
      <c r="BP12" s="334"/>
      <c r="BQ12" s="334"/>
    </row>
    <row r="13" ht="15.75" customHeight="1">
      <c r="A13" s="1"/>
      <c r="B13" s="31"/>
      <c r="C13" s="31"/>
      <c r="D13" s="31"/>
      <c r="E13" s="327" t="s">
        <v>26</v>
      </c>
      <c r="F13" s="59">
        <v>200000.0</v>
      </c>
      <c r="G13" s="32"/>
      <c r="H13" s="32"/>
      <c r="I13" s="32"/>
      <c r="J13" s="32"/>
      <c r="K13" s="31"/>
      <c r="L13" s="4">
        <v>16.0</v>
      </c>
      <c r="M13" s="300">
        <v>0.0</v>
      </c>
      <c r="N13" s="300">
        <v>0.0</v>
      </c>
      <c r="O13" s="328">
        <v>8.963</v>
      </c>
      <c r="P13" s="22" t="s">
        <v>29</v>
      </c>
      <c r="Q13" s="22" t="s">
        <v>29</v>
      </c>
      <c r="R13" s="23">
        <v>1.25E7</v>
      </c>
      <c r="S13" s="315" t="s">
        <v>29</v>
      </c>
      <c r="T13" s="315" t="s">
        <v>29</v>
      </c>
      <c r="U13" s="316">
        <v>1.0931637E7</v>
      </c>
      <c r="V13" s="329">
        <f>U13/R13</f>
        <v>0.87453096</v>
      </c>
      <c r="W13" s="317" t="s">
        <v>88</v>
      </c>
      <c r="X13" s="335">
        <v>74991.11</v>
      </c>
      <c r="Y13" s="93"/>
      <c r="Z13" s="93"/>
      <c r="AA13" s="93"/>
      <c r="AB13" s="336">
        <v>22989.15</v>
      </c>
      <c r="AC13" s="77"/>
      <c r="AD13" s="337"/>
      <c r="AE13" s="337"/>
      <c r="AF13" s="338"/>
      <c r="AG13" s="77"/>
      <c r="AH13" s="77"/>
      <c r="AI13" s="77"/>
      <c r="AJ13" s="339"/>
      <c r="AK13" s="102"/>
      <c r="AL13" s="102"/>
      <c r="AM13" s="340"/>
      <c r="AN13" s="140"/>
      <c r="AO13" s="141"/>
      <c r="AP13" s="141"/>
      <c r="AQ13" s="341"/>
      <c r="AR13" s="140"/>
      <c r="AS13" s="141"/>
      <c r="AT13" s="141"/>
      <c r="AU13" s="342"/>
      <c r="AV13" s="334" t="s">
        <v>32</v>
      </c>
      <c r="AW13" s="334" t="s">
        <v>94</v>
      </c>
    </row>
    <row r="14" ht="15.75" customHeight="1">
      <c r="A14" s="1"/>
      <c r="B14" s="31"/>
      <c r="C14" s="31"/>
      <c r="D14" s="31"/>
      <c r="E14" s="312"/>
      <c r="F14" s="50"/>
      <c r="G14" s="20" t="s">
        <v>35</v>
      </c>
      <c r="H14" s="20" t="s">
        <v>36</v>
      </c>
      <c r="I14" s="20" t="s">
        <v>18</v>
      </c>
      <c r="J14" s="50"/>
      <c r="K14" s="31"/>
      <c r="L14" s="299"/>
      <c r="M14" s="301"/>
      <c r="N14" s="343"/>
      <c r="O14" s="343"/>
      <c r="P14" s="58"/>
      <c r="Q14" s="22"/>
      <c r="R14" s="23"/>
      <c r="S14" s="316"/>
      <c r="T14" s="315"/>
      <c r="U14" s="315"/>
      <c r="V14" s="329"/>
      <c r="W14" s="305" t="s">
        <v>92</v>
      </c>
      <c r="X14" s="306">
        <f>BRA!P12</f>
        <v>151250</v>
      </c>
      <c r="Y14" s="26"/>
      <c r="Z14" s="26"/>
      <c r="AA14" s="26"/>
      <c r="AB14" s="344">
        <f>BRA!T12</f>
        <v>91250</v>
      </c>
      <c r="AC14" s="35"/>
      <c r="AD14" s="35"/>
      <c r="AE14" s="35"/>
      <c r="AF14" s="345">
        <f>BRA!X12</f>
        <v>121250</v>
      </c>
      <c r="AG14" s="35"/>
      <c r="AH14" s="35"/>
      <c r="AI14" s="35"/>
      <c r="AJ14" s="346">
        <f>BRA!AB12</f>
        <v>121250</v>
      </c>
      <c r="AK14" s="102"/>
      <c r="AL14" s="102"/>
      <c r="AM14" s="340"/>
      <c r="AN14" s="67"/>
      <c r="AO14" s="67"/>
      <c r="AP14" s="67"/>
      <c r="AQ14" s="347"/>
      <c r="AR14" s="67"/>
      <c r="AS14" s="67"/>
      <c r="AT14" s="67"/>
      <c r="AU14" s="348"/>
      <c r="AV14" s="293"/>
      <c r="AW14" s="293"/>
      <c r="AX14" s="293"/>
      <c r="AY14" s="293"/>
      <c r="AZ14" s="293"/>
      <c r="BA14" s="293"/>
      <c r="BB14" s="293"/>
      <c r="BC14" s="293"/>
      <c r="BD14" s="293"/>
      <c r="BE14" s="293"/>
      <c r="BF14" s="293"/>
      <c r="BG14" s="293"/>
      <c r="BH14" s="293"/>
      <c r="BI14" s="293"/>
      <c r="BJ14" s="293"/>
      <c r="BK14" s="293"/>
      <c r="BL14" s="293"/>
      <c r="BM14" s="293"/>
      <c r="BN14" s="293"/>
      <c r="BO14" s="293"/>
      <c r="BP14" s="293"/>
      <c r="BQ14" s="293"/>
    </row>
    <row r="15" ht="15.75" customHeight="1">
      <c r="A15" s="1"/>
      <c r="B15" s="31"/>
      <c r="C15" s="31"/>
      <c r="D15" s="31"/>
      <c r="E15" s="312" t="s">
        <v>26</v>
      </c>
      <c r="F15" s="50">
        <v>485000.0</v>
      </c>
      <c r="G15" s="32"/>
      <c r="H15" s="32"/>
      <c r="I15" s="32"/>
      <c r="J15" s="50">
        <v>0.05</v>
      </c>
      <c r="K15" s="31"/>
      <c r="L15" s="313" t="s">
        <v>93</v>
      </c>
      <c r="M15" s="301">
        <v>0.03</v>
      </c>
      <c r="N15" s="343">
        <v>0.0</v>
      </c>
      <c r="O15" s="343">
        <v>0.0</v>
      </c>
      <c r="P15" s="58">
        <v>9000000.0</v>
      </c>
      <c r="Q15" s="22" t="s">
        <v>29</v>
      </c>
      <c r="R15" s="23" t="s">
        <v>29</v>
      </c>
      <c r="S15" s="316">
        <v>6414176.0</v>
      </c>
      <c r="T15" s="315" t="s">
        <v>29</v>
      </c>
      <c r="U15" s="315" t="s">
        <v>29</v>
      </c>
      <c r="V15" s="329">
        <f>S15/P15</f>
        <v>0.7126862222</v>
      </c>
      <c r="W15" s="317" t="s">
        <v>88</v>
      </c>
      <c r="X15" s="349">
        <v>151247.24</v>
      </c>
      <c r="Y15" s="26"/>
      <c r="Z15" s="26"/>
      <c r="AA15" s="26"/>
      <c r="AB15" s="350">
        <v>41478.05</v>
      </c>
      <c r="AC15" s="35"/>
      <c r="AD15" s="351"/>
      <c r="AE15" s="351"/>
      <c r="AF15" s="345"/>
      <c r="AG15" s="35"/>
      <c r="AH15" s="35"/>
      <c r="AI15" s="35"/>
      <c r="AJ15" s="346"/>
      <c r="AK15" s="102"/>
      <c r="AL15" s="102"/>
      <c r="AM15" s="340"/>
      <c r="AN15" s="352"/>
      <c r="AO15" s="151"/>
      <c r="AP15" s="151"/>
      <c r="AQ15" s="154"/>
      <c r="AR15" s="174"/>
      <c r="AS15" s="151"/>
      <c r="AT15" s="151"/>
      <c r="AU15" s="245"/>
      <c r="AV15" s="292"/>
      <c r="AW15" s="237"/>
      <c r="AX15" s="238"/>
      <c r="AY15" s="293"/>
      <c r="AZ15" s="293"/>
      <c r="BA15" s="293"/>
      <c r="BB15" s="293"/>
      <c r="BC15" s="293"/>
      <c r="BD15" s="293"/>
      <c r="BE15" s="293"/>
      <c r="BF15" s="293"/>
      <c r="BG15" s="293"/>
      <c r="BH15" s="293"/>
      <c r="BI15" s="293"/>
      <c r="BJ15" s="293"/>
      <c r="BK15" s="293"/>
      <c r="BL15" s="293"/>
      <c r="BM15" s="293"/>
      <c r="BN15" s="293"/>
      <c r="BO15" s="293"/>
      <c r="BP15" s="293"/>
      <c r="BQ15" s="293"/>
    </row>
    <row r="16" ht="15.75" customHeight="1">
      <c r="A16" s="1"/>
      <c r="B16" s="31"/>
      <c r="C16" s="31"/>
      <c r="D16" s="31"/>
      <c r="E16" s="353"/>
      <c r="F16" s="4"/>
      <c r="G16" s="20" t="s">
        <v>38</v>
      </c>
      <c r="H16" s="20" t="s">
        <v>39</v>
      </c>
      <c r="I16" s="41" t="s">
        <v>18</v>
      </c>
      <c r="J16" s="59"/>
      <c r="K16" s="31"/>
      <c r="L16" s="31"/>
      <c r="M16" s="354"/>
      <c r="N16" s="355"/>
      <c r="O16" s="355"/>
      <c r="P16" s="58"/>
      <c r="Q16" s="60"/>
      <c r="R16" s="61"/>
      <c r="S16" s="316"/>
      <c r="T16" s="356"/>
      <c r="U16" s="356"/>
      <c r="V16" s="357"/>
      <c r="W16" s="305" t="s">
        <v>92</v>
      </c>
      <c r="X16" s="306">
        <f>BRA!P13</f>
        <v>90000</v>
      </c>
      <c r="Y16" s="26"/>
      <c r="Z16" s="26"/>
      <c r="AA16" s="26"/>
      <c r="AB16" s="344">
        <f>BRA!T13</f>
        <v>80000</v>
      </c>
      <c r="AC16" s="35"/>
      <c r="AD16" s="35"/>
      <c r="AE16" s="35"/>
      <c r="AF16" s="71"/>
      <c r="AG16" s="71"/>
      <c r="AH16" s="71"/>
      <c r="AI16" s="71"/>
      <c r="AJ16" s="119"/>
      <c r="AK16" s="119"/>
      <c r="AL16" s="119"/>
      <c r="AM16" s="119"/>
      <c r="AN16" s="119"/>
      <c r="AO16" s="119"/>
      <c r="AP16" s="119"/>
      <c r="AQ16" s="332"/>
      <c r="AR16" s="119"/>
      <c r="AS16" s="119"/>
      <c r="AT16" s="119"/>
      <c r="AU16" s="333"/>
      <c r="AV16" s="21"/>
      <c r="AW16" s="21"/>
      <c r="AX16" s="21"/>
      <c r="AY16" s="293"/>
      <c r="AZ16" s="293"/>
      <c r="BA16" s="293"/>
      <c r="BB16" s="293"/>
      <c r="BC16" s="293"/>
      <c r="BD16" s="293"/>
      <c r="BE16" s="293"/>
      <c r="BF16" s="293"/>
      <c r="BG16" s="293"/>
      <c r="BH16" s="293"/>
      <c r="BI16" s="293"/>
      <c r="BJ16" s="293"/>
      <c r="BK16" s="293"/>
      <c r="BL16" s="293"/>
      <c r="BM16" s="293"/>
      <c r="BN16" s="293"/>
      <c r="BO16" s="293"/>
      <c r="BP16" s="293"/>
      <c r="BQ16" s="293"/>
    </row>
    <row r="17" ht="27.75" customHeight="1">
      <c r="A17" s="1"/>
      <c r="B17" s="31"/>
      <c r="C17" s="31"/>
      <c r="D17" s="31"/>
      <c r="E17" s="39" t="s">
        <v>26</v>
      </c>
      <c r="F17" s="17">
        <v>320000.0</v>
      </c>
      <c r="G17" s="31"/>
      <c r="H17" s="32"/>
      <c r="I17" s="32"/>
      <c r="J17" s="59">
        <v>0.05</v>
      </c>
      <c r="K17" s="31"/>
      <c r="L17" s="32"/>
      <c r="M17" s="354">
        <v>0.03</v>
      </c>
      <c r="N17" s="355">
        <v>0.0</v>
      </c>
      <c r="O17" s="355">
        <v>0.0</v>
      </c>
      <c r="P17" s="58">
        <v>3400000.0</v>
      </c>
      <c r="Q17" s="60" t="s">
        <v>29</v>
      </c>
      <c r="R17" s="61" t="s">
        <v>29</v>
      </c>
      <c r="S17" s="316">
        <v>6250352.0</v>
      </c>
      <c r="T17" s="356" t="s">
        <v>29</v>
      </c>
      <c r="U17" s="356" t="s">
        <v>29</v>
      </c>
      <c r="V17" s="357">
        <f>S17/P17</f>
        <v>1.838338824</v>
      </c>
      <c r="W17" s="317" t="s">
        <v>88</v>
      </c>
      <c r="X17" s="358">
        <v>150138.87</v>
      </c>
      <c r="Y17" s="26"/>
      <c r="Z17" s="26"/>
      <c r="AA17" s="26"/>
      <c r="AB17" s="359">
        <v>37371.69</v>
      </c>
      <c r="AC17" s="102"/>
      <c r="AD17" s="360"/>
      <c r="AE17" s="360"/>
      <c r="AF17" s="71"/>
      <c r="AG17" s="112"/>
      <c r="AH17" s="112"/>
      <c r="AI17" s="112"/>
      <c r="AJ17" s="68"/>
      <c r="AK17" s="68"/>
      <c r="AL17" s="68"/>
      <c r="AM17" s="116"/>
      <c r="AN17" s="68"/>
      <c r="AO17" s="68"/>
      <c r="AP17" s="68"/>
      <c r="AQ17" s="116"/>
      <c r="AR17" s="68"/>
      <c r="AS17" s="68"/>
      <c r="AT17" s="68"/>
      <c r="AU17" s="361"/>
      <c r="AV17" s="362" t="s">
        <v>95</v>
      </c>
      <c r="AW17" s="237"/>
      <c r="AX17" s="237"/>
      <c r="AY17" s="237"/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8"/>
    </row>
    <row r="18" ht="15.75" customHeight="1">
      <c r="A18" s="1"/>
      <c r="B18" s="31"/>
      <c r="C18" s="31"/>
      <c r="D18" s="31"/>
      <c r="E18" s="31"/>
      <c r="F18" s="31"/>
      <c r="G18" s="31"/>
      <c r="H18" s="73" t="s">
        <v>40</v>
      </c>
      <c r="I18" s="20" t="s">
        <v>20</v>
      </c>
      <c r="J18" s="299"/>
      <c r="K18" s="31"/>
      <c r="L18" s="4"/>
      <c r="M18" s="363"/>
      <c r="N18" s="300"/>
      <c r="O18" s="364"/>
      <c r="P18" s="22"/>
      <c r="Q18" s="22"/>
      <c r="R18" s="23"/>
      <c r="S18" s="315"/>
      <c r="T18" s="315"/>
      <c r="U18" s="365"/>
      <c r="V18" s="366"/>
      <c r="W18" s="305" t="s">
        <v>92</v>
      </c>
      <c r="X18" s="367" t="s">
        <v>96</v>
      </c>
      <c r="Y18" s="26"/>
      <c r="Z18" s="26"/>
      <c r="AA18" s="26"/>
      <c r="AB18" s="368">
        <f>BRA!T14</f>
        <v>40000</v>
      </c>
      <c r="AC18" s="284"/>
      <c r="AD18" s="284"/>
      <c r="AE18" s="284"/>
      <c r="AF18" s="85"/>
      <c r="AG18" s="85"/>
      <c r="AH18" s="85"/>
      <c r="AI18" s="85"/>
      <c r="AJ18" s="369"/>
      <c r="AK18" s="68"/>
      <c r="AL18" s="68"/>
      <c r="AM18" s="116"/>
      <c r="AN18" s="369"/>
      <c r="AO18" s="68"/>
      <c r="AP18" s="68"/>
      <c r="AQ18" s="116"/>
      <c r="AR18" s="369"/>
      <c r="AS18" s="68"/>
      <c r="AT18" s="68"/>
      <c r="AU18" s="36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</row>
    <row r="19" ht="15.75" customHeight="1">
      <c r="A19" s="1"/>
      <c r="B19" s="31"/>
      <c r="C19" s="31"/>
      <c r="D19" s="31"/>
      <c r="E19" s="31"/>
      <c r="F19" s="31"/>
      <c r="G19" s="31"/>
      <c r="H19" s="32"/>
      <c r="I19" s="32"/>
      <c r="J19" s="313" t="s">
        <v>93</v>
      </c>
      <c r="K19" s="31"/>
      <c r="L19" s="4">
        <v>5.8</v>
      </c>
      <c r="M19" s="363" t="s">
        <v>93</v>
      </c>
      <c r="N19" s="300">
        <v>0.0</v>
      </c>
      <c r="O19" s="364">
        <v>5.8</v>
      </c>
      <c r="P19" s="22" t="s">
        <v>29</v>
      </c>
      <c r="Q19" s="22" t="s">
        <v>29</v>
      </c>
      <c r="R19" s="74">
        <v>6896551.72413793</v>
      </c>
      <c r="S19" s="315" t="s">
        <v>29</v>
      </c>
      <c r="T19" s="315" t="s">
        <v>29</v>
      </c>
      <c r="U19" s="365">
        <v>2647164.0</v>
      </c>
      <c r="V19" s="366">
        <f>U19/R19</f>
        <v>0.38383878</v>
      </c>
      <c r="W19" s="317" t="s">
        <v>88</v>
      </c>
      <c r="X19" s="306">
        <v>0.0</v>
      </c>
      <c r="Y19" s="26"/>
      <c r="Z19" s="26"/>
      <c r="AA19" s="26"/>
      <c r="AB19" s="370">
        <v>15353.55</v>
      </c>
      <c r="AC19" s="371"/>
      <c r="AD19" s="360"/>
      <c r="AE19" s="360"/>
      <c r="AF19" s="76"/>
      <c r="AG19" s="77"/>
      <c r="AH19" s="77"/>
      <c r="AI19" s="78"/>
      <c r="AJ19" s="79"/>
      <c r="AK19" s="80"/>
      <c r="AL19" s="80"/>
      <c r="AM19" s="372"/>
      <c r="AN19" s="79"/>
      <c r="AO19" s="80"/>
      <c r="AP19" s="80"/>
      <c r="AQ19" s="372"/>
      <c r="AR19" s="79"/>
      <c r="AS19" s="80"/>
      <c r="AT19" s="80"/>
      <c r="AU19" s="373"/>
      <c r="AV19" s="311" t="s">
        <v>97</v>
      </c>
      <c r="AW19" s="311" t="s">
        <v>98</v>
      </c>
    </row>
    <row r="20" ht="15.75" customHeight="1">
      <c r="A20" s="1"/>
      <c r="B20" s="31"/>
      <c r="C20" s="31"/>
      <c r="D20" s="31"/>
      <c r="E20" s="31"/>
      <c r="F20" s="31"/>
      <c r="G20" s="31"/>
      <c r="H20" s="20" t="s">
        <v>41</v>
      </c>
      <c r="I20" s="20" t="s">
        <v>20</v>
      </c>
      <c r="J20" s="31"/>
      <c r="K20" s="31"/>
      <c r="L20" s="4"/>
      <c r="M20" s="300"/>
      <c r="N20" s="300"/>
      <c r="O20" s="364"/>
      <c r="P20" s="22"/>
      <c r="Q20" s="22"/>
      <c r="R20" s="23"/>
      <c r="S20" s="315"/>
      <c r="T20" s="315"/>
      <c r="U20" s="316"/>
      <c r="V20" s="374"/>
      <c r="W20" s="305" t="s">
        <v>92</v>
      </c>
      <c r="X20" s="306">
        <f>BRA!P15</f>
        <v>30000</v>
      </c>
      <c r="Y20" s="26"/>
      <c r="Z20" s="26"/>
      <c r="AA20" s="26"/>
      <c r="AB20" s="375">
        <f>BRA!T15</f>
        <v>20000</v>
      </c>
      <c r="AC20" s="93"/>
      <c r="AD20" s="93"/>
      <c r="AE20" s="93"/>
      <c r="AF20" s="82"/>
      <c r="AG20" s="82"/>
      <c r="AH20" s="82"/>
      <c r="AI20" s="82"/>
      <c r="AJ20" s="86"/>
      <c r="AK20" s="86"/>
      <c r="AL20" s="86"/>
      <c r="AM20" s="376"/>
      <c r="AN20" s="76"/>
      <c r="AO20" s="76"/>
      <c r="AP20" s="76"/>
      <c r="AQ20" s="82"/>
      <c r="AR20" s="79"/>
      <c r="AS20" s="80"/>
      <c r="AT20" s="80"/>
      <c r="AU20" s="373"/>
      <c r="AV20" s="293"/>
      <c r="AW20" s="293"/>
      <c r="AX20" s="293"/>
      <c r="AY20" s="293"/>
      <c r="AZ20" s="293"/>
      <c r="BA20" s="293"/>
      <c r="BB20" s="293"/>
      <c r="BC20" s="293"/>
      <c r="BD20" s="293"/>
      <c r="BE20" s="293"/>
      <c r="BF20" s="293"/>
      <c r="BG20" s="293"/>
      <c r="BH20" s="293"/>
      <c r="BI20" s="293"/>
      <c r="BJ20" s="293"/>
      <c r="BK20" s="293"/>
      <c r="BL20" s="293"/>
      <c r="BM20" s="293"/>
      <c r="BN20" s="293"/>
      <c r="BO20" s="293"/>
      <c r="BP20" s="293"/>
      <c r="BQ20" s="293"/>
    </row>
    <row r="21" ht="15.75" customHeight="1">
      <c r="A21" s="1"/>
      <c r="B21" s="31"/>
      <c r="C21" s="31"/>
      <c r="D21" s="31"/>
      <c r="E21" s="32"/>
      <c r="F21" s="32"/>
      <c r="G21" s="32"/>
      <c r="H21" s="32"/>
      <c r="I21" s="32"/>
      <c r="J21" s="32"/>
      <c r="K21" s="31"/>
      <c r="L21" s="4">
        <v>6.5</v>
      </c>
      <c r="M21" s="300">
        <v>0.0</v>
      </c>
      <c r="N21" s="300">
        <v>0.0</v>
      </c>
      <c r="O21" s="364">
        <v>6.5</v>
      </c>
      <c r="P21" s="22" t="s">
        <v>29</v>
      </c>
      <c r="Q21" s="22" t="s">
        <v>29</v>
      </c>
      <c r="R21" s="23">
        <v>7690000.0</v>
      </c>
      <c r="S21" s="315" t="s">
        <v>29</v>
      </c>
      <c r="T21" s="315" t="s">
        <v>29</v>
      </c>
      <c r="U21" s="316">
        <v>5439826.0</v>
      </c>
      <c r="V21" s="374">
        <f>U21/R21</f>
        <v>0.7073895969</v>
      </c>
      <c r="W21" s="317" t="s">
        <v>88</v>
      </c>
      <c r="X21" s="349">
        <v>28382.56</v>
      </c>
      <c r="Y21" s="26"/>
      <c r="Z21" s="26"/>
      <c r="AA21" s="26"/>
      <c r="AB21" s="336">
        <v>6976.31</v>
      </c>
      <c r="AC21" s="77"/>
      <c r="AD21" s="360"/>
      <c r="AE21" s="360"/>
      <c r="AF21" s="76"/>
      <c r="AG21" s="77"/>
      <c r="AH21" s="77"/>
      <c r="AI21" s="78"/>
      <c r="AJ21" s="83"/>
      <c r="AK21" s="77"/>
      <c r="AL21" s="77"/>
      <c r="AM21" s="78"/>
      <c r="AN21" s="76"/>
      <c r="AO21" s="77"/>
      <c r="AP21" s="77"/>
      <c r="AQ21" s="78"/>
      <c r="AR21" s="79"/>
      <c r="AS21" s="80"/>
      <c r="AT21" s="80"/>
      <c r="AU21" s="373"/>
      <c r="AV21" s="292"/>
      <c r="AW21" s="237"/>
      <c r="AX21" s="238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  <c r="BN21" s="293"/>
      <c r="BO21" s="293"/>
      <c r="BP21" s="293"/>
      <c r="BQ21" s="293"/>
    </row>
    <row r="22" ht="15.75" customHeight="1">
      <c r="A22" s="1"/>
      <c r="B22" s="31"/>
      <c r="C22" s="31"/>
      <c r="D22" s="31"/>
      <c r="E22" s="327"/>
      <c r="F22" s="59"/>
      <c r="G22" s="20" t="s">
        <v>42</v>
      </c>
      <c r="H22" s="20" t="s">
        <v>43</v>
      </c>
      <c r="I22" s="20" t="s">
        <v>44</v>
      </c>
      <c r="J22" s="4"/>
      <c r="K22" s="31"/>
      <c r="L22" s="299"/>
      <c r="M22" s="300"/>
      <c r="N22" s="300"/>
      <c r="O22" s="300"/>
      <c r="P22" s="58"/>
      <c r="Q22" s="22"/>
      <c r="R22" s="23"/>
      <c r="S22" s="316"/>
      <c r="T22" s="315"/>
      <c r="U22" s="315"/>
      <c r="V22" s="374"/>
      <c r="W22" s="305" t="s">
        <v>92</v>
      </c>
      <c r="X22" s="306">
        <f>BRA!P16</f>
        <v>193333.333</v>
      </c>
      <c r="Y22" s="26"/>
      <c r="Z22" s="26"/>
      <c r="AA22" s="26"/>
      <c r="AB22" s="377">
        <f>BRA!T16</f>
        <v>193333.333</v>
      </c>
      <c r="AC22" s="77"/>
      <c r="AD22" s="77"/>
      <c r="AE22" s="77"/>
      <c r="AF22" s="338">
        <f>BRA!X16</f>
        <v>193333.333</v>
      </c>
      <c r="AG22" s="77"/>
      <c r="AH22" s="77"/>
      <c r="AI22" s="77"/>
      <c r="AJ22" s="378"/>
      <c r="AK22" s="378"/>
      <c r="AL22" s="378"/>
      <c r="AM22" s="378"/>
      <c r="AN22" s="378"/>
      <c r="AO22" s="378"/>
      <c r="AP22" s="378"/>
      <c r="AQ22" s="378"/>
      <c r="AR22" s="88"/>
      <c r="AS22" s="88"/>
      <c r="AT22" s="88"/>
      <c r="AU22" s="379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</row>
    <row r="23" ht="15.75" customHeight="1">
      <c r="A23" s="1"/>
      <c r="B23" s="32"/>
      <c r="C23" s="32"/>
      <c r="D23" s="32"/>
      <c r="E23" s="327" t="s">
        <v>26</v>
      </c>
      <c r="F23" s="59">
        <v>580000.0</v>
      </c>
      <c r="G23" s="32"/>
      <c r="H23" s="32"/>
      <c r="I23" s="32"/>
      <c r="J23" s="4">
        <f>F23/P23</f>
        <v>1.288888889</v>
      </c>
      <c r="K23" s="31"/>
      <c r="L23" s="299" t="s">
        <v>93</v>
      </c>
      <c r="M23" s="301">
        <v>0.95</v>
      </c>
      <c r="N23" s="300">
        <v>0.0</v>
      </c>
      <c r="O23" s="300">
        <v>0.0</v>
      </c>
      <c r="P23" s="58">
        <f>150000*3</f>
        <v>450000</v>
      </c>
      <c r="Q23" s="22" t="s">
        <v>29</v>
      </c>
      <c r="R23" s="23" t="s">
        <v>29</v>
      </c>
      <c r="S23" s="316">
        <v>407932.0</v>
      </c>
      <c r="T23" s="315" t="s">
        <v>29</v>
      </c>
      <c r="U23" s="315" t="s">
        <v>29</v>
      </c>
      <c r="V23" s="374">
        <f>S23/P23</f>
        <v>0.9065155556</v>
      </c>
      <c r="W23" s="317" t="s">
        <v>88</v>
      </c>
      <c r="X23" s="349">
        <v>193333.33</v>
      </c>
      <c r="Y23" s="26"/>
      <c r="Z23" s="26"/>
      <c r="AA23" s="26"/>
      <c r="AB23" s="359">
        <v>193333.33</v>
      </c>
      <c r="AC23" s="102"/>
      <c r="AD23" s="102"/>
      <c r="AE23" s="102"/>
      <c r="AF23" s="360"/>
      <c r="AG23" s="360"/>
      <c r="AH23" s="360"/>
      <c r="AI23" s="360"/>
      <c r="AJ23" s="88"/>
      <c r="AK23" s="77"/>
      <c r="AL23" s="77"/>
      <c r="AM23" s="78"/>
      <c r="AN23" s="88"/>
      <c r="AO23" s="77"/>
      <c r="AP23" s="77"/>
      <c r="AQ23" s="78"/>
      <c r="AR23" s="88"/>
      <c r="AS23" s="77"/>
      <c r="AT23" s="77"/>
      <c r="AU23" s="123"/>
      <c r="AV23" s="311" t="s">
        <v>99</v>
      </c>
      <c r="AW23" s="311" t="s">
        <v>100</v>
      </c>
    </row>
    <row r="24" ht="15.75" customHeight="1">
      <c r="A24" s="1"/>
      <c r="B24" s="380"/>
      <c r="C24" s="381"/>
      <c r="D24" s="4"/>
      <c r="E24" s="382"/>
      <c r="F24" s="59"/>
      <c r="G24" s="20" t="s">
        <v>27</v>
      </c>
      <c r="H24" s="20" t="s">
        <v>46</v>
      </c>
      <c r="I24" s="73" t="s">
        <v>20</v>
      </c>
      <c r="J24" s="299"/>
      <c r="K24" s="31"/>
      <c r="L24" s="4"/>
      <c r="M24" s="300"/>
      <c r="N24" s="300"/>
      <c r="O24" s="328"/>
      <c r="P24" s="22"/>
      <c r="Q24" s="22"/>
      <c r="R24" s="23"/>
      <c r="S24" s="315"/>
      <c r="T24" s="315"/>
      <c r="U24" s="316"/>
      <c r="V24" s="374"/>
      <c r="W24" s="305" t="s">
        <v>92</v>
      </c>
      <c r="X24" s="383"/>
      <c r="Y24" s="77"/>
      <c r="Z24" s="77"/>
      <c r="AA24" s="78"/>
      <c r="AB24" s="384">
        <f>BRA!T17</f>
        <v>60000</v>
      </c>
      <c r="AC24" s="35"/>
      <c r="AD24" s="35"/>
      <c r="AE24" s="385"/>
      <c r="AF24" s="386">
        <f>BRA!X17</f>
        <v>60000</v>
      </c>
      <c r="AG24" s="77"/>
      <c r="AH24" s="77"/>
      <c r="AI24" s="77"/>
      <c r="AJ24" s="386">
        <f>BRA!AB17</f>
        <v>60000</v>
      </c>
      <c r="AK24" s="77"/>
      <c r="AL24" s="77"/>
      <c r="AM24" s="77"/>
      <c r="AN24" s="386">
        <f>BRA!AF17</f>
        <v>76316.66</v>
      </c>
      <c r="AO24" s="77"/>
      <c r="AP24" s="77"/>
      <c r="AQ24" s="77"/>
      <c r="AR24" s="88"/>
      <c r="AS24" s="77"/>
      <c r="AT24" s="77"/>
      <c r="AU24" s="123"/>
      <c r="AV24" s="293"/>
      <c r="AW24" s="293"/>
      <c r="AX24" s="293"/>
      <c r="AY24" s="293"/>
      <c r="AZ24" s="293"/>
      <c r="BA24" s="293"/>
      <c r="BB24" s="293"/>
      <c r="BC24" s="293"/>
      <c r="BD24" s="293"/>
      <c r="BE24" s="293"/>
      <c r="BF24" s="293"/>
      <c r="BG24" s="293"/>
      <c r="BH24" s="293"/>
      <c r="BI24" s="293"/>
      <c r="BJ24" s="293"/>
      <c r="BK24" s="293"/>
      <c r="BL24" s="293"/>
      <c r="BM24" s="293"/>
      <c r="BN24" s="293"/>
      <c r="BO24" s="293"/>
      <c r="BP24" s="293"/>
      <c r="BQ24" s="293"/>
    </row>
    <row r="25" ht="15.75" customHeight="1">
      <c r="A25" s="1"/>
      <c r="B25" s="15" t="s">
        <v>45</v>
      </c>
      <c r="C25" s="16">
        <f>D25/C6</f>
        <v>0.5493543882</v>
      </c>
      <c r="D25" s="17">
        <f>SUM(F25:F53)</f>
        <v>2432857.659</v>
      </c>
      <c r="E25" s="382" t="s">
        <v>26</v>
      </c>
      <c r="F25" s="59">
        <v>256316.66</v>
      </c>
      <c r="G25" s="32"/>
      <c r="H25" s="32"/>
      <c r="I25" s="32"/>
      <c r="J25" s="313" t="s">
        <v>93</v>
      </c>
      <c r="K25" s="31"/>
      <c r="L25" s="4">
        <v>2.3</v>
      </c>
      <c r="M25" s="300">
        <v>0.0</v>
      </c>
      <c r="N25" s="300">
        <v>0.0</v>
      </c>
      <c r="O25" s="328">
        <v>1.21</v>
      </c>
      <c r="P25" s="22" t="s">
        <v>29</v>
      </c>
      <c r="Q25" s="22" t="s">
        <v>29</v>
      </c>
      <c r="R25" s="23">
        <v>1.08E8</v>
      </c>
      <c r="S25" s="315" t="s">
        <v>29</v>
      </c>
      <c r="T25" s="315" t="s">
        <v>29</v>
      </c>
      <c r="U25" s="316">
        <v>2.2846091E7</v>
      </c>
      <c r="V25" s="374">
        <f>U25/R25</f>
        <v>0.2115378796</v>
      </c>
      <c r="W25" s="317" t="s">
        <v>88</v>
      </c>
      <c r="X25" s="383"/>
      <c r="Y25" s="77"/>
      <c r="Z25" s="77"/>
      <c r="AA25" s="78"/>
      <c r="AB25" s="387">
        <v>27643.77</v>
      </c>
      <c r="AC25" s="77"/>
      <c r="AD25" s="388"/>
      <c r="AE25" s="389"/>
      <c r="AF25" s="386"/>
      <c r="AG25" s="77"/>
      <c r="AH25" s="77"/>
      <c r="AI25" s="77"/>
      <c r="AJ25" s="390"/>
      <c r="AK25" s="77"/>
      <c r="AL25" s="77"/>
      <c r="AM25" s="391"/>
      <c r="AN25" s="390"/>
      <c r="AO25" s="77"/>
      <c r="AP25" s="77"/>
      <c r="AQ25" s="391"/>
      <c r="AR25" s="392"/>
      <c r="AS25" s="77"/>
      <c r="AT25" s="77"/>
      <c r="AU25" s="123"/>
      <c r="AV25" s="292"/>
      <c r="AW25" s="237"/>
      <c r="AX25" s="238"/>
      <c r="AY25" s="293"/>
      <c r="AZ25" s="293"/>
      <c r="BA25" s="293"/>
      <c r="BB25" s="293"/>
      <c r="BC25" s="293"/>
      <c r="BD25" s="293"/>
      <c r="BE25" s="293"/>
      <c r="BF25" s="293"/>
      <c r="BG25" s="293"/>
      <c r="BH25" s="293"/>
      <c r="BI25" s="293"/>
      <c r="BJ25" s="293"/>
      <c r="BK25" s="293"/>
      <c r="BL25" s="293"/>
      <c r="BM25" s="293"/>
      <c r="BN25" s="293"/>
      <c r="BO25" s="293"/>
      <c r="BP25" s="293"/>
      <c r="BQ25" s="293"/>
    </row>
    <row r="26" ht="15.75" customHeight="1">
      <c r="A26" s="1"/>
      <c r="B26" s="31"/>
      <c r="C26" s="31"/>
      <c r="D26" s="31"/>
      <c r="E26" s="353"/>
      <c r="F26" s="4"/>
      <c r="G26" s="20" t="s">
        <v>48</v>
      </c>
      <c r="H26" s="20" t="s">
        <v>49</v>
      </c>
      <c r="I26" s="73" t="s">
        <v>20</v>
      </c>
      <c r="J26" s="31"/>
      <c r="K26" s="31"/>
      <c r="L26" s="4"/>
      <c r="M26" s="300"/>
      <c r="N26" s="300"/>
      <c r="O26" s="328"/>
      <c r="P26" s="22"/>
      <c r="Q26" s="22"/>
      <c r="R26" s="23"/>
      <c r="S26" s="315"/>
      <c r="T26" s="315"/>
      <c r="U26" s="316"/>
      <c r="V26" s="374"/>
      <c r="W26" s="305" t="s">
        <v>92</v>
      </c>
      <c r="X26" s="383"/>
      <c r="Y26" s="77"/>
      <c r="Z26" s="77"/>
      <c r="AA26" s="78"/>
      <c r="AB26" s="384">
        <f>BRA!T18</f>
        <v>70000</v>
      </c>
      <c r="AC26" s="35"/>
      <c r="AD26" s="35"/>
      <c r="AE26" s="385"/>
      <c r="AF26" s="384">
        <f>BRA!X18</f>
        <v>58182</v>
      </c>
      <c r="AG26" s="35"/>
      <c r="AH26" s="35"/>
      <c r="AI26" s="35"/>
      <c r="AJ26" s="393">
        <f>BRA!AB18</f>
        <v>58333.33</v>
      </c>
      <c r="AK26" s="35"/>
      <c r="AL26" s="35"/>
      <c r="AM26" s="385"/>
      <c r="AN26" s="393">
        <f>BRA!AF18</f>
        <v>58484.67</v>
      </c>
      <c r="AO26" s="35"/>
      <c r="AP26" s="35"/>
      <c r="AQ26" s="385"/>
      <c r="AR26" s="88"/>
      <c r="AS26" s="77"/>
      <c r="AT26" s="77"/>
      <c r="AU26" s="123"/>
      <c r="AV26" s="21"/>
      <c r="AW26" s="21"/>
      <c r="AX26" s="21"/>
      <c r="AY26" s="293"/>
      <c r="AZ26" s="293"/>
      <c r="BA26" s="293"/>
      <c r="BB26" s="293"/>
      <c r="BC26" s="293"/>
      <c r="BD26" s="293"/>
      <c r="BE26" s="293"/>
      <c r="BF26" s="293"/>
      <c r="BG26" s="293"/>
      <c r="BH26" s="293"/>
      <c r="BI26" s="293"/>
      <c r="BJ26" s="293"/>
      <c r="BK26" s="293"/>
      <c r="BL26" s="293"/>
      <c r="BM26" s="293"/>
      <c r="BN26" s="293"/>
      <c r="BO26" s="293"/>
      <c r="BP26" s="293"/>
      <c r="BQ26" s="293"/>
    </row>
    <row r="27" ht="15.75" customHeight="1">
      <c r="A27" s="1"/>
      <c r="B27" s="31"/>
      <c r="C27" s="31"/>
      <c r="D27" s="31"/>
      <c r="E27" s="353" t="s">
        <v>47</v>
      </c>
      <c r="F27" s="4">
        <v>244999.999</v>
      </c>
      <c r="G27" s="32"/>
      <c r="H27" s="32"/>
      <c r="I27" s="32"/>
      <c r="J27" s="32"/>
      <c r="K27" s="31"/>
      <c r="L27" s="4">
        <v>2.3</v>
      </c>
      <c r="M27" s="300">
        <v>0.0</v>
      </c>
      <c r="N27" s="300">
        <v>0.0</v>
      </c>
      <c r="O27" s="328">
        <v>1.21</v>
      </c>
      <c r="P27" s="22" t="s">
        <v>29</v>
      </c>
      <c r="Q27" s="22" t="s">
        <v>29</v>
      </c>
      <c r="R27" s="23">
        <v>1.0E8</v>
      </c>
      <c r="S27" s="315" t="s">
        <v>29</v>
      </c>
      <c r="T27" s="315" t="s">
        <v>29</v>
      </c>
      <c r="U27" s="316">
        <v>2.5114645E7</v>
      </c>
      <c r="V27" s="374">
        <f>U27/R27</f>
        <v>0.25114645</v>
      </c>
      <c r="W27" s="317" t="s">
        <v>88</v>
      </c>
      <c r="X27" s="394"/>
      <c r="Y27" s="102"/>
      <c r="Z27" s="102"/>
      <c r="AA27" s="143"/>
      <c r="AB27" s="395">
        <v>30388.72</v>
      </c>
      <c r="AC27" s="102"/>
      <c r="AD27" s="396"/>
      <c r="AE27" s="397"/>
      <c r="AF27" s="398"/>
      <c r="AG27" s="102"/>
      <c r="AH27" s="102"/>
      <c r="AI27" s="102"/>
      <c r="AJ27" s="398"/>
      <c r="AK27" s="102"/>
      <c r="AL27" s="102"/>
      <c r="AM27" s="399"/>
      <c r="AN27" s="398"/>
      <c r="AO27" s="102"/>
      <c r="AP27" s="102"/>
      <c r="AQ27" s="399"/>
      <c r="AR27" s="400"/>
      <c r="AS27" s="102"/>
      <c r="AT27" s="102"/>
      <c r="AU27" s="401"/>
      <c r="AV27" s="292"/>
      <c r="AW27" s="237"/>
      <c r="AX27" s="238"/>
      <c r="AY27" s="293"/>
      <c r="AZ27" s="293"/>
      <c r="BA27" s="293"/>
      <c r="BB27" s="293"/>
      <c r="BC27" s="293"/>
      <c r="BD27" s="293"/>
      <c r="BE27" s="293"/>
      <c r="BF27" s="293"/>
      <c r="BG27" s="293"/>
      <c r="BH27" s="293"/>
      <c r="BI27" s="293"/>
      <c r="BJ27" s="293"/>
      <c r="BK27" s="293"/>
      <c r="BL27" s="293"/>
      <c r="BM27" s="293"/>
      <c r="BN27" s="293"/>
      <c r="BO27" s="293"/>
      <c r="BP27" s="293"/>
      <c r="BQ27" s="293"/>
    </row>
    <row r="28" ht="15.75" customHeight="1">
      <c r="A28" s="1"/>
      <c r="B28" s="31"/>
      <c r="C28" s="31"/>
      <c r="D28" s="31"/>
      <c r="E28" s="312"/>
      <c r="F28" s="50"/>
      <c r="G28" s="20" t="s">
        <v>35</v>
      </c>
      <c r="H28" s="20" t="s">
        <v>50</v>
      </c>
      <c r="I28" s="20" t="s">
        <v>18</v>
      </c>
      <c r="J28" s="50"/>
      <c r="K28" s="31"/>
      <c r="L28" s="299"/>
      <c r="M28" s="301"/>
      <c r="N28" s="343"/>
      <c r="O28" s="300"/>
      <c r="P28" s="58"/>
      <c r="Q28" s="22"/>
      <c r="R28" s="23"/>
      <c r="S28" s="316"/>
      <c r="T28" s="315"/>
      <c r="U28" s="315"/>
      <c r="V28" s="374"/>
      <c r="W28" s="305" t="s">
        <v>92</v>
      </c>
      <c r="X28" s="402">
        <f>BRA!P19</f>
        <v>60000</v>
      </c>
      <c r="Y28" s="102"/>
      <c r="Z28" s="102"/>
      <c r="AA28" s="102"/>
      <c r="AB28" s="384">
        <f>BRA!T19</f>
        <v>50000</v>
      </c>
      <c r="AC28" s="35"/>
      <c r="AD28" s="35"/>
      <c r="AE28" s="385"/>
      <c r="AF28" s="402">
        <f>BRA!X19</f>
        <v>50000</v>
      </c>
      <c r="AG28" s="102"/>
      <c r="AH28" s="102"/>
      <c r="AI28" s="399"/>
      <c r="AJ28" s="402">
        <f>BRA!AB19</f>
        <v>50000</v>
      </c>
      <c r="AK28" s="102"/>
      <c r="AL28" s="102"/>
      <c r="AM28" s="399"/>
      <c r="AN28" s="402">
        <f>BRA!AF19</f>
        <v>50000</v>
      </c>
      <c r="AO28" s="102"/>
      <c r="AP28" s="102"/>
      <c r="AQ28" s="399"/>
      <c r="AR28" s="88"/>
      <c r="AS28" s="77"/>
      <c r="AT28" s="77"/>
      <c r="AU28" s="123"/>
      <c r="AV28" s="21"/>
      <c r="AW28" s="21"/>
      <c r="AX28" s="21"/>
      <c r="AY28" s="293"/>
      <c r="AZ28" s="293"/>
      <c r="BA28" s="293"/>
      <c r="BB28" s="293"/>
      <c r="BC28" s="293"/>
      <c r="BD28" s="293"/>
      <c r="BE28" s="293"/>
      <c r="BF28" s="293"/>
      <c r="BG28" s="293"/>
      <c r="BH28" s="293"/>
      <c r="BI28" s="293"/>
      <c r="BJ28" s="293"/>
      <c r="BK28" s="293"/>
      <c r="BL28" s="293"/>
      <c r="BM28" s="293"/>
      <c r="BN28" s="293"/>
      <c r="BO28" s="293"/>
      <c r="BP28" s="293"/>
      <c r="BQ28" s="293"/>
    </row>
    <row r="29" ht="15.75" customHeight="1">
      <c r="A29" s="1"/>
      <c r="B29" s="31"/>
      <c r="C29" s="31"/>
      <c r="D29" s="31"/>
      <c r="E29" s="312" t="s">
        <v>26</v>
      </c>
      <c r="F29" s="50">
        <v>260000.0</v>
      </c>
      <c r="G29" s="32"/>
      <c r="H29" s="32"/>
      <c r="I29" s="32"/>
      <c r="J29" s="50">
        <v>0.05</v>
      </c>
      <c r="K29" s="31"/>
      <c r="L29" s="313" t="s">
        <v>93</v>
      </c>
      <c r="M29" s="301">
        <v>0.02</v>
      </c>
      <c r="N29" s="343">
        <v>0.0</v>
      </c>
      <c r="O29" s="300">
        <v>0.0</v>
      </c>
      <c r="P29" s="58">
        <v>5000000.0</v>
      </c>
      <c r="Q29" s="22" t="s">
        <v>29</v>
      </c>
      <c r="R29" s="23" t="s">
        <v>29</v>
      </c>
      <c r="S29" s="316">
        <v>2267254.5</v>
      </c>
      <c r="T29" s="315" t="s">
        <v>29</v>
      </c>
      <c r="U29" s="315" t="s">
        <v>29</v>
      </c>
      <c r="V29" s="374">
        <f>S29/P29</f>
        <v>0.4534509</v>
      </c>
      <c r="W29" s="317" t="s">
        <v>88</v>
      </c>
      <c r="X29" s="349">
        <v>45345.09</v>
      </c>
      <c r="Y29" s="26"/>
      <c r="Z29" s="26"/>
      <c r="AA29" s="26"/>
      <c r="AB29" s="403"/>
      <c r="AC29" s="102"/>
      <c r="AD29" s="404"/>
      <c r="AE29" s="405"/>
      <c r="AF29" s="406"/>
      <c r="AG29" s="151"/>
      <c r="AH29" s="151"/>
      <c r="AI29" s="151"/>
      <c r="AJ29" s="406"/>
      <c r="AK29" s="151"/>
      <c r="AL29" s="151"/>
      <c r="AM29" s="407"/>
      <c r="AN29" s="406"/>
      <c r="AO29" s="151"/>
      <c r="AP29" s="151"/>
      <c r="AQ29" s="407"/>
      <c r="AR29" s="408"/>
      <c r="AS29" s="151"/>
      <c r="AT29" s="151"/>
      <c r="AU29" s="245"/>
      <c r="AV29" s="292"/>
      <c r="AW29" s="237"/>
      <c r="AX29" s="238"/>
      <c r="AY29" s="293"/>
      <c r="AZ29" s="293"/>
      <c r="BA29" s="293"/>
      <c r="BB29" s="293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93"/>
      <c r="BO29" s="293"/>
      <c r="BP29" s="293"/>
      <c r="BQ29" s="293"/>
    </row>
    <row r="30" ht="15.75" customHeight="1">
      <c r="A30" s="1"/>
      <c r="B30" s="31"/>
      <c r="C30" s="31"/>
      <c r="D30" s="31"/>
      <c r="E30" s="327"/>
      <c r="F30" s="59"/>
      <c r="G30" s="41" t="s">
        <v>51</v>
      </c>
      <c r="H30" s="20" t="s">
        <v>52</v>
      </c>
      <c r="I30" s="41" t="s">
        <v>18</v>
      </c>
      <c r="J30" s="59"/>
      <c r="K30" s="31"/>
      <c r="L30" s="31"/>
      <c r="M30" s="363"/>
      <c r="N30" s="363"/>
      <c r="O30" s="355"/>
      <c r="P30" s="58"/>
      <c r="Q30" s="60"/>
      <c r="R30" s="23"/>
      <c r="S30" s="356"/>
      <c r="T30" s="356"/>
      <c r="U30" s="356"/>
      <c r="V30" s="58"/>
      <c r="W30" s="305" t="s">
        <v>92</v>
      </c>
      <c r="X30" s="409"/>
      <c r="Y30" s="91"/>
      <c r="Z30" s="91"/>
      <c r="AA30" s="91"/>
      <c r="AB30" s="119"/>
      <c r="AC30" s="119"/>
      <c r="AD30" s="119"/>
      <c r="AE30" s="119"/>
      <c r="AF30" s="119"/>
      <c r="AG30" s="119"/>
      <c r="AH30" s="119"/>
      <c r="AI30" s="119"/>
      <c r="AJ30" s="410">
        <f>BRA!AB20</f>
        <v>115921</v>
      </c>
      <c r="AK30" s="411"/>
      <c r="AL30" s="411"/>
      <c r="AM30" s="412"/>
      <c r="AN30" s="410">
        <f>BRA!AF20</f>
        <v>157177</v>
      </c>
      <c r="AO30" s="411"/>
      <c r="AP30" s="411"/>
      <c r="AQ30" s="412"/>
      <c r="AR30" s="410">
        <f>BRA!AJ20</f>
        <v>26684</v>
      </c>
      <c r="AS30" s="411"/>
      <c r="AT30" s="411"/>
      <c r="AU30" s="412"/>
      <c r="AV30" s="21"/>
      <c r="AW30" s="21"/>
      <c r="AX30" s="21"/>
      <c r="AY30" s="293"/>
      <c r="AZ30" s="293"/>
      <c r="BA30" s="293"/>
      <c r="BB30" s="293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93"/>
      <c r="BO30" s="293"/>
      <c r="BP30" s="293"/>
      <c r="BQ30" s="293"/>
    </row>
    <row r="31" ht="15.75" customHeight="1">
      <c r="A31" s="1"/>
      <c r="B31" s="31"/>
      <c r="C31" s="31"/>
      <c r="D31" s="31"/>
      <c r="E31" s="327" t="s">
        <v>47</v>
      </c>
      <c r="F31" s="59">
        <v>299782.0</v>
      </c>
      <c r="G31" s="32"/>
      <c r="H31" s="32"/>
      <c r="I31" s="32"/>
      <c r="J31" s="59">
        <v>0.086</v>
      </c>
      <c r="K31" s="31"/>
      <c r="L31" s="31"/>
      <c r="M31" s="363"/>
      <c r="N31" s="363"/>
      <c r="O31" s="355"/>
      <c r="P31" s="58">
        <v>3400000.0</v>
      </c>
      <c r="Q31" s="60" t="s">
        <v>29</v>
      </c>
      <c r="R31" s="23" t="s">
        <v>29</v>
      </c>
      <c r="S31" s="356"/>
      <c r="T31" s="356"/>
      <c r="U31" s="356"/>
      <c r="V31" s="58"/>
      <c r="W31" s="317" t="s">
        <v>88</v>
      </c>
      <c r="X31" s="413"/>
      <c r="Y31" s="371"/>
      <c r="Z31" s="371"/>
      <c r="AA31" s="414"/>
      <c r="AB31" s="68"/>
      <c r="AC31" s="68"/>
      <c r="AD31" s="68"/>
      <c r="AE31" s="116"/>
      <c r="AF31" s="68"/>
      <c r="AG31" s="68"/>
      <c r="AH31" s="68"/>
      <c r="AI31" s="68"/>
      <c r="AJ31" s="410"/>
      <c r="AK31" s="411"/>
      <c r="AL31" s="411"/>
      <c r="AM31" s="412"/>
      <c r="AN31" s="410"/>
      <c r="AO31" s="411"/>
      <c r="AP31" s="411"/>
      <c r="AQ31" s="412"/>
      <c r="AR31" s="410"/>
      <c r="AS31" s="411"/>
      <c r="AT31" s="411"/>
      <c r="AU31" s="412"/>
      <c r="AV31" s="292"/>
      <c r="AW31" s="237"/>
      <c r="AX31" s="238"/>
      <c r="AY31" s="293"/>
      <c r="AZ31" s="293"/>
      <c r="BA31" s="293"/>
      <c r="BB31" s="293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93"/>
      <c r="BO31" s="293"/>
      <c r="BP31" s="293"/>
      <c r="BQ31" s="293"/>
    </row>
    <row r="32" ht="15.75" customHeight="1">
      <c r="A32" s="1"/>
      <c r="B32" s="31"/>
      <c r="C32" s="31"/>
      <c r="D32" s="31"/>
      <c r="E32" s="353"/>
      <c r="F32" s="50"/>
      <c r="G32" s="20" t="s">
        <v>54</v>
      </c>
      <c r="H32" s="20" t="s">
        <v>55</v>
      </c>
      <c r="I32" s="20" t="s">
        <v>18</v>
      </c>
      <c r="J32" s="4"/>
      <c r="K32" s="31"/>
      <c r="L32" s="31"/>
      <c r="M32" s="300"/>
      <c r="N32" s="300"/>
      <c r="O32" s="300"/>
      <c r="P32" s="58"/>
      <c r="Q32" s="22"/>
      <c r="R32" s="23"/>
      <c r="S32" s="415"/>
      <c r="T32" s="415"/>
      <c r="U32" s="415"/>
      <c r="V32" s="58"/>
      <c r="W32" s="305" t="s">
        <v>92</v>
      </c>
      <c r="X32" s="416"/>
      <c r="Y32" s="91"/>
      <c r="Z32" s="91"/>
      <c r="AA32" s="115"/>
      <c r="AB32" s="95">
        <f>BRA!T21</f>
        <v>30000</v>
      </c>
      <c r="AC32" s="93"/>
      <c r="AD32" s="93"/>
      <c r="AE32" s="93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88"/>
      <c r="AS32" s="77"/>
      <c r="AT32" s="77"/>
      <c r="AU32" s="123"/>
      <c r="AV32" s="21"/>
      <c r="AW32" s="21"/>
      <c r="AX32" s="21"/>
      <c r="AY32" s="293"/>
      <c r="AZ32" s="293"/>
      <c r="BA32" s="293"/>
      <c r="BB32" s="293"/>
      <c r="BC32" s="293"/>
      <c r="BD32" s="293"/>
      <c r="BE32" s="293"/>
      <c r="BF32" s="293"/>
      <c r="BG32" s="293"/>
      <c r="BH32" s="293"/>
      <c r="BI32" s="293"/>
      <c r="BJ32" s="293"/>
      <c r="BK32" s="293"/>
      <c r="BL32" s="293"/>
      <c r="BM32" s="293"/>
      <c r="BN32" s="293"/>
      <c r="BO32" s="293"/>
      <c r="BP32" s="293"/>
      <c r="BQ32" s="293"/>
    </row>
    <row r="33" ht="15.75" customHeight="1">
      <c r="A33" s="1"/>
      <c r="B33" s="31"/>
      <c r="C33" s="31"/>
      <c r="D33" s="31"/>
      <c r="E33" s="353" t="s">
        <v>53</v>
      </c>
      <c r="F33" s="50">
        <v>30000.0</v>
      </c>
      <c r="G33" s="32"/>
      <c r="H33" s="32"/>
      <c r="I33" s="32"/>
      <c r="J33" s="4">
        <v>0.7</v>
      </c>
      <c r="K33" s="31"/>
      <c r="L33" s="31"/>
      <c r="M33" s="300"/>
      <c r="N33" s="300"/>
      <c r="O33" s="300"/>
      <c r="P33" s="58">
        <v>40000.0</v>
      </c>
      <c r="Q33" s="22" t="s">
        <v>29</v>
      </c>
      <c r="R33" s="23" t="s">
        <v>29</v>
      </c>
      <c r="S33" s="415"/>
      <c r="T33" s="415"/>
      <c r="U33" s="415"/>
      <c r="V33" s="58"/>
      <c r="W33" s="317" t="s">
        <v>88</v>
      </c>
      <c r="X33" s="417"/>
      <c r="Y33" s="77"/>
      <c r="Z33" s="77"/>
      <c r="AA33" s="78"/>
      <c r="AB33" s="95"/>
      <c r="AC33" s="93"/>
      <c r="AD33" s="93"/>
      <c r="AE33" s="93"/>
      <c r="AF33" s="122"/>
      <c r="AG33" s="77"/>
      <c r="AH33" s="77"/>
      <c r="AI33" s="78"/>
      <c r="AJ33" s="88"/>
      <c r="AK33" s="77"/>
      <c r="AL33" s="77"/>
      <c r="AM33" s="78"/>
      <c r="AN33" s="88"/>
      <c r="AO33" s="77"/>
      <c r="AP33" s="77"/>
      <c r="AQ33" s="78"/>
      <c r="AR33" s="88"/>
      <c r="AS33" s="77"/>
      <c r="AT33" s="77"/>
      <c r="AU33" s="123"/>
      <c r="AV33" s="292"/>
      <c r="AW33" s="237"/>
      <c r="AX33" s="238"/>
      <c r="AY33" s="293"/>
      <c r="AZ33" s="293"/>
      <c r="BA33" s="293"/>
      <c r="BB33" s="293"/>
      <c r="BC33" s="293"/>
      <c r="BD33" s="293"/>
      <c r="BE33" s="293"/>
      <c r="BF33" s="293"/>
      <c r="BG33" s="293"/>
      <c r="BH33" s="293"/>
      <c r="BI33" s="293"/>
      <c r="BJ33" s="293"/>
      <c r="BK33" s="293"/>
      <c r="BL33" s="293"/>
      <c r="BM33" s="293"/>
      <c r="BN33" s="293"/>
      <c r="BO33" s="293"/>
      <c r="BP33" s="293"/>
      <c r="BQ33" s="293"/>
    </row>
    <row r="34" ht="15.75" customHeight="1">
      <c r="A34" s="1"/>
      <c r="B34" s="31"/>
      <c r="C34" s="31"/>
      <c r="D34" s="31"/>
      <c r="E34" s="353"/>
      <c r="F34" s="4"/>
      <c r="G34" s="20" t="s">
        <v>38</v>
      </c>
      <c r="H34" s="20" t="s">
        <v>59</v>
      </c>
      <c r="I34" s="20" t="s">
        <v>18</v>
      </c>
      <c r="J34" s="4"/>
      <c r="K34" s="31"/>
      <c r="L34" s="31"/>
      <c r="M34" s="300"/>
      <c r="N34" s="300"/>
      <c r="O34" s="300"/>
      <c r="P34" s="58"/>
      <c r="Q34" s="22"/>
      <c r="R34" s="23"/>
      <c r="S34" s="415"/>
      <c r="T34" s="415"/>
      <c r="U34" s="415"/>
      <c r="V34" s="58"/>
      <c r="W34" s="305" t="s">
        <v>92</v>
      </c>
      <c r="X34" s="383"/>
      <c r="Y34" s="77"/>
      <c r="Z34" s="77"/>
      <c r="AA34" s="78"/>
      <c r="AB34" s="79"/>
      <c r="AC34" s="80"/>
      <c r="AD34" s="80"/>
      <c r="AE34" s="80"/>
      <c r="AF34" s="418">
        <f>BRA!X23</f>
        <v>50000</v>
      </c>
      <c r="AG34" s="77"/>
      <c r="AH34" s="77"/>
      <c r="AI34" s="77"/>
      <c r="AJ34" s="386">
        <f>BRA!AB23</f>
        <v>50000</v>
      </c>
      <c r="AK34" s="77"/>
      <c r="AL34" s="77"/>
      <c r="AM34" s="77"/>
      <c r="AN34" s="378"/>
      <c r="AO34" s="378"/>
      <c r="AP34" s="378"/>
      <c r="AQ34" s="378"/>
      <c r="AR34" s="88"/>
      <c r="AS34" s="77"/>
      <c r="AT34" s="77"/>
      <c r="AU34" s="123"/>
      <c r="AV34" s="21"/>
      <c r="AW34" s="21"/>
      <c r="AX34" s="21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  <c r="BN34" s="293"/>
      <c r="BO34" s="293"/>
      <c r="BP34" s="293"/>
      <c r="BQ34" s="293"/>
    </row>
    <row r="35" ht="15.75" customHeight="1">
      <c r="A35" s="1"/>
      <c r="B35" s="31"/>
      <c r="C35" s="31"/>
      <c r="D35" s="31"/>
      <c r="E35" s="39" t="s">
        <v>26</v>
      </c>
      <c r="F35" s="17">
        <v>580000.0</v>
      </c>
      <c r="G35" s="31"/>
      <c r="H35" s="32"/>
      <c r="I35" s="32"/>
      <c r="J35" s="4">
        <v>0.03</v>
      </c>
      <c r="K35" s="31"/>
      <c r="L35" s="32"/>
      <c r="M35" s="300"/>
      <c r="N35" s="300"/>
      <c r="O35" s="300"/>
      <c r="P35" s="58">
        <v>3333333.0</v>
      </c>
      <c r="Q35" s="22" t="s">
        <v>29</v>
      </c>
      <c r="R35" s="23" t="s">
        <v>29</v>
      </c>
      <c r="S35" s="415"/>
      <c r="T35" s="415"/>
      <c r="U35" s="415"/>
      <c r="V35" s="58"/>
      <c r="W35" s="317" t="s">
        <v>88</v>
      </c>
      <c r="X35" s="383"/>
      <c r="Y35" s="77"/>
      <c r="Z35" s="77"/>
      <c r="AA35" s="78"/>
      <c r="AB35" s="79"/>
      <c r="AC35" s="80"/>
      <c r="AD35" s="80"/>
      <c r="AE35" s="419"/>
      <c r="AF35" s="418"/>
      <c r="AG35" s="77"/>
      <c r="AH35" s="77"/>
      <c r="AI35" s="77"/>
      <c r="AJ35" s="418"/>
      <c r="AK35" s="77"/>
      <c r="AL35" s="77"/>
      <c r="AM35" s="77"/>
      <c r="AN35" s="392"/>
      <c r="AO35" s="77"/>
      <c r="AP35" s="77"/>
      <c r="AQ35" s="78"/>
      <c r="AR35" s="88"/>
      <c r="AS35" s="77"/>
      <c r="AT35" s="77"/>
      <c r="AU35" s="123"/>
      <c r="AV35" s="292"/>
      <c r="AW35" s="237"/>
      <c r="AX35" s="238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  <c r="BN35" s="293"/>
      <c r="BO35" s="293"/>
      <c r="BP35" s="293"/>
      <c r="BQ35" s="293"/>
    </row>
    <row r="36" ht="15.75" customHeight="1">
      <c r="A36" s="1"/>
      <c r="B36" s="31"/>
      <c r="C36" s="31"/>
      <c r="D36" s="31"/>
      <c r="E36" s="31"/>
      <c r="F36" s="31"/>
      <c r="G36" s="31"/>
      <c r="H36" s="20" t="s">
        <v>40</v>
      </c>
      <c r="I36" s="73" t="s">
        <v>20</v>
      </c>
      <c r="J36" s="299"/>
      <c r="K36" s="31"/>
      <c r="L36" s="4"/>
      <c r="M36" s="300"/>
      <c r="N36" s="300"/>
      <c r="O36" s="300"/>
      <c r="P36" s="22"/>
      <c r="Q36" s="22"/>
      <c r="R36" s="23"/>
      <c r="S36" s="415"/>
      <c r="T36" s="415"/>
      <c r="U36" s="415"/>
      <c r="V36" s="58"/>
      <c r="W36" s="305" t="s">
        <v>92</v>
      </c>
      <c r="X36" s="420"/>
      <c r="Y36" s="112"/>
      <c r="Z36" s="112"/>
      <c r="AA36" s="421"/>
      <c r="AB36" s="140"/>
      <c r="AC36" s="141"/>
      <c r="AD36" s="141"/>
      <c r="AE36" s="422"/>
      <c r="AF36" s="418">
        <f>BRA!X24</f>
        <v>25000</v>
      </c>
      <c r="AG36" s="77"/>
      <c r="AH36" s="77"/>
      <c r="AI36" s="77"/>
      <c r="AJ36" s="393">
        <f>BRA!AB24</f>
        <v>25000</v>
      </c>
      <c r="AK36" s="35"/>
      <c r="AL36" s="35"/>
      <c r="AM36" s="385"/>
      <c r="AN36" s="418">
        <f>BRA!AF24</f>
        <v>20000</v>
      </c>
      <c r="AO36" s="77"/>
      <c r="AP36" s="77"/>
      <c r="AQ36" s="77"/>
      <c r="AR36" s="418">
        <f>BRA!AJ24</f>
        <v>10000</v>
      </c>
      <c r="AS36" s="77"/>
      <c r="AT36" s="77"/>
      <c r="AU36" s="77"/>
      <c r="AV36" s="21"/>
      <c r="AW36" s="21"/>
      <c r="AX36" s="21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  <c r="BN36" s="293"/>
      <c r="BO36" s="293"/>
      <c r="BP36" s="293"/>
      <c r="BQ36" s="293"/>
    </row>
    <row r="37" ht="15.75" customHeight="1">
      <c r="A37" s="1"/>
      <c r="B37" s="31"/>
      <c r="C37" s="31"/>
      <c r="D37" s="31"/>
      <c r="E37" s="31"/>
      <c r="F37" s="31"/>
      <c r="G37" s="31"/>
      <c r="H37" s="32"/>
      <c r="I37" s="32"/>
      <c r="J37" s="313" t="s">
        <v>93</v>
      </c>
      <c r="K37" s="31"/>
      <c r="L37" s="4">
        <v>5.8</v>
      </c>
      <c r="M37" s="300"/>
      <c r="N37" s="300"/>
      <c r="O37" s="300"/>
      <c r="P37" s="22" t="s">
        <v>29</v>
      </c>
      <c r="Q37" s="22" t="s">
        <v>29</v>
      </c>
      <c r="R37" s="23">
        <v>1.37E7</v>
      </c>
      <c r="S37" s="415"/>
      <c r="T37" s="415"/>
      <c r="U37" s="415"/>
      <c r="V37" s="58"/>
      <c r="W37" s="317" t="s">
        <v>88</v>
      </c>
      <c r="X37" s="394"/>
      <c r="Y37" s="102"/>
      <c r="Z37" s="102"/>
      <c r="AA37" s="143"/>
      <c r="AB37" s="140"/>
      <c r="AC37" s="141"/>
      <c r="AD37" s="141"/>
      <c r="AE37" s="422"/>
      <c r="AF37" s="418"/>
      <c r="AG37" s="77"/>
      <c r="AH37" s="77"/>
      <c r="AI37" s="77"/>
      <c r="AJ37" s="393"/>
      <c r="AK37" s="35"/>
      <c r="AL37" s="35"/>
      <c r="AM37" s="385"/>
      <c r="AN37" s="418"/>
      <c r="AO37" s="77"/>
      <c r="AP37" s="77"/>
      <c r="AQ37" s="77"/>
      <c r="AR37" s="418"/>
      <c r="AS37" s="77"/>
      <c r="AT37" s="77"/>
      <c r="AU37" s="77"/>
      <c r="AV37" s="292"/>
      <c r="AW37" s="237"/>
      <c r="AX37" s="238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  <c r="BN37" s="293"/>
      <c r="BO37" s="293"/>
      <c r="BP37" s="293"/>
      <c r="BQ37" s="293"/>
    </row>
    <row r="38" ht="15.75" customHeight="1">
      <c r="A38" s="1"/>
      <c r="B38" s="31"/>
      <c r="C38" s="31"/>
      <c r="D38" s="31"/>
      <c r="E38" s="31"/>
      <c r="F38" s="31"/>
      <c r="G38" s="31"/>
      <c r="H38" s="20" t="s">
        <v>60</v>
      </c>
      <c r="I38" s="20" t="s">
        <v>20</v>
      </c>
      <c r="J38" s="31"/>
      <c r="K38" s="31"/>
      <c r="L38" s="50"/>
      <c r="M38" s="363"/>
      <c r="N38" s="363"/>
      <c r="O38" s="301"/>
      <c r="P38" s="22"/>
      <c r="Q38" s="22"/>
      <c r="R38" s="23"/>
      <c r="S38" s="315"/>
      <c r="T38" s="315"/>
      <c r="U38" s="316"/>
      <c r="V38" s="374"/>
      <c r="W38" s="305" t="s">
        <v>92</v>
      </c>
      <c r="X38" s="423"/>
      <c r="Y38" s="43"/>
      <c r="Z38" s="43"/>
      <c r="AA38" s="424"/>
      <c r="AB38" s="418"/>
      <c r="AC38" s="77"/>
      <c r="AD38" s="77"/>
      <c r="AE38" s="77"/>
      <c r="AF38" s="418">
        <f>BRA!X25</f>
        <v>45000</v>
      </c>
      <c r="AG38" s="77"/>
      <c r="AH38" s="77"/>
      <c r="AI38" s="77"/>
      <c r="AJ38" s="418">
        <f>BRA!AB25</f>
        <v>45000</v>
      </c>
      <c r="AK38" s="77"/>
      <c r="AL38" s="77"/>
      <c r="AM38" s="77"/>
      <c r="AN38" s="71"/>
      <c r="AO38" s="425"/>
      <c r="AP38" s="425"/>
      <c r="AQ38" s="425"/>
      <c r="AR38" s="125"/>
      <c r="AS38" s="91"/>
      <c r="AT38" s="91"/>
      <c r="AU38" s="426"/>
      <c r="AV38" s="21"/>
      <c r="AW38" s="21"/>
      <c r="AX38" s="21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93"/>
      <c r="BO38" s="293"/>
      <c r="BP38" s="293"/>
      <c r="BQ38" s="293"/>
    </row>
    <row r="39" ht="15.75" customHeight="1">
      <c r="A39" s="1"/>
      <c r="B39" s="31"/>
      <c r="C39" s="31"/>
      <c r="D39" s="31"/>
      <c r="E39" s="31"/>
      <c r="F39" s="31"/>
      <c r="G39" s="31"/>
      <c r="H39" s="32"/>
      <c r="I39" s="32"/>
      <c r="J39" s="31"/>
      <c r="K39" s="31"/>
      <c r="L39" s="50">
        <v>18.0</v>
      </c>
      <c r="M39" s="363"/>
      <c r="N39" s="363"/>
      <c r="O39" s="301">
        <v>18.0</v>
      </c>
      <c r="P39" s="22" t="s">
        <v>29</v>
      </c>
      <c r="Q39" s="22" t="s">
        <v>29</v>
      </c>
      <c r="R39" s="23">
        <v>7777778.0</v>
      </c>
      <c r="S39" s="315" t="s">
        <v>29</v>
      </c>
      <c r="T39" s="315" t="s">
        <v>29</v>
      </c>
      <c r="U39" s="316">
        <v>1501241.0</v>
      </c>
      <c r="V39" s="374">
        <f>U39/R39</f>
        <v>0.1930166945</v>
      </c>
      <c r="W39" s="317" t="s">
        <v>88</v>
      </c>
      <c r="X39" s="427"/>
      <c r="Y39" s="151"/>
      <c r="Z39" s="151"/>
      <c r="AA39" s="154"/>
      <c r="AB39" s="428">
        <v>27022.34</v>
      </c>
      <c r="AC39" s="151"/>
      <c r="AD39" s="429"/>
      <c r="AE39" s="430"/>
      <c r="AF39" s="418"/>
      <c r="AG39" s="77"/>
      <c r="AH39" s="77"/>
      <c r="AI39" s="77"/>
      <c r="AJ39" s="418"/>
      <c r="AK39" s="77"/>
      <c r="AL39" s="77"/>
      <c r="AM39" s="77"/>
      <c r="AN39" s="400"/>
      <c r="AO39" s="102"/>
      <c r="AP39" s="102"/>
      <c r="AQ39" s="143"/>
      <c r="AR39" s="174"/>
      <c r="AS39" s="151"/>
      <c r="AT39" s="151"/>
      <c r="AU39" s="245"/>
      <c r="AV39" s="292"/>
      <c r="AW39" s="237"/>
      <c r="AX39" s="238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93"/>
      <c r="BO39" s="293"/>
      <c r="BP39" s="293"/>
      <c r="BQ39" s="293"/>
    </row>
    <row r="40" ht="15.75" customHeight="1">
      <c r="A40" s="1"/>
      <c r="B40" s="31"/>
      <c r="C40" s="31"/>
      <c r="D40" s="31"/>
      <c r="E40" s="31"/>
      <c r="F40" s="31"/>
      <c r="G40" s="31"/>
      <c r="H40" s="20" t="s">
        <v>61</v>
      </c>
      <c r="I40" s="20" t="s">
        <v>20</v>
      </c>
      <c r="J40" s="31"/>
      <c r="K40" s="31"/>
      <c r="L40" s="50"/>
      <c r="M40" s="363"/>
      <c r="N40" s="343"/>
      <c r="O40" s="363"/>
      <c r="P40" s="22"/>
      <c r="Q40" s="22"/>
      <c r="R40" s="23"/>
      <c r="S40" s="415"/>
      <c r="T40" s="415"/>
      <c r="U40" s="415"/>
      <c r="V40" s="58"/>
      <c r="W40" s="305" t="s">
        <v>92</v>
      </c>
      <c r="X40" s="427"/>
      <c r="Y40" s="151"/>
      <c r="Z40" s="151"/>
      <c r="AA40" s="154"/>
      <c r="AB40" s="158"/>
      <c r="AC40" s="159"/>
      <c r="AD40" s="159"/>
      <c r="AE40" s="159"/>
      <c r="AF40" s="418">
        <f>BRA!X26</f>
        <v>30000</v>
      </c>
      <c r="AG40" s="77"/>
      <c r="AH40" s="77"/>
      <c r="AI40" s="77"/>
      <c r="AJ40" s="418">
        <f>BRA!AB26</f>
        <v>30000</v>
      </c>
      <c r="AK40" s="77"/>
      <c r="AL40" s="77"/>
      <c r="AM40" s="77"/>
      <c r="AN40" s="431"/>
      <c r="AO40" s="431"/>
      <c r="AP40" s="431"/>
      <c r="AQ40" s="431"/>
      <c r="AR40" s="88"/>
      <c r="AS40" s="77"/>
      <c r="AT40" s="77"/>
      <c r="AU40" s="123"/>
      <c r="AV40" s="21"/>
      <c r="AW40" s="21"/>
      <c r="AX40" s="21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93"/>
      <c r="BO40" s="293"/>
      <c r="BP40" s="293"/>
      <c r="BQ40" s="293"/>
    </row>
    <row r="41" ht="15.75" customHeight="1">
      <c r="A41" s="1"/>
      <c r="B41" s="31"/>
      <c r="C41" s="31"/>
      <c r="D41" s="31"/>
      <c r="E41" s="31"/>
      <c r="F41" s="31"/>
      <c r="G41" s="31"/>
      <c r="H41" s="32"/>
      <c r="I41" s="32"/>
      <c r="J41" s="31"/>
      <c r="K41" s="32"/>
      <c r="L41" s="50">
        <v>6.5</v>
      </c>
      <c r="M41" s="363"/>
      <c r="N41" s="343"/>
      <c r="O41" s="363"/>
      <c r="P41" s="22" t="s">
        <v>29</v>
      </c>
      <c r="Q41" s="22" t="s">
        <v>29</v>
      </c>
      <c r="R41" s="23">
        <v>9230000.0</v>
      </c>
      <c r="S41" s="415"/>
      <c r="T41" s="415"/>
      <c r="U41" s="415"/>
      <c r="V41" s="58"/>
      <c r="W41" s="317" t="s">
        <v>88</v>
      </c>
      <c r="X41" s="427"/>
      <c r="Y41" s="151"/>
      <c r="Z41" s="151"/>
      <c r="AA41" s="154"/>
      <c r="AB41" s="158"/>
      <c r="AC41" s="159"/>
      <c r="AD41" s="159"/>
      <c r="AE41" s="160"/>
      <c r="AF41" s="418"/>
      <c r="AG41" s="77"/>
      <c r="AH41" s="77"/>
      <c r="AI41" s="77"/>
      <c r="AJ41" s="418"/>
      <c r="AK41" s="77"/>
      <c r="AL41" s="77"/>
      <c r="AM41" s="77"/>
      <c r="AN41" s="408"/>
      <c r="AO41" s="151"/>
      <c r="AP41" s="151"/>
      <c r="AQ41" s="154"/>
      <c r="AR41" s="174"/>
      <c r="AS41" s="151"/>
      <c r="AT41" s="151"/>
      <c r="AU41" s="245"/>
      <c r="AV41" s="292"/>
      <c r="AW41" s="237"/>
      <c r="AX41" s="238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  <c r="BN41" s="293"/>
      <c r="BO41" s="293"/>
      <c r="BP41" s="293"/>
      <c r="BQ41" s="293"/>
    </row>
    <row r="42" ht="15.75" customHeight="1">
      <c r="A42" s="1"/>
      <c r="B42" s="31"/>
      <c r="C42" s="31"/>
      <c r="D42" s="31"/>
      <c r="E42" s="31"/>
      <c r="F42" s="31"/>
      <c r="G42" s="31"/>
      <c r="H42" s="20" t="s">
        <v>62</v>
      </c>
      <c r="I42" s="20" t="s">
        <v>19</v>
      </c>
      <c r="J42" s="31"/>
      <c r="K42" s="50"/>
      <c r="L42" s="299"/>
      <c r="M42" s="343"/>
      <c r="N42" s="343"/>
      <c r="O42" s="343"/>
      <c r="P42" s="22"/>
      <c r="Q42" s="58"/>
      <c r="R42" s="23"/>
      <c r="S42" s="432"/>
      <c r="T42" s="432"/>
      <c r="U42" s="432"/>
      <c r="V42" s="58"/>
      <c r="W42" s="305" t="s">
        <v>92</v>
      </c>
      <c r="X42" s="427"/>
      <c r="Y42" s="151"/>
      <c r="Z42" s="151"/>
      <c r="AA42" s="154"/>
      <c r="AB42" s="158"/>
      <c r="AC42" s="159"/>
      <c r="AD42" s="159"/>
      <c r="AE42" s="160"/>
      <c r="AF42" s="418">
        <f>BRA!X27</f>
        <v>25000</v>
      </c>
      <c r="AG42" s="77"/>
      <c r="AH42" s="77"/>
      <c r="AI42" s="77"/>
      <c r="AJ42" s="418">
        <f>BRA!AB27</f>
        <v>25000</v>
      </c>
      <c r="AK42" s="77"/>
      <c r="AL42" s="77"/>
      <c r="AM42" s="77"/>
      <c r="AN42" s="433"/>
      <c r="AO42" s="433"/>
      <c r="AP42" s="433"/>
      <c r="AQ42" s="433"/>
      <c r="AR42" s="88"/>
      <c r="AS42" s="77"/>
      <c r="AT42" s="77"/>
      <c r="AU42" s="123"/>
      <c r="AV42" s="21"/>
      <c r="AW42" s="21"/>
      <c r="AX42" s="21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  <c r="BN42" s="293"/>
      <c r="BO42" s="293"/>
      <c r="BP42" s="293"/>
      <c r="BQ42" s="293"/>
    </row>
    <row r="43" ht="15.75" customHeight="1">
      <c r="A43" s="1"/>
      <c r="B43" s="31"/>
      <c r="C43" s="31"/>
      <c r="D43" s="31"/>
      <c r="E43" s="31"/>
      <c r="F43" s="31"/>
      <c r="G43" s="31"/>
      <c r="H43" s="32"/>
      <c r="I43" s="32"/>
      <c r="J43" s="31"/>
      <c r="K43" s="50">
        <v>0.6</v>
      </c>
      <c r="L43" s="313" t="s">
        <v>93</v>
      </c>
      <c r="M43" s="343"/>
      <c r="N43" s="343"/>
      <c r="O43" s="343"/>
      <c r="P43" s="22" t="s">
        <v>29</v>
      </c>
      <c r="Q43" s="58">
        <v>83333.0</v>
      </c>
      <c r="R43" s="23" t="s">
        <v>29</v>
      </c>
      <c r="S43" s="432"/>
      <c r="T43" s="432"/>
      <c r="U43" s="432"/>
      <c r="V43" s="58"/>
      <c r="W43" s="317" t="s">
        <v>88</v>
      </c>
      <c r="X43" s="427"/>
      <c r="Y43" s="151"/>
      <c r="Z43" s="151"/>
      <c r="AA43" s="154"/>
      <c r="AB43" s="158"/>
      <c r="AC43" s="159"/>
      <c r="AD43" s="159"/>
      <c r="AE43" s="160"/>
      <c r="AF43" s="418"/>
      <c r="AG43" s="77"/>
      <c r="AH43" s="77"/>
      <c r="AI43" s="77"/>
      <c r="AJ43" s="418"/>
      <c r="AK43" s="77"/>
      <c r="AL43" s="77"/>
      <c r="AM43" s="77"/>
      <c r="AN43" s="408"/>
      <c r="AO43" s="151"/>
      <c r="AP43" s="151"/>
      <c r="AQ43" s="154"/>
      <c r="AR43" s="174"/>
      <c r="AS43" s="151"/>
      <c r="AT43" s="151"/>
      <c r="AU43" s="245"/>
      <c r="AV43" s="292"/>
      <c r="AW43" s="237"/>
      <c r="AX43" s="238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  <c r="BN43" s="293"/>
      <c r="BO43" s="293"/>
      <c r="BP43" s="293"/>
      <c r="BQ43" s="293"/>
    </row>
    <row r="44" ht="15.75" customHeight="1">
      <c r="A44" s="1"/>
      <c r="B44" s="31"/>
      <c r="C44" s="31"/>
      <c r="D44" s="31"/>
      <c r="E44" s="31"/>
      <c r="F44" s="31"/>
      <c r="G44" s="31"/>
      <c r="H44" s="20" t="s">
        <v>63</v>
      </c>
      <c r="I44" s="20" t="s">
        <v>19</v>
      </c>
      <c r="J44" s="31"/>
      <c r="K44" s="50"/>
      <c r="L44" s="31"/>
      <c r="M44" s="343"/>
      <c r="N44" s="343"/>
      <c r="O44" s="343"/>
      <c r="P44" s="22"/>
      <c r="Q44" s="58"/>
      <c r="R44" s="23"/>
      <c r="S44" s="432"/>
      <c r="T44" s="432"/>
      <c r="U44" s="432"/>
      <c r="V44" s="58"/>
      <c r="W44" s="305" t="s">
        <v>92</v>
      </c>
      <c r="X44" s="427"/>
      <c r="Y44" s="151"/>
      <c r="Z44" s="151"/>
      <c r="AA44" s="154"/>
      <c r="AB44" s="158"/>
      <c r="AC44" s="159"/>
      <c r="AD44" s="159"/>
      <c r="AE44" s="160"/>
      <c r="AF44" s="153"/>
      <c r="AG44" s="153"/>
      <c r="AH44" s="153"/>
      <c r="AI44" s="153"/>
      <c r="AJ44" s="434"/>
      <c r="AK44" s="434"/>
      <c r="AL44" s="434"/>
      <c r="AM44" s="434"/>
      <c r="AN44" s="418">
        <f>BRA!AF28</f>
        <v>40000</v>
      </c>
      <c r="AO44" s="77"/>
      <c r="AP44" s="77"/>
      <c r="AQ44" s="77"/>
      <c r="AR44" s="418">
        <f>BRA!AJ28</f>
        <v>20000</v>
      </c>
      <c r="AS44" s="77"/>
      <c r="AT44" s="77"/>
      <c r="AU44" s="77"/>
      <c r="AV44" s="21"/>
      <c r="AW44" s="21"/>
      <c r="AX44" s="21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  <c r="BN44" s="293"/>
      <c r="BO44" s="293"/>
      <c r="BP44" s="293"/>
      <c r="BQ44" s="293"/>
    </row>
    <row r="45" ht="15.75" customHeight="1">
      <c r="A45" s="1"/>
      <c r="B45" s="31"/>
      <c r="C45" s="31"/>
      <c r="D45" s="31"/>
      <c r="E45" s="31"/>
      <c r="F45" s="31"/>
      <c r="G45" s="31"/>
      <c r="H45" s="32"/>
      <c r="I45" s="32"/>
      <c r="J45" s="31"/>
      <c r="K45" s="50">
        <v>0.6</v>
      </c>
      <c r="L45" s="31"/>
      <c r="M45" s="343"/>
      <c r="N45" s="343"/>
      <c r="O45" s="343"/>
      <c r="P45" s="22" t="s">
        <v>29</v>
      </c>
      <c r="Q45" s="58">
        <v>100000.0</v>
      </c>
      <c r="R45" s="23" t="s">
        <v>29</v>
      </c>
      <c r="S45" s="432"/>
      <c r="T45" s="432"/>
      <c r="U45" s="432"/>
      <c r="V45" s="58"/>
      <c r="W45" s="317" t="s">
        <v>88</v>
      </c>
      <c r="X45" s="427"/>
      <c r="Y45" s="151"/>
      <c r="Z45" s="151"/>
      <c r="AA45" s="154"/>
      <c r="AB45" s="158"/>
      <c r="AC45" s="159"/>
      <c r="AD45" s="159"/>
      <c r="AE45" s="160"/>
      <c r="AF45" s="153"/>
      <c r="AG45" s="151"/>
      <c r="AH45" s="151"/>
      <c r="AI45" s="151"/>
      <c r="AJ45" s="164"/>
      <c r="AK45" s="151"/>
      <c r="AL45" s="151"/>
      <c r="AM45" s="407"/>
      <c r="AN45" s="418"/>
      <c r="AO45" s="77"/>
      <c r="AP45" s="77"/>
      <c r="AQ45" s="77"/>
      <c r="AR45" s="418"/>
      <c r="AS45" s="77"/>
      <c r="AT45" s="77"/>
      <c r="AU45" s="77"/>
      <c r="AV45" s="292"/>
      <c r="AW45" s="237"/>
      <c r="AX45" s="238"/>
      <c r="AY45" s="293"/>
      <c r="AZ45" s="293"/>
      <c r="BA45" s="293"/>
      <c r="BB45" s="293"/>
      <c r="BC45" s="293"/>
      <c r="BD45" s="293"/>
      <c r="BE45" s="293"/>
      <c r="BF45" s="293"/>
      <c r="BG45" s="293"/>
      <c r="BH45" s="293"/>
      <c r="BI45" s="293"/>
      <c r="BJ45" s="293"/>
      <c r="BK45" s="293"/>
      <c r="BL45" s="293"/>
      <c r="BM45" s="293"/>
      <c r="BN45" s="293"/>
      <c r="BO45" s="293"/>
      <c r="BP45" s="293"/>
      <c r="BQ45" s="293"/>
    </row>
    <row r="46" ht="15.75" customHeight="1">
      <c r="A46" s="1"/>
      <c r="B46" s="31"/>
      <c r="C46" s="31"/>
      <c r="D46" s="31"/>
      <c r="E46" s="31"/>
      <c r="F46" s="31"/>
      <c r="G46" s="31"/>
      <c r="H46" s="20" t="s">
        <v>64</v>
      </c>
      <c r="I46" s="20" t="s">
        <v>19</v>
      </c>
      <c r="J46" s="31"/>
      <c r="K46" s="50"/>
      <c r="L46" s="31"/>
      <c r="M46" s="435"/>
      <c r="N46" s="435"/>
      <c r="O46" s="435"/>
      <c r="P46" s="22"/>
      <c r="Q46" s="58"/>
      <c r="R46" s="23"/>
      <c r="S46" s="432"/>
      <c r="T46" s="432"/>
      <c r="U46" s="432"/>
      <c r="V46" s="58"/>
      <c r="W46" s="305" t="s">
        <v>92</v>
      </c>
      <c r="X46" s="427"/>
      <c r="Y46" s="151"/>
      <c r="Z46" s="151"/>
      <c r="AA46" s="154"/>
      <c r="AB46" s="158"/>
      <c r="AC46" s="159"/>
      <c r="AD46" s="159"/>
      <c r="AE46" s="160"/>
      <c r="AF46" s="153"/>
      <c r="AG46" s="153"/>
      <c r="AH46" s="153"/>
      <c r="AI46" s="153"/>
      <c r="AJ46" s="436"/>
      <c r="AK46" s="436"/>
      <c r="AL46" s="436"/>
      <c r="AM46" s="436"/>
      <c r="AN46" s="418">
        <f>BRA!AF29</f>
        <v>60000</v>
      </c>
      <c r="AO46" s="77"/>
      <c r="AP46" s="77"/>
      <c r="AQ46" s="77"/>
      <c r="AR46" s="418">
        <f>BRA!AJ29</f>
        <v>30000</v>
      </c>
      <c r="AS46" s="77"/>
      <c r="AT46" s="77"/>
      <c r="AU46" s="77"/>
      <c r="AV46" s="21"/>
      <c r="AW46" s="21"/>
      <c r="AX46" s="21"/>
      <c r="AY46" s="293"/>
      <c r="AZ46" s="293"/>
      <c r="BA46" s="293"/>
      <c r="BB46" s="293"/>
      <c r="BC46" s="293"/>
      <c r="BD46" s="293"/>
      <c r="BE46" s="293"/>
      <c r="BF46" s="293"/>
      <c r="BG46" s="293"/>
      <c r="BH46" s="293"/>
      <c r="BI46" s="293"/>
      <c r="BJ46" s="293"/>
      <c r="BK46" s="293"/>
      <c r="BL46" s="293"/>
      <c r="BM46" s="293"/>
      <c r="BN46" s="293"/>
      <c r="BO46" s="293"/>
      <c r="BP46" s="293"/>
      <c r="BQ46" s="293"/>
    </row>
    <row r="47" ht="15.75" customHeight="1">
      <c r="A47" s="1"/>
      <c r="B47" s="31"/>
      <c r="C47" s="31"/>
      <c r="D47" s="31"/>
      <c r="E47" s="32"/>
      <c r="F47" s="32"/>
      <c r="G47" s="32"/>
      <c r="H47" s="32"/>
      <c r="I47" s="32"/>
      <c r="J47" s="32"/>
      <c r="K47" s="50">
        <v>0.45</v>
      </c>
      <c r="L47" s="31"/>
      <c r="M47" s="435"/>
      <c r="N47" s="435"/>
      <c r="O47" s="435"/>
      <c r="P47" s="22" t="s">
        <v>29</v>
      </c>
      <c r="Q47" s="58">
        <v>200000.0</v>
      </c>
      <c r="R47" s="23" t="s">
        <v>29</v>
      </c>
      <c r="S47" s="432"/>
      <c r="T47" s="432"/>
      <c r="U47" s="432"/>
      <c r="V47" s="58"/>
      <c r="W47" s="317" t="s">
        <v>88</v>
      </c>
      <c r="X47" s="427"/>
      <c r="Y47" s="151"/>
      <c r="Z47" s="151"/>
      <c r="AA47" s="154"/>
      <c r="AB47" s="158"/>
      <c r="AC47" s="159"/>
      <c r="AD47" s="159"/>
      <c r="AE47" s="160"/>
      <c r="AF47" s="153"/>
      <c r="AG47" s="151"/>
      <c r="AH47" s="151"/>
      <c r="AI47" s="151"/>
      <c r="AJ47" s="164"/>
      <c r="AK47" s="151"/>
      <c r="AL47" s="151"/>
      <c r="AM47" s="407"/>
      <c r="AN47" s="418"/>
      <c r="AO47" s="77"/>
      <c r="AP47" s="77"/>
      <c r="AQ47" s="77"/>
      <c r="AR47" s="418"/>
      <c r="AS47" s="77"/>
      <c r="AT47" s="77"/>
      <c r="AU47" s="77"/>
      <c r="AV47" s="292"/>
      <c r="AW47" s="237"/>
      <c r="AX47" s="238"/>
      <c r="AY47" s="293"/>
      <c r="AZ47" s="293"/>
      <c r="BA47" s="293"/>
      <c r="BB47" s="293"/>
      <c r="BC47" s="293"/>
      <c r="BD47" s="293"/>
      <c r="BE47" s="293"/>
      <c r="BF47" s="293"/>
      <c r="BG47" s="293"/>
      <c r="BH47" s="293"/>
      <c r="BI47" s="293"/>
      <c r="BJ47" s="293"/>
      <c r="BK47" s="293"/>
      <c r="BL47" s="293"/>
      <c r="BM47" s="293"/>
      <c r="BN47" s="293"/>
      <c r="BO47" s="293"/>
      <c r="BP47" s="293"/>
      <c r="BQ47" s="293"/>
    </row>
    <row r="48" ht="15.75" customHeight="1">
      <c r="A48" s="1"/>
      <c r="B48" s="31"/>
      <c r="C48" s="31"/>
      <c r="D48" s="31"/>
      <c r="E48" s="39"/>
      <c r="F48" s="17"/>
      <c r="G48" s="20" t="s">
        <v>65</v>
      </c>
      <c r="H48" s="20" t="s">
        <v>43</v>
      </c>
      <c r="I48" s="20" t="s">
        <v>44</v>
      </c>
      <c r="J48" s="19"/>
      <c r="K48" s="299"/>
      <c r="L48" s="31"/>
      <c r="M48" s="437"/>
      <c r="N48" s="437"/>
      <c r="O48" s="437"/>
      <c r="P48" s="58"/>
      <c r="Q48" s="58"/>
      <c r="R48" s="23"/>
      <c r="S48" s="432"/>
      <c r="T48" s="432"/>
      <c r="U48" s="432"/>
      <c r="V48" s="58"/>
      <c r="W48" s="305" t="s">
        <v>92</v>
      </c>
      <c r="X48" s="438"/>
      <c r="Y48" s="168"/>
      <c r="Z48" s="168"/>
      <c r="AA48" s="169"/>
      <c r="AB48" s="168"/>
      <c r="AC48" s="168"/>
      <c r="AD48" s="168"/>
      <c r="AE48" s="169"/>
      <c r="AF48" s="174"/>
      <c r="AG48" s="174"/>
      <c r="AH48" s="174"/>
      <c r="AI48" s="174"/>
      <c r="AJ48" s="434"/>
      <c r="AK48" s="434"/>
      <c r="AL48" s="434"/>
      <c r="AM48" s="434"/>
      <c r="AN48" s="418">
        <f>BRA!AF30</f>
        <v>80000</v>
      </c>
      <c r="AO48" s="77"/>
      <c r="AP48" s="77"/>
      <c r="AQ48" s="77"/>
      <c r="AR48" s="418">
        <f>BRA!AJ30</f>
        <v>40000</v>
      </c>
      <c r="AS48" s="77"/>
      <c r="AT48" s="77"/>
      <c r="AU48" s="77"/>
      <c r="AV48" s="21"/>
      <c r="AW48" s="21"/>
      <c r="AX48" s="21"/>
      <c r="AY48" s="293"/>
      <c r="AZ48" s="293"/>
      <c r="BA48" s="293"/>
      <c r="BB48" s="293"/>
      <c r="BC48" s="293"/>
      <c r="BD48" s="293"/>
      <c r="BE48" s="293"/>
      <c r="BF48" s="293"/>
      <c r="BG48" s="293"/>
      <c r="BH48" s="293"/>
      <c r="BI48" s="293"/>
      <c r="BJ48" s="293"/>
      <c r="BK48" s="293"/>
      <c r="BL48" s="293"/>
      <c r="BM48" s="293"/>
      <c r="BN48" s="293"/>
      <c r="BO48" s="293"/>
      <c r="BP48" s="293"/>
      <c r="BQ48" s="293"/>
    </row>
    <row r="49" ht="15.75" customHeight="1">
      <c r="A49" s="1"/>
      <c r="B49" s="31"/>
      <c r="C49" s="31"/>
      <c r="D49" s="31"/>
      <c r="E49" s="39" t="s">
        <v>47</v>
      </c>
      <c r="F49" s="17">
        <v>120000.0</v>
      </c>
      <c r="G49" s="31"/>
      <c r="H49" s="31"/>
      <c r="I49" s="31"/>
      <c r="J49" s="19">
        <f>F49/P49</f>
        <v>0.6</v>
      </c>
      <c r="K49" s="313" t="s">
        <v>93</v>
      </c>
      <c r="L49" s="31"/>
      <c r="M49" s="437"/>
      <c r="N49" s="437"/>
      <c r="O49" s="437"/>
      <c r="P49" s="58">
        <v>200000.0</v>
      </c>
      <c r="Q49" s="58" t="s">
        <v>29</v>
      </c>
      <c r="R49" s="23" t="s">
        <v>29</v>
      </c>
      <c r="S49" s="432"/>
      <c r="T49" s="432"/>
      <c r="U49" s="432"/>
      <c r="V49" s="58"/>
      <c r="W49" s="317" t="s">
        <v>88</v>
      </c>
      <c r="X49" s="438"/>
      <c r="Y49" s="168"/>
      <c r="Z49" s="168"/>
      <c r="AA49" s="169"/>
      <c r="AB49" s="168"/>
      <c r="AC49" s="168"/>
      <c r="AD49" s="168"/>
      <c r="AE49" s="169"/>
      <c r="AF49" s="174"/>
      <c r="AG49" s="151"/>
      <c r="AH49" s="151"/>
      <c r="AI49" s="154"/>
      <c r="AJ49" s="174"/>
      <c r="AK49" s="151"/>
      <c r="AL49" s="151"/>
      <c r="AM49" s="407"/>
      <c r="AN49" s="418"/>
      <c r="AO49" s="77"/>
      <c r="AP49" s="77"/>
      <c r="AQ49" s="77"/>
      <c r="AR49" s="418"/>
      <c r="AS49" s="77"/>
      <c r="AT49" s="77"/>
      <c r="AU49" s="77"/>
      <c r="AV49" s="292"/>
      <c r="AW49" s="237"/>
      <c r="AX49" s="238"/>
      <c r="AY49" s="293"/>
      <c r="AZ49" s="293"/>
      <c r="BA49" s="293"/>
      <c r="BB49" s="293"/>
      <c r="BC49" s="293"/>
      <c r="BD49" s="293"/>
      <c r="BE49" s="293"/>
      <c r="BF49" s="293"/>
      <c r="BG49" s="293"/>
      <c r="BH49" s="293"/>
      <c r="BI49" s="293"/>
      <c r="BJ49" s="293"/>
      <c r="BK49" s="293"/>
      <c r="BL49" s="293"/>
      <c r="BM49" s="293"/>
      <c r="BN49" s="293"/>
      <c r="BO49" s="293"/>
      <c r="BP49" s="293"/>
      <c r="BQ49" s="293"/>
    </row>
    <row r="50" ht="15.75" customHeight="1">
      <c r="A50" s="1"/>
      <c r="B50" s="31"/>
      <c r="C50" s="31"/>
      <c r="D50" s="31"/>
      <c r="E50" s="39"/>
      <c r="F50" s="17"/>
      <c r="G50" s="20" t="s">
        <v>66</v>
      </c>
      <c r="H50" s="20" t="s">
        <v>43</v>
      </c>
      <c r="I50" s="20" t="s">
        <v>44</v>
      </c>
      <c r="J50" s="19"/>
      <c r="K50" s="31"/>
      <c r="L50" s="31"/>
      <c r="M50" s="437"/>
      <c r="N50" s="437"/>
      <c r="O50" s="437"/>
      <c r="P50" s="58"/>
      <c r="Q50" s="58"/>
      <c r="R50" s="23"/>
      <c r="S50" s="432"/>
      <c r="T50" s="432"/>
      <c r="U50" s="432"/>
      <c r="V50" s="58"/>
      <c r="W50" s="305" t="s">
        <v>92</v>
      </c>
      <c r="X50" s="438"/>
      <c r="Y50" s="168"/>
      <c r="Z50" s="168"/>
      <c r="AA50" s="169"/>
      <c r="AB50" s="168"/>
      <c r="AC50" s="168"/>
      <c r="AD50" s="168"/>
      <c r="AE50" s="169"/>
      <c r="AF50" s="439"/>
      <c r="AG50" s="439"/>
      <c r="AH50" s="439"/>
      <c r="AI50" s="439"/>
      <c r="AJ50" s="434"/>
      <c r="AK50" s="434"/>
      <c r="AL50" s="434"/>
      <c r="AM50" s="434"/>
      <c r="AN50" s="418">
        <f>BRA!AF31</f>
        <v>233333.334</v>
      </c>
      <c r="AO50" s="77"/>
      <c r="AP50" s="77"/>
      <c r="AQ50" s="77"/>
      <c r="AR50" s="418">
        <f>BRA!AJ31</f>
        <v>116666.667</v>
      </c>
      <c r="AS50" s="77"/>
      <c r="AT50" s="77"/>
      <c r="AU50" s="77"/>
      <c r="AV50" s="21"/>
      <c r="AW50" s="21"/>
      <c r="AX50" s="21"/>
      <c r="AY50" s="293"/>
      <c r="AZ50" s="293"/>
      <c r="BA50" s="293"/>
      <c r="BB50" s="293"/>
      <c r="BC50" s="293"/>
      <c r="BD50" s="293"/>
      <c r="BE50" s="293"/>
      <c r="BF50" s="293"/>
      <c r="BG50" s="293"/>
      <c r="BH50" s="293"/>
      <c r="BI50" s="293"/>
      <c r="BJ50" s="293"/>
      <c r="BK50" s="293"/>
      <c r="BL50" s="293"/>
      <c r="BM50" s="293"/>
      <c r="BN50" s="293"/>
      <c r="BO50" s="293"/>
      <c r="BP50" s="293"/>
      <c r="BQ50" s="293"/>
    </row>
    <row r="51" ht="15.75" customHeight="1">
      <c r="A51" s="1"/>
      <c r="B51" s="31"/>
      <c r="C51" s="31"/>
      <c r="D51" s="31"/>
      <c r="E51" s="39" t="s">
        <v>47</v>
      </c>
      <c r="F51" s="17">
        <v>350000.0</v>
      </c>
      <c r="G51" s="31"/>
      <c r="H51" s="31"/>
      <c r="I51" s="31"/>
      <c r="J51" s="19">
        <f>F51/P51</f>
        <v>0.5833333333</v>
      </c>
      <c r="K51" s="31"/>
      <c r="L51" s="31"/>
      <c r="M51" s="437"/>
      <c r="N51" s="437"/>
      <c r="O51" s="437"/>
      <c r="P51" s="58">
        <v>600000.0</v>
      </c>
      <c r="Q51" s="58" t="s">
        <v>29</v>
      </c>
      <c r="R51" s="23" t="s">
        <v>29</v>
      </c>
      <c r="S51" s="432"/>
      <c r="T51" s="432"/>
      <c r="U51" s="432"/>
      <c r="V51" s="58"/>
      <c r="W51" s="317" t="s">
        <v>88</v>
      </c>
      <c r="X51" s="438"/>
      <c r="Y51" s="168"/>
      <c r="Z51" s="168"/>
      <c r="AA51" s="169"/>
      <c r="AB51" s="153"/>
      <c r="AC51" s="168"/>
      <c r="AD51" s="168"/>
      <c r="AE51" s="169"/>
      <c r="AF51" s="174"/>
      <c r="AG51" s="151"/>
      <c r="AH51" s="151"/>
      <c r="AI51" s="154"/>
      <c r="AJ51" s="174"/>
      <c r="AK51" s="151"/>
      <c r="AL51" s="151"/>
      <c r="AM51" s="407"/>
      <c r="AN51" s="418"/>
      <c r="AO51" s="77"/>
      <c r="AP51" s="77"/>
      <c r="AQ51" s="77"/>
      <c r="AR51" s="418"/>
      <c r="AS51" s="77"/>
      <c r="AT51" s="77"/>
      <c r="AU51" s="77"/>
      <c r="AV51" s="292"/>
      <c r="AW51" s="237"/>
      <c r="AX51" s="238"/>
      <c r="AY51" s="293"/>
      <c r="AZ51" s="293"/>
      <c r="BA51" s="293"/>
      <c r="BB51" s="293"/>
      <c r="BC51" s="293"/>
      <c r="BD51" s="293"/>
      <c r="BE51" s="293"/>
      <c r="BF51" s="293"/>
      <c r="BG51" s="293"/>
      <c r="BH51" s="293"/>
      <c r="BI51" s="293"/>
      <c r="BJ51" s="293"/>
      <c r="BK51" s="293"/>
      <c r="BL51" s="293"/>
      <c r="BM51" s="293"/>
      <c r="BN51" s="293"/>
      <c r="BO51" s="293"/>
      <c r="BP51" s="293"/>
      <c r="BQ51" s="293"/>
    </row>
    <row r="52" ht="15.75" customHeight="1">
      <c r="A52" s="1"/>
      <c r="B52" s="31"/>
      <c r="C52" s="31"/>
      <c r="D52" s="31"/>
      <c r="E52" s="18"/>
      <c r="F52" s="176"/>
      <c r="G52" s="20" t="s">
        <v>67</v>
      </c>
      <c r="H52" s="20" t="s">
        <v>43</v>
      </c>
      <c r="I52" s="41" t="s">
        <v>44</v>
      </c>
      <c r="J52" s="176"/>
      <c r="K52" s="31"/>
      <c r="L52" s="31"/>
      <c r="M52" s="440"/>
      <c r="N52" s="440"/>
      <c r="O52" s="440"/>
      <c r="P52" s="58"/>
      <c r="Q52" s="60"/>
      <c r="R52" s="61"/>
      <c r="S52" s="356"/>
      <c r="T52" s="356"/>
      <c r="U52" s="356"/>
      <c r="V52" s="60"/>
      <c r="W52" s="305" t="s">
        <v>92</v>
      </c>
      <c r="X52" s="441"/>
      <c r="Y52" s="181"/>
      <c r="Z52" s="181"/>
      <c r="AA52" s="442"/>
      <c r="AB52" s="181"/>
      <c r="AC52" s="181"/>
      <c r="AD52" s="181"/>
      <c r="AE52" s="442"/>
      <c r="AF52" s="443"/>
      <c r="AG52" s="443"/>
      <c r="AH52" s="443"/>
      <c r="AI52" s="443"/>
      <c r="AJ52" s="444"/>
      <c r="AK52" s="444"/>
      <c r="AL52" s="444"/>
      <c r="AM52" s="444"/>
      <c r="AN52" s="418">
        <f>BRA!AF32</f>
        <v>194506</v>
      </c>
      <c r="AO52" s="77"/>
      <c r="AP52" s="77"/>
      <c r="AQ52" s="77"/>
      <c r="AR52" s="418">
        <f>BRA!AJ32</f>
        <v>97253</v>
      </c>
      <c r="AS52" s="77"/>
      <c r="AT52" s="77"/>
      <c r="AU52" s="77"/>
      <c r="AV52" s="21"/>
      <c r="AW52" s="21"/>
      <c r="AX52" s="21"/>
      <c r="AY52" s="293"/>
      <c r="AZ52" s="293"/>
      <c r="BA52" s="293"/>
      <c r="BB52" s="293"/>
      <c r="BC52" s="293"/>
      <c r="BD52" s="293"/>
      <c r="BE52" s="293"/>
      <c r="BF52" s="293"/>
      <c r="BG52" s="293"/>
      <c r="BH52" s="293"/>
      <c r="BI52" s="293"/>
      <c r="BJ52" s="293"/>
      <c r="BK52" s="293"/>
      <c r="BL52" s="293"/>
      <c r="BM52" s="293"/>
      <c r="BN52" s="293"/>
      <c r="BO52" s="293"/>
      <c r="BP52" s="293"/>
      <c r="BQ52" s="293"/>
    </row>
    <row r="53" ht="15.75" customHeight="1">
      <c r="A53" s="1"/>
      <c r="B53" s="32"/>
      <c r="C53" s="32"/>
      <c r="D53" s="32"/>
      <c r="E53" s="18" t="s">
        <v>47</v>
      </c>
      <c r="F53" s="176">
        <v>291759.0</v>
      </c>
      <c r="G53" s="31"/>
      <c r="H53" s="31"/>
      <c r="I53" s="31"/>
      <c r="J53" s="176">
        <f>F53/P53</f>
        <v>2.91759</v>
      </c>
      <c r="K53" s="32"/>
      <c r="L53" s="32"/>
      <c r="M53" s="440"/>
      <c r="N53" s="440"/>
      <c r="O53" s="440"/>
      <c r="P53" s="58">
        <v>100000.0</v>
      </c>
      <c r="Q53" s="60" t="s">
        <v>29</v>
      </c>
      <c r="R53" s="61" t="s">
        <v>29</v>
      </c>
      <c r="S53" s="356"/>
      <c r="T53" s="356"/>
      <c r="U53" s="356"/>
      <c r="V53" s="60"/>
      <c r="W53" s="317" t="s">
        <v>88</v>
      </c>
      <c r="X53" s="445"/>
      <c r="Y53" s="269"/>
      <c r="Z53" s="269"/>
      <c r="AA53" s="446"/>
      <c r="AB53" s="447"/>
      <c r="AC53" s="269"/>
      <c r="AD53" s="269"/>
      <c r="AE53" s="446"/>
      <c r="AF53" s="448"/>
      <c r="AG53" s="269"/>
      <c r="AH53" s="269"/>
      <c r="AI53" s="446"/>
      <c r="AJ53" s="448"/>
      <c r="AK53" s="269"/>
      <c r="AL53" s="269"/>
      <c r="AM53" s="449"/>
      <c r="AN53" s="418"/>
      <c r="AO53" s="77"/>
      <c r="AP53" s="77"/>
      <c r="AQ53" s="77"/>
      <c r="AR53" s="418"/>
      <c r="AS53" s="77"/>
      <c r="AT53" s="77"/>
      <c r="AU53" s="77"/>
      <c r="AV53" s="292"/>
      <c r="AW53" s="237"/>
      <c r="AX53" s="238"/>
      <c r="AY53" s="293"/>
      <c r="AZ53" s="293"/>
      <c r="BA53" s="293"/>
      <c r="BB53" s="293"/>
      <c r="BC53" s="293"/>
      <c r="BD53" s="293"/>
      <c r="BE53" s="293"/>
      <c r="BF53" s="293"/>
      <c r="BG53" s="293"/>
      <c r="BH53" s="293"/>
      <c r="BI53" s="293"/>
      <c r="BJ53" s="293"/>
      <c r="BK53" s="293"/>
      <c r="BL53" s="293"/>
      <c r="BM53" s="293"/>
      <c r="BN53" s="293"/>
      <c r="BO53" s="293"/>
      <c r="BP53" s="293"/>
      <c r="BQ53" s="293"/>
    </row>
    <row r="54" ht="21.75" customHeight="1">
      <c r="A54" s="1"/>
      <c r="B54" s="193" t="s">
        <v>68</v>
      </c>
      <c r="C54" s="194"/>
      <c r="D54" s="195"/>
      <c r="E54" s="196"/>
      <c r="F54" s="197">
        <f>SUM(F11:F53)+F59+C60</f>
        <v>4278575.999</v>
      </c>
      <c r="G54" s="198"/>
      <c r="H54" s="196"/>
      <c r="I54" s="196"/>
      <c r="J54" s="198"/>
      <c r="K54" s="199"/>
      <c r="L54" s="200"/>
      <c r="M54" s="200"/>
      <c r="N54" s="200"/>
      <c r="O54" s="200"/>
      <c r="P54" s="201">
        <f>SUM(P15:P17,P29,P33,P35,P53)</f>
        <v>20873333</v>
      </c>
      <c r="Q54" s="201">
        <f>SUM(Q35:Q47)</f>
        <v>383333</v>
      </c>
      <c r="R54" s="201">
        <f>SUM(R11:R13,R19:R21,R25:R27,R31,R37:R41)</f>
        <v>395794329.7</v>
      </c>
      <c r="S54" s="201"/>
      <c r="T54" s="201"/>
      <c r="U54" s="201"/>
      <c r="V54" s="201"/>
      <c r="W54" s="197"/>
      <c r="X54" s="450"/>
      <c r="Y54" s="237"/>
      <c r="Z54" s="237"/>
      <c r="AA54" s="237"/>
      <c r="AB54" s="451"/>
      <c r="AC54" s="237"/>
      <c r="AD54" s="237"/>
      <c r="AE54" s="237"/>
      <c r="AF54" s="451"/>
      <c r="AG54" s="237"/>
      <c r="AH54" s="237"/>
      <c r="AI54" s="237"/>
      <c r="AJ54" s="451"/>
      <c r="AK54" s="237"/>
      <c r="AL54" s="237"/>
      <c r="AM54" s="237"/>
      <c r="AN54" s="451"/>
      <c r="AO54" s="237"/>
      <c r="AP54" s="237"/>
      <c r="AQ54" s="237"/>
      <c r="AR54" s="451"/>
      <c r="AS54" s="237"/>
      <c r="AT54" s="237"/>
      <c r="AU54" s="238"/>
      <c r="AV54" s="292"/>
      <c r="AW54" s="237"/>
      <c r="AX54" s="238"/>
      <c r="AY54" s="293"/>
      <c r="AZ54" s="293"/>
      <c r="BA54" s="293"/>
      <c r="BB54" s="293"/>
      <c r="BC54" s="293"/>
      <c r="BD54" s="293"/>
      <c r="BE54" s="293"/>
      <c r="BF54" s="293"/>
      <c r="BG54" s="293"/>
      <c r="BH54" s="293"/>
      <c r="BI54" s="293"/>
      <c r="BJ54" s="293"/>
      <c r="BK54" s="293"/>
      <c r="BL54" s="293"/>
      <c r="BM54" s="293"/>
      <c r="BN54" s="293"/>
      <c r="BO54" s="293"/>
      <c r="BP54" s="293"/>
      <c r="BQ54" s="293"/>
    </row>
    <row r="55" ht="15.75" customHeight="1">
      <c r="A55" s="1"/>
      <c r="B55" s="1"/>
      <c r="C55" s="452"/>
      <c r="D55" s="1"/>
      <c r="E55" s="1"/>
      <c r="F55" s="20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10"/>
      <c r="S55" s="1"/>
      <c r="T55" s="1"/>
      <c r="U55" s="1"/>
      <c r="V55" s="210"/>
      <c r="W55" s="67"/>
      <c r="X55" s="67"/>
      <c r="AB55" s="67"/>
      <c r="AF55" s="67"/>
      <c r="AJ55" s="213"/>
      <c r="AN55" s="213"/>
      <c r="AR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</row>
    <row r="56" ht="15.75" customHeight="1">
      <c r="A56" s="1"/>
      <c r="B56" s="1"/>
      <c r="C56" s="1"/>
      <c r="D56" s="1"/>
      <c r="E56" s="1"/>
      <c r="F56" s="214"/>
      <c r="G56" s="1"/>
      <c r="H56" s="1"/>
      <c r="I56" s="1"/>
      <c r="J56" s="1"/>
      <c r="K56" s="215"/>
      <c r="L56" s="1"/>
      <c r="M56" s="1"/>
      <c r="N56" s="1"/>
      <c r="O56" s="1"/>
      <c r="P56" s="1"/>
      <c r="Q56" s="1"/>
      <c r="R56" s="215"/>
      <c r="S56" s="1"/>
      <c r="T56" s="1"/>
      <c r="U56" s="1"/>
      <c r="V56" s="215"/>
      <c r="W56" s="216"/>
      <c r="X56" s="216"/>
      <c r="AB56" s="216"/>
      <c r="AF56" s="216"/>
      <c r="AJ56" s="217"/>
      <c r="AN56" s="217"/>
      <c r="AR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</row>
    <row r="57" ht="15.75" customHeight="1">
      <c r="A57" s="1"/>
      <c r="B57" s="1"/>
      <c r="C57" s="1"/>
      <c r="D57" s="1"/>
      <c r="E57" s="1"/>
      <c r="F57" s="2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19"/>
      <c r="S57" s="311" t="s">
        <v>32</v>
      </c>
      <c r="T57" s="311" t="s">
        <v>94</v>
      </c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1"/>
      <c r="BQ57" s="311"/>
    </row>
    <row r="58" ht="15.75" customHeight="1">
      <c r="A58" s="1"/>
      <c r="B58" s="1"/>
      <c r="C58" s="1"/>
      <c r="D58" s="1"/>
      <c r="E58" s="1"/>
      <c r="F58" s="1"/>
      <c r="G58" s="214"/>
      <c r="H58" s="221"/>
      <c r="I58" s="1"/>
      <c r="J58" s="1"/>
      <c r="K58" s="1"/>
      <c r="L58" s="1"/>
      <c r="M58" s="1"/>
      <c r="N58" s="1"/>
      <c r="O58" s="1"/>
      <c r="P58" s="1"/>
      <c r="Q58" s="1"/>
      <c r="R58" s="1"/>
      <c r="S58" s="311" t="s">
        <v>97</v>
      </c>
      <c r="T58" s="311" t="s">
        <v>98</v>
      </c>
      <c r="AV58" s="311"/>
      <c r="AW58" s="311"/>
      <c r="AX58" s="311"/>
      <c r="AY58" s="311"/>
      <c r="AZ58" s="311"/>
      <c r="BA58" s="311"/>
      <c r="BB58" s="311"/>
      <c r="BC58" s="311"/>
      <c r="BD58" s="311"/>
      <c r="BE58" s="311"/>
      <c r="BF58" s="311"/>
      <c r="BG58" s="311"/>
      <c r="BH58" s="311"/>
      <c r="BI58" s="311"/>
      <c r="BJ58" s="311"/>
      <c r="BK58" s="311"/>
      <c r="BL58" s="311"/>
      <c r="BM58" s="311"/>
      <c r="BN58" s="311"/>
      <c r="BO58" s="311"/>
      <c r="BP58" s="311"/>
      <c r="BQ58" s="311"/>
    </row>
    <row r="59" ht="15.75" customHeight="1">
      <c r="A59" s="1"/>
      <c r="B59" s="1"/>
      <c r="C59" s="222"/>
      <c r="D59" s="1"/>
      <c r="E59" s="214"/>
      <c r="F59" s="209"/>
      <c r="G59" s="223"/>
      <c r="H59" s="214"/>
      <c r="I59" s="1"/>
      <c r="J59" s="1"/>
      <c r="K59" s="1"/>
      <c r="L59" s="1"/>
      <c r="M59" s="1"/>
      <c r="N59" s="1"/>
      <c r="O59" s="1"/>
      <c r="P59" s="1"/>
      <c r="Q59" s="1"/>
      <c r="R59" s="219"/>
      <c r="S59" s="311" t="s">
        <v>99</v>
      </c>
      <c r="T59" s="311" t="s">
        <v>100</v>
      </c>
      <c r="AV59" s="311"/>
      <c r="AW59" s="311"/>
      <c r="AX59" s="311"/>
      <c r="AY59" s="311"/>
      <c r="AZ59" s="311"/>
      <c r="BA59" s="311"/>
      <c r="BB59" s="311"/>
      <c r="BC59" s="311"/>
      <c r="BD59" s="311"/>
      <c r="BE59" s="311"/>
      <c r="BF59" s="311"/>
      <c r="BG59" s="311"/>
      <c r="BH59" s="311"/>
      <c r="BI59" s="311"/>
      <c r="BJ59" s="311"/>
      <c r="BK59" s="311"/>
      <c r="BL59" s="311"/>
      <c r="BM59" s="311"/>
      <c r="BN59" s="311"/>
      <c r="BO59" s="311"/>
      <c r="BP59" s="311"/>
      <c r="BQ59" s="311"/>
    </row>
    <row r="60" ht="15.75" customHeight="1">
      <c r="A60" s="1"/>
      <c r="B60" s="1"/>
      <c r="C60" s="222"/>
      <c r="D60" s="1"/>
      <c r="E60" s="1"/>
      <c r="F60" s="2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311" t="s">
        <v>101</v>
      </c>
      <c r="T60" s="311" t="s">
        <v>102</v>
      </c>
      <c r="AV60" s="311"/>
      <c r="AW60" s="311"/>
      <c r="AX60" s="311"/>
      <c r="AY60" s="311"/>
      <c r="AZ60" s="311"/>
      <c r="BA60" s="311"/>
      <c r="BB60" s="311"/>
      <c r="BC60" s="311"/>
      <c r="BD60" s="311"/>
      <c r="BE60" s="311"/>
      <c r="BF60" s="311"/>
      <c r="BG60" s="311"/>
      <c r="BH60" s="311"/>
      <c r="BI60" s="311"/>
      <c r="BJ60" s="311"/>
      <c r="BK60" s="311"/>
      <c r="BL60" s="311"/>
      <c r="BM60" s="311"/>
      <c r="BN60" s="311"/>
      <c r="BO60" s="311"/>
      <c r="BP60" s="311"/>
      <c r="BQ60" s="311"/>
    </row>
    <row r="61" ht="15.75" customHeight="1">
      <c r="A61" s="1"/>
      <c r="B61" s="1"/>
      <c r="C61" s="1"/>
      <c r="D61" s="1"/>
      <c r="E61" s="1"/>
      <c r="F61" s="223"/>
      <c r="G61" s="1"/>
      <c r="H61" s="1"/>
      <c r="I61" s="1"/>
      <c r="J61" s="20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227"/>
      <c r="F62" s="1"/>
      <c r="G62" s="1"/>
      <c r="H62" s="1"/>
      <c r="I62" s="1"/>
      <c r="J62" s="1"/>
      <c r="K62" s="21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216"/>
    </row>
    <row r="63" ht="15.75" customHeight="1">
      <c r="A63" s="1"/>
      <c r="B63" s="1"/>
      <c r="C63" s="1"/>
      <c r="D63" s="1"/>
      <c r="E63" s="229"/>
      <c r="F63" s="1"/>
      <c r="G63" s="1"/>
      <c r="H63" s="214"/>
      <c r="I63" s="214"/>
      <c r="J63" s="21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30"/>
    </row>
    <row r="64" ht="15.75" customHeight="1">
      <c r="A64" s="1"/>
      <c r="B64" s="1"/>
      <c r="C64" s="1"/>
      <c r="D64" s="1"/>
      <c r="E64" s="229"/>
      <c r="F64" s="1"/>
      <c r="G64" s="1"/>
      <c r="H64" s="1"/>
      <c r="I64" s="1"/>
      <c r="J64" s="1"/>
      <c r="K64" s="2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22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229"/>
      <c r="F66" s="1"/>
      <c r="G66" s="1"/>
      <c r="H66" s="1"/>
      <c r="I66" s="1"/>
      <c r="J66" s="1"/>
      <c r="K66" s="221"/>
      <c r="L66" s="231"/>
      <c r="M66" s="231"/>
      <c r="N66" s="231"/>
      <c r="O66" s="231"/>
      <c r="P66" s="20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227"/>
      <c r="F67" s="1"/>
      <c r="G67" s="1"/>
      <c r="H67" s="1"/>
      <c r="I67" s="1"/>
      <c r="J67" s="1"/>
      <c r="K67" s="221"/>
      <c r="L67" s="231"/>
      <c r="M67" s="231"/>
      <c r="N67" s="231"/>
      <c r="O67" s="231"/>
      <c r="P67" s="209"/>
      <c r="Q67" s="209"/>
      <c r="R67" s="215"/>
      <c r="S67" s="209"/>
      <c r="T67" s="209"/>
      <c r="U67" s="209"/>
      <c r="V67" s="21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227"/>
      <c r="F68" s="1"/>
      <c r="G68" s="1"/>
      <c r="H68" s="1"/>
      <c r="I68" s="1"/>
      <c r="J68" s="1"/>
      <c r="K68" s="1"/>
      <c r="L68" s="1"/>
      <c r="M68" s="1"/>
      <c r="N68" s="1"/>
      <c r="O68" s="1"/>
      <c r="P68" s="209"/>
      <c r="Q68" s="209"/>
      <c r="R68" s="232"/>
      <c r="S68" s="209"/>
      <c r="T68" s="209"/>
      <c r="U68" s="209"/>
      <c r="V68" s="232"/>
      <c r="W68" s="1"/>
      <c r="X68" s="1"/>
      <c r="Z68" s="1"/>
      <c r="AA68" s="1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22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0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4">
    <mergeCell ref="X21:AA21"/>
    <mergeCell ref="AB21:AC21"/>
    <mergeCell ref="AF21:AI21"/>
    <mergeCell ref="AJ21:AM21"/>
    <mergeCell ref="AN21:AQ21"/>
    <mergeCell ref="AV21:AX21"/>
    <mergeCell ref="AV25:AX25"/>
    <mergeCell ref="X20:AA20"/>
    <mergeCell ref="AB20:AE20"/>
    <mergeCell ref="X24:AA24"/>
    <mergeCell ref="AB24:AE24"/>
    <mergeCell ref="X25:AA25"/>
    <mergeCell ref="AB25:AC25"/>
    <mergeCell ref="AB26:AE26"/>
    <mergeCell ref="AB11:AC11"/>
    <mergeCell ref="X15:AA15"/>
    <mergeCell ref="AB15:AC15"/>
    <mergeCell ref="AF15:AI15"/>
    <mergeCell ref="AJ15:AM15"/>
    <mergeCell ref="AN15:AQ15"/>
    <mergeCell ref="AR15:AU15"/>
    <mergeCell ref="AV15:AX15"/>
    <mergeCell ref="X16:AA16"/>
    <mergeCell ref="AB16:AE16"/>
    <mergeCell ref="X17:AA17"/>
    <mergeCell ref="AB17:AC17"/>
    <mergeCell ref="AF17:AI17"/>
    <mergeCell ref="X18:AA18"/>
    <mergeCell ref="AB18:AE18"/>
    <mergeCell ref="X19:AA19"/>
    <mergeCell ref="AB19:AC19"/>
    <mergeCell ref="AF19:AI19"/>
    <mergeCell ref="AF22:AI22"/>
    <mergeCell ref="AF26:AI26"/>
    <mergeCell ref="AJ26:AM26"/>
    <mergeCell ref="AN26:AQ26"/>
    <mergeCell ref="AR26:AU26"/>
    <mergeCell ref="AJ29:AM29"/>
    <mergeCell ref="AJ30:AM30"/>
    <mergeCell ref="G16:G21"/>
    <mergeCell ref="E17:E21"/>
    <mergeCell ref="F17:F21"/>
    <mergeCell ref="I38:I39"/>
    <mergeCell ref="H40:H41"/>
    <mergeCell ref="I40:I41"/>
    <mergeCell ref="C11:C23"/>
    <mergeCell ref="D11:D23"/>
    <mergeCell ref="K11:K41"/>
    <mergeCell ref="G12:G13"/>
    <mergeCell ref="I12:I13"/>
    <mergeCell ref="G14:G15"/>
    <mergeCell ref="I16:I17"/>
    <mergeCell ref="J25:J27"/>
    <mergeCell ref="G26:G27"/>
    <mergeCell ref="H26:H27"/>
    <mergeCell ref="I26:I27"/>
    <mergeCell ref="G28:G29"/>
    <mergeCell ref="H28:H29"/>
    <mergeCell ref="I28:I29"/>
    <mergeCell ref="L29:L35"/>
    <mergeCell ref="I30:I31"/>
    <mergeCell ref="I32:I33"/>
    <mergeCell ref="I34:I35"/>
    <mergeCell ref="G30:G31"/>
    <mergeCell ref="H30:H31"/>
    <mergeCell ref="G32:G33"/>
    <mergeCell ref="H32:H33"/>
    <mergeCell ref="H34:H35"/>
    <mergeCell ref="H36:H37"/>
    <mergeCell ref="I36:I37"/>
    <mergeCell ref="H38:H39"/>
    <mergeCell ref="I22:I23"/>
    <mergeCell ref="G24:G25"/>
    <mergeCell ref="H24:H25"/>
    <mergeCell ref="I24:I25"/>
    <mergeCell ref="G34:G47"/>
    <mergeCell ref="G48:G49"/>
    <mergeCell ref="H48:H49"/>
    <mergeCell ref="I48:I49"/>
    <mergeCell ref="I46:I47"/>
    <mergeCell ref="G50:G51"/>
    <mergeCell ref="H50:H51"/>
    <mergeCell ref="I50:I51"/>
    <mergeCell ref="G52:G53"/>
    <mergeCell ref="H52:H53"/>
    <mergeCell ref="G22:G23"/>
    <mergeCell ref="H22:H23"/>
    <mergeCell ref="F35:F47"/>
    <mergeCell ref="J37:J47"/>
    <mergeCell ref="I42:I43"/>
    <mergeCell ref="L43:L53"/>
    <mergeCell ref="K49:K53"/>
    <mergeCell ref="I52:I53"/>
    <mergeCell ref="H14:H15"/>
    <mergeCell ref="I14:I15"/>
    <mergeCell ref="H12:H13"/>
    <mergeCell ref="H16:H17"/>
    <mergeCell ref="H18:H19"/>
    <mergeCell ref="I18:I19"/>
    <mergeCell ref="J19:J21"/>
    <mergeCell ref="H20:H21"/>
    <mergeCell ref="I20:I21"/>
    <mergeCell ref="B25:B53"/>
    <mergeCell ref="C25:C53"/>
    <mergeCell ref="D25:D53"/>
    <mergeCell ref="E35:E47"/>
    <mergeCell ref="H42:H43"/>
    <mergeCell ref="H44:H45"/>
    <mergeCell ref="I44:I45"/>
    <mergeCell ref="H46:H47"/>
    <mergeCell ref="AR49:AU49"/>
    <mergeCell ref="AV49:AX49"/>
    <mergeCell ref="AN50:AQ50"/>
    <mergeCell ref="AR50:AU50"/>
    <mergeCell ref="AN46:AQ46"/>
    <mergeCell ref="AR46:AU46"/>
    <mergeCell ref="AN48:AQ48"/>
    <mergeCell ref="AR48:AU48"/>
    <mergeCell ref="AF49:AI49"/>
    <mergeCell ref="AJ49:AM49"/>
    <mergeCell ref="AN49:AQ49"/>
    <mergeCell ref="AB56:AE56"/>
    <mergeCell ref="AF56:AI56"/>
    <mergeCell ref="AG62:AI62"/>
    <mergeCell ref="AG63:AI63"/>
    <mergeCell ref="AJ56:AM56"/>
    <mergeCell ref="AN56:AQ56"/>
    <mergeCell ref="AR56:AU56"/>
    <mergeCell ref="T57:AU57"/>
    <mergeCell ref="T58:AU58"/>
    <mergeCell ref="T59:AU59"/>
    <mergeCell ref="T60:AU60"/>
    <mergeCell ref="X55:AA55"/>
    <mergeCell ref="AB55:AE55"/>
    <mergeCell ref="AF55:AI55"/>
    <mergeCell ref="AJ55:AM55"/>
    <mergeCell ref="AN55:AQ55"/>
    <mergeCell ref="AR55:AU55"/>
    <mergeCell ref="X56:AA56"/>
    <mergeCell ref="AJ42:AM42"/>
    <mergeCell ref="AR42:AU42"/>
    <mergeCell ref="X40:AA40"/>
    <mergeCell ref="AF40:AI40"/>
    <mergeCell ref="AJ40:AM40"/>
    <mergeCell ref="AR40:AU40"/>
    <mergeCell ref="X41:AA41"/>
    <mergeCell ref="AJ41:AM41"/>
    <mergeCell ref="X42:AA42"/>
    <mergeCell ref="AN44:AQ44"/>
    <mergeCell ref="AR44:AU44"/>
    <mergeCell ref="X43:AA43"/>
    <mergeCell ref="AF43:AI43"/>
    <mergeCell ref="AJ43:AM43"/>
    <mergeCell ref="AN43:AQ43"/>
    <mergeCell ref="AR43:AU43"/>
    <mergeCell ref="AV43:AX43"/>
    <mergeCell ref="X44:AA44"/>
    <mergeCell ref="X47:AA47"/>
    <mergeCell ref="AF47:AI47"/>
    <mergeCell ref="AJ47:AM47"/>
    <mergeCell ref="AN47:AQ47"/>
    <mergeCell ref="AR47:AU47"/>
    <mergeCell ref="AV47:AX47"/>
    <mergeCell ref="X45:AA45"/>
    <mergeCell ref="AF45:AI45"/>
    <mergeCell ref="AJ45:AM45"/>
    <mergeCell ref="AN45:AQ45"/>
    <mergeCell ref="AR45:AU45"/>
    <mergeCell ref="AV45:AX45"/>
    <mergeCell ref="X46:AA46"/>
    <mergeCell ref="X54:AA54"/>
    <mergeCell ref="AB54:AE54"/>
    <mergeCell ref="AF54:AI54"/>
    <mergeCell ref="AJ54:AM54"/>
    <mergeCell ref="AN54:AQ54"/>
    <mergeCell ref="AR54:AU54"/>
    <mergeCell ref="AV54:AX54"/>
    <mergeCell ref="AJ8:AM8"/>
    <mergeCell ref="AN8:AQ8"/>
    <mergeCell ref="AR8:AU8"/>
    <mergeCell ref="AV8:AX8"/>
    <mergeCell ref="AV9:AX9"/>
    <mergeCell ref="J8:L8"/>
    <mergeCell ref="M8:O8"/>
    <mergeCell ref="P8:R8"/>
    <mergeCell ref="S8:V8"/>
    <mergeCell ref="X8:AA8"/>
    <mergeCell ref="AB8:AE8"/>
    <mergeCell ref="AF8:AI8"/>
    <mergeCell ref="X10:AA10"/>
    <mergeCell ref="X11:AA11"/>
    <mergeCell ref="AF10:AI10"/>
    <mergeCell ref="AF11:AI11"/>
    <mergeCell ref="AJ11:AM11"/>
    <mergeCell ref="AN11:AQ11"/>
    <mergeCell ref="AW11:BQ11"/>
    <mergeCell ref="X12:AA12"/>
    <mergeCell ref="AB12:AE12"/>
    <mergeCell ref="AF12:AI12"/>
    <mergeCell ref="AJ12:AM12"/>
    <mergeCell ref="X13:AA13"/>
    <mergeCell ref="AB13:AC13"/>
    <mergeCell ref="AF13:AI13"/>
    <mergeCell ref="AJ13:AM13"/>
    <mergeCell ref="AW13:BQ13"/>
    <mergeCell ref="X14:AA14"/>
    <mergeCell ref="AB14:AE14"/>
    <mergeCell ref="AF14:AI14"/>
    <mergeCell ref="AJ14:AM14"/>
    <mergeCell ref="AV17:BQ17"/>
    <mergeCell ref="AW19:BQ19"/>
    <mergeCell ref="AW23:BQ23"/>
    <mergeCell ref="X22:AA22"/>
    <mergeCell ref="AB22:AE22"/>
    <mergeCell ref="X23:AA23"/>
    <mergeCell ref="AB23:AE23"/>
    <mergeCell ref="G10:G11"/>
    <mergeCell ref="H10:H11"/>
    <mergeCell ref="I10:I11"/>
    <mergeCell ref="AB10:AE10"/>
    <mergeCell ref="B11:B23"/>
    <mergeCell ref="J11:J13"/>
    <mergeCell ref="L15:L17"/>
    <mergeCell ref="AF25:AI25"/>
    <mergeCell ref="AJ25:AM25"/>
    <mergeCell ref="AN25:AQ25"/>
    <mergeCell ref="AR25:AU25"/>
    <mergeCell ref="AJ23:AM23"/>
    <mergeCell ref="AN23:AQ23"/>
    <mergeCell ref="AR23:AU23"/>
    <mergeCell ref="AF24:AI24"/>
    <mergeCell ref="AJ24:AM24"/>
    <mergeCell ref="AN24:AQ24"/>
    <mergeCell ref="AR24:AU24"/>
    <mergeCell ref="X26:AA26"/>
    <mergeCell ref="AB27:AC27"/>
    <mergeCell ref="AF27:AI27"/>
    <mergeCell ref="AJ27:AM27"/>
    <mergeCell ref="AN27:AQ27"/>
    <mergeCell ref="AR27:AU27"/>
    <mergeCell ref="AV27:AX27"/>
    <mergeCell ref="X27:AA27"/>
    <mergeCell ref="X28:AA28"/>
    <mergeCell ref="AB28:AE28"/>
    <mergeCell ref="AF28:AI28"/>
    <mergeCell ref="AJ28:AM28"/>
    <mergeCell ref="AN28:AQ28"/>
    <mergeCell ref="AR28:AU28"/>
    <mergeCell ref="AN30:AQ30"/>
    <mergeCell ref="AR30:AU30"/>
    <mergeCell ref="X29:AA29"/>
    <mergeCell ref="AB29:AC29"/>
    <mergeCell ref="AF29:AI29"/>
    <mergeCell ref="AN29:AQ29"/>
    <mergeCell ref="AR29:AU29"/>
    <mergeCell ref="AV29:AX29"/>
    <mergeCell ref="X30:AA30"/>
    <mergeCell ref="X31:AA31"/>
    <mergeCell ref="AJ31:AM31"/>
    <mergeCell ref="AN31:AQ31"/>
    <mergeCell ref="AR31:AU31"/>
    <mergeCell ref="AV31:AX31"/>
    <mergeCell ref="AB32:AE32"/>
    <mergeCell ref="AR32:AU32"/>
    <mergeCell ref="X32:AA32"/>
    <mergeCell ref="AB33:AE33"/>
    <mergeCell ref="AF33:AI33"/>
    <mergeCell ref="AJ33:AM33"/>
    <mergeCell ref="AN33:AQ33"/>
    <mergeCell ref="AR33:AU33"/>
    <mergeCell ref="AV33:AX33"/>
    <mergeCell ref="AJ35:AM35"/>
    <mergeCell ref="AN35:AQ35"/>
    <mergeCell ref="AV35:AX35"/>
    <mergeCell ref="AF37:AI37"/>
    <mergeCell ref="AJ37:AM37"/>
    <mergeCell ref="AN37:AQ37"/>
    <mergeCell ref="AR37:AU37"/>
    <mergeCell ref="AV37:AX37"/>
    <mergeCell ref="X33:AA33"/>
    <mergeCell ref="X34:AA34"/>
    <mergeCell ref="AF34:AI34"/>
    <mergeCell ref="AJ34:AM34"/>
    <mergeCell ref="AR34:AU34"/>
    <mergeCell ref="AF35:AI35"/>
    <mergeCell ref="AR35:AU35"/>
    <mergeCell ref="X35:AA35"/>
    <mergeCell ref="X36:AA36"/>
    <mergeCell ref="AF36:AI36"/>
    <mergeCell ref="AJ36:AM36"/>
    <mergeCell ref="AN36:AQ36"/>
    <mergeCell ref="AR36:AU36"/>
    <mergeCell ref="X37:AA37"/>
    <mergeCell ref="AF39:AI39"/>
    <mergeCell ref="AJ39:AM39"/>
    <mergeCell ref="AN39:AQ39"/>
    <mergeCell ref="AR39:AU39"/>
    <mergeCell ref="AV39:AX39"/>
    <mergeCell ref="X38:AA38"/>
    <mergeCell ref="AB38:AE38"/>
    <mergeCell ref="AF38:AI38"/>
    <mergeCell ref="AJ38:AM38"/>
    <mergeCell ref="AR38:AU38"/>
    <mergeCell ref="X39:AA39"/>
    <mergeCell ref="AB39:AC39"/>
    <mergeCell ref="AN41:AQ41"/>
    <mergeCell ref="AR41:AU41"/>
    <mergeCell ref="AV41:AX41"/>
    <mergeCell ref="AF41:AI41"/>
    <mergeCell ref="AF42:AI42"/>
    <mergeCell ref="AF51:AI51"/>
    <mergeCell ref="AJ51:AM51"/>
    <mergeCell ref="AN51:AQ51"/>
    <mergeCell ref="AR51:AU51"/>
    <mergeCell ref="AV51:AX51"/>
    <mergeCell ref="AN52:AQ52"/>
    <mergeCell ref="AR52:AU52"/>
    <mergeCell ref="X53:AA53"/>
    <mergeCell ref="AB53:AE53"/>
    <mergeCell ref="AF53:AI53"/>
    <mergeCell ref="AJ53:AM53"/>
    <mergeCell ref="AN53:AQ53"/>
    <mergeCell ref="AR53:AU53"/>
    <mergeCell ref="AV53:AX5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5.29"/>
    <col customWidth="1" min="3" max="3" width="17.71"/>
    <col customWidth="1" min="4" max="4" width="16.14"/>
    <col customWidth="1" min="5" max="5" width="14.43"/>
    <col customWidth="1" min="6" max="6" width="15.43"/>
    <col customWidth="1" min="7" max="7" width="23.43"/>
    <col customWidth="1" min="8" max="8" width="21.43"/>
    <col customWidth="1" min="9" max="9" width="16.29"/>
    <col customWidth="1" min="10" max="10" width="17.43"/>
    <col customWidth="1" min="11" max="14" width="14.43"/>
    <col customWidth="1" min="15" max="15" width="17.0"/>
    <col customWidth="1" min="16" max="39" width="6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2" t="s">
        <v>0</v>
      </c>
      <c r="C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2" t="s">
        <v>2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2" t="s">
        <v>4</v>
      </c>
      <c r="C6" s="4">
        <v>4428576.0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53" t="s">
        <v>5</v>
      </c>
      <c r="Q8" s="454"/>
      <c r="R8" s="454"/>
      <c r="S8" s="454"/>
      <c r="T8" s="455" t="s">
        <v>6</v>
      </c>
      <c r="U8" s="454"/>
      <c r="V8" s="454"/>
      <c r="W8" s="454"/>
      <c r="X8" s="455" t="s">
        <v>7</v>
      </c>
      <c r="Y8" s="454"/>
      <c r="Z8" s="454"/>
      <c r="AA8" s="454"/>
      <c r="AB8" s="455" t="s">
        <v>8</v>
      </c>
      <c r="AC8" s="454"/>
      <c r="AD8" s="454"/>
      <c r="AE8" s="454"/>
      <c r="AF8" s="455" t="s">
        <v>78</v>
      </c>
      <c r="AG8" s="454"/>
      <c r="AH8" s="454"/>
      <c r="AI8" s="454"/>
      <c r="AJ8" s="455" t="s">
        <v>79</v>
      </c>
      <c r="AK8" s="454"/>
      <c r="AL8" s="454"/>
      <c r="AM8" s="456"/>
    </row>
    <row r="9" ht="15.75" customHeight="1">
      <c r="A9" s="1"/>
      <c r="B9" s="10" t="s">
        <v>9</v>
      </c>
      <c r="C9" s="11" t="s">
        <v>10</v>
      </c>
      <c r="D9" s="11" t="s">
        <v>4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11</v>
      </c>
      <c r="J9" s="11" t="s">
        <v>15</v>
      </c>
      <c r="K9" s="11" t="s">
        <v>16</v>
      </c>
      <c r="L9" s="11" t="s">
        <v>17</v>
      </c>
      <c r="M9" s="11" t="s">
        <v>18</v>
      </c>
      <c r="N9" s="11" t="s">
        <v>19</v>
      </c>
      <c r="O9" s="11" t="s">
        <v>20</v>
      </c>
      <c r="P9" s="457" t="s">
        <v>21</v>
      </c>
      <c r="Q9" s="458" t="s">
        <v>22</v>
      </c>
      <c r="R9" s="458" t="s">
        <v>23</v>
      </c>
      <c r="S9" s="458" t="s">
        <v>24</v>
      </c>
      <c r="T9" s="458" t="s">
        <v>21</v>
      </c>
      <c r="U9" s="458" t="s">
        <v>22</v>
      </c>
      <c r="V9" s="458" t="s">
        <v>23</v>
      </c>
      <c r="W9" s="458" t="s">
        <v>24</v>
      </c>
      <c r="X9" s="458" t="s">
        <v>21</v>
      </c>
      <c r="Y9" s="458" t="s">
        <v>22</v>
      </c>
      <c r="Z9" s="458" t="s">
        <v>23</v>
      </c>
      <c r="AA9" s="458" t="s">
        <v>24</v>
      </c>
      <c r="AB9" s="458" t="s">
        <v>21</v>
      </c>
      <c r="AC9" s="458" t="s">
        <v>22</v>
      </c>
      <c r="AD9" s="458" t="s">
        <v>23</v>
      </c>
      <c r="AE9" s="458" t="s">
        <v>24</v>
      </c>
      <c r="AF9" s="458" t="s">
        <v>21</v>
      </c>
      <c r="AG9" s="458" t="s">
        <v>22</v>
      </c>
      <c r="AH9" s="458" t="s">
        <v>23</v>
      </c>
      <c r="AI9" s="458" t="s">
        <v>24</v>
      </c>
      <c r="AJ9" s="458" t="s">
        <v>21</v>
      </c>
      <c r="AK9" s="458" t="s">
        <v>22</v>
      </c>
      <c r="AL9" s="458" t="s">
        <v>23</v>
      </c>
      <c r="AM9" s="459" t="s">
        <v>24</v>
      </c>
    </row>
    <row r="10" ht="15.75" customHeight="1">
      <c r="A10" s="1"/>
      <c r="B10" s="15" t="s">
        <v>25</v>
      </c>
      <c r="C10" s="16">
        <f>D10/C6</f>
        <v>0.4167746788</v>
      </c>
      <c r="D10" s="17">
        <f>SUM(F10:F16)</f>
        <v>1845718.34</v>
      </c>
      <c r="E10" s="312" t="s">
        <v>26</v>
      </c>
      <c r="F10" s="50">
        <v>260718.34</v>
      </c>
      <c r="G10" s="21" t="s">
        <v>27</v>
      </c>
      <c r="H10" s="21" t="s">
        <v>28</v>
      </c>
      <c r="I10" s="21" t="s">
        <v>20</v>
      </c>
      <c r="J10" s="4">
        <v>0.0</v>
      </c>
      <c r="K10" s="4">
        <v>0.0</v>
      </c>
      <c r="L10" s="4">
        <v>2.0</v>
      </c>
      <c r="M10" s="21" t="s">
        <v>29</v>
      </c>
      <c r="N10" s="22" t="s">
        <v>29</v>
      </c>
      <c r="O10" s="23">
        <v>1.3E8</v>
      </c>
      <c r="P10" s="460">
        <v>107032.67</v>
      </c>
      <c r="Q10" s="77"/>
      <c r="R10" s="77"/>
      <c r="S10" s="77"/>
      <c r="T10" s="461">
        <v>73485.67</v>
      </c>
      <c r="U10" s="77"/>
      <c r="V10" s="77"/>
      <c r="W10" s="77"/>
      <c r="X10" s="461">
        <v>80200.0</v>
      </c>
      <c r="Y10" s="77"/>
      <c r="Z10" s="77"/>
      <c r="AA10" s="77"/>
      <c r="AB10" s="462"/>
      <c r="AC10" s="77"/>
      <c r="AD10" s="77"/>
      <c r="AE10" s="463"/>
      <c r="AF10" s="88"/>
      <c r="AG10" s="77"/>
      <c r="AH10" s="77"/>
      <c r="AI10" s="463"/>
      <c r="AJ10" s="79"/>
      <c r="AK10" s="80"/>
      <c r="AL10" s="80"/>
      <c r="AM10" s="81"/>
    </row>
    <row r="11" ht="15.75" customHeight="1">
      <c r="A11" s="1"/>
      <c r="B11" s="31"/>
      <c r="C11" s="31"/>
      <c r="D11" s="31"/>
      <c r="E11" s="327" t="s">
        <v>26</v>
      </c>
      <c r="F11" s="59">
        <v>200000.0</v>
      </c>
      <c r="G11" s="60" t="s">
        <v>32</v>
      </c>
      <c r="H11" s="21" t="s">
        <v>33</v>
      </c>
      <c r="I11" s="21" t="s">
        <v>20</v>
      </c>
      <c r="J11" s="4">
        <v>0.0</v>
      </c>
      <c r="K11" s="4">
        <v>0.0</v>
      </c>
      <c r="L11" s="4">
        <v>16.0</v>
      </c>
      <c r="M11" s="22" t="s">
        <v>29</v>
      </c>
      <c r="N11" s="22" t="s">
        <v>29</v>
      </c>
      <c r="O11" s="23">
        <v>1.25E7</v>
      </c>
      <c r="P11" s="460">
        <v>75000.0</v>
      </c>
      <c r="Q11" s="77"/>
      <c r="R11" s="77"/>
      <c r="S11" s="77"/>
      <c r="T11" s="461">
        <v>45000.0</v>
      </c>
      <c r="U11" s="77"/>
      <c r="V11" s="77"/>
      <c r="W11" s="77"/>
      <c r="X11" s="461">
        <v>40000.0</v>
      </c>
      <c r="Y11" s="77"/>
      <c r="Z11" s="77"/>
      <c r="AA11" s="77"/>
      <c r="AB11" s="464">
        <v>40000.0</v>
      </c>
      <c r="AC11" s="102"/>
      <c r="AD11" s="102"/>
      <c r="AE11" s="340"/>
      <c r="AF11" s="140"/>
      <c r="AG11" s="141"/>
      <c r="AH11" s="141"/>
      <c r="AI11" s="422"/>
      <c r="AJ11" s="140"/>
      <c r="AK11" s="141"/>
      <c r="AL11" s="141"/>
      <c r="AM11" s="465"/>
    </row>
    <row r="12" ht="15.75" customHeight="1">
      <c r="A12" s="1"/>
      <c r="B12" s="31"/>
      <c r="C12" s="31"/>
      <c r="D12" s="31"/>
      <c r="E12" s="312" t="s">
        <v>26</v>
      </c>
      <c r="F12" s="50">
        <v>485000.0</v>
      </c>
      <c r="G12" s="21" t="s">
        <v>35</v>
      </c>
      <c r="H12" s="21" t="s">
        <v>36</v>
      </c>
      <c r="I12" s="21" t="s">
        <v>18</v>
      </c>
      <c r="J12" s="50">
        <v>0.05</v>
      </c>
      <c r="K12" s="50">
        <v>0.0</v>
      </c>
      <c r="L12" s="50">
        <v>0.0</v>
      </c>
      <c r="M12" s="58">
        <v>9000000.0</v>
      </c>
      <c r="N12" s="22" t="s">
        <v>29</v>
      </c>
      <c r="O12" s="23" t="s">
        <v>29</v>
      </c>
      <c r="P12" s="466">
        <v>151250.0</v>
      </c>
      <c r="Q12" s="35"/>
      <c r="R12" s="35"/>
      <c r="S12" s="35"/>
      <c r="T12" s="467">
        <v>91250.0</v>
      </c>
      <c r="U12" s="35"/>
      <c r="V12" s="35"/>
      <c r="W12" s="35"/>
      <c r="X12" s="467">
        <v>121250.0</v>
      </c>
      <c r="Y12" s="35"/>
      <c r="Z12" s="35"/>
      <c r="AA12" s="35"/>
      <c r="AB12" s="468">
        <v>121250.0</v>
      </c>
      <c r="AC12" s="102"/>
      <c r="AD12" s="102"/>
      <c r="AE12" s="340"/>
      <c r="AF12" s="352"/>
      <c r="AG12" s="151"/>
      <c r="AH12" s="151"/>
      <c r="AI12" s="469"/>
      <c r="AJ12" s="174"/>
      <c r="AK12" s="151"/>
      <c r="AL12" s="151"/>
      <c r="AM12" s="165"/>
    </row>
    <row r="13" ht="15.75" customHeight="1">
      <c r="A13" s="1"/>
      <c r="B13" s="31"/>
      <c r="C13" s="31"/>
      <c r="D13" s="31"/>
      <c r="E13" s="39" t="s">
        <v>26</v>
      </c>
      <c r="F13" s="17">
        <v>320000.0</v>
      </c>
      <c r="G13" s="20" t="s">
        <v>38</v>
      </c>
      <c r="H13" s="21" t="s">
        <v>39</v>
      </c>
      <c r="I13" s="60" t="s">
        <v>18</v>
      </c>
      <c r="J13" s="59">
        <v>0.05</v>
      </c>
      <c r="K13" s="59">
        <v>0.0</v>
      </c>
      <c r="L13" s="59">
        <v>0.0</v>
      </c>
      <c r="M13" s="58">
        <v>3400000.0</v>
      </c>
      <c r="N13" s="60" t="s">
        <v>29</v>
      </c>
      <c r="O13" s="61" t="s">
        <v>29</v>
      </c>
      <c r="P13" s="470">
        <v>90000.0</v>
      </c>
      <c r="Q13" s="102"/>
      <c r="R13" s="102"/>
      <c r="S13" s="102"/>
      <c r="T13" s="468">
        <v>80000.0</v>
      </c>
      <c r="U13" s="102"/>
      <c r="V13" s="102"/>
      <c r="W13" s="102"/>
      <c r="X13" s="71"/>
      <c r="Y13" s="112"/>
      <c r="Z13" s="112"/>
      <c r="AA13" s="112"/>
      <c r="AB13" s="68"/>
      <c r="AC13" s="68"/>
      <c r="AD13" s="68"/>
      <c r="AE13" s="471"/>
      <c r="AF13" s="68"/>
      <c r="AG13" s="68"/>
      <c r="AH13" s="68"/>
      <c r="AI13" s="471"/>
      <c r="AJ13" s="68"/>
      <c r="AK13" s="68"/>
      <c r="AL13" s="68"/>
      <c r="AM13" s="69"/>
    </row>
    <row r="14" ht="15.75" customHeight="1">
      <c r="A14" s="1"/>
      <c r="B14" s="31"/>
      <c r="C14" s="31"/>
      <c r="D14" s="31"/>
      <c r="E14" s="31"/>
      <c r="F14" s="31"/>
      <c r="G14" s="31"/>
      <c r="H14" s="22" t="s">
        <v>40</v>
      </c>
      <c r="I14" s="21" t="s">
        <v>20</v>
      </c>
      <c r="J14" s="4">
        <v>0.0</v>
      </c>
      <c r="K14" s="4">
        <v>0.0</v>
      </c>
      <c r="L14" s="4">
        <v>5.8</v>
      </c>
      <c r="M14" s="22" t="s">
        <v>29</v>
      </c>
      <c r="N14" s="22" t="s">
        <v>29</v>
      </c>
      <c r="O14" s="23">
        <v>1.72E7</v>
      </c>
      <c r="P14" s="472">
        <v>60000.0</v>
      </c>
      <c r="Q14" s="93"/>
      <c r="R14" s="93"/>
      <c r="S14" s="93"/>
      <c r="T14" s="473">
        <v>40000.0</v>
      </c>
      <c r="U14" s="93"/>
      <c r="V14" s="93"/>
      <c r="W14" s="93"/>
      <c r="X14" s="76"/>
      <c r="Y14" s="77"/>
      <c r="Z14" s="77"/>
      <c r="AA14" s="77"/>
      <c r="AB14" s="474"/>
      <c r="AC14" s="80"/>
      <c r="AD14" s="80"/>
      <c r="AE14" s="419"/>
      <c r="AF14" s="79"/>
      <c r="AG14" s="80"/>
      <c r="AH14" s="80"/>
      <c r="AI14" s="419"/>
      <c r="AJ14" s="79"/>
      <c r="AK14" s="80"/>
      <c r="AL14" s="80"/>
      <c r="AM14" s="81"/>
    </row>
    <row r="15" ht="15.75" customHeight="1">
      <c r="A15" s="1"/>
      <c r="B15" s="31"/>
      <c r="C15" s="31"/>
      <c r="D15" s="31"/>
      <c r="E15" s="32"/>
      <c r="F15" s="32"/>
      <c r="G15" s="32"/>
      <c r="H15" s="21" t="s">
        <v>41</v>
      </c>
      <c r="I15" s="21" t="s">
        <v>20</v>
      </c>
      <c r="J15" s="4">
        <v>0.0</v>
      </c>
      <c r="K15" s="4">
        <v>0.0</v>
      </c>
      <c r="L15" s="4">
        <v>6.5</v>
      </c>
      <c r="M15" s="22" t="s">
        <v>29</v>
      </c>
      <c r="N15" s="22" t="s">
        <v>29</v>
      </c>
      <c r="O15" s="23">
        <v>7690000.0</v>
      </c>
      <c r="P15" s="460">
        <v>30000.0</v>
      </c>
      <c r="Q15" s="77"/>
      <c r="R15" s="77"/>
      <c r="S15" s="77"/>
      <c r="T15" s="461">
        <v>20000.0</v>
      </c>
      <c r="U15" s="77"/>
      <c r="V15" s="77"/>
      <c r="W15" s="77"/>
      <c r="X15" s="76"/>
      <c r="Y15" s="77"/>
      <c r="Z15" s="77"/>
      <c r="AA15" s="77"/>
      <c r="AB15" s="475"/>
      <c r="AC15" s="77"/>
      <c r="AD15" s="77"/>
      <c r="AE15" s="463"/>
      <c r="AF15" s="138"/>
      <c r="AG15" s="77"/>
      <c r="AH15" s="77"/>
      <c r="AI15" s="463"/>
      <c r="AJ15" s="79"/>
      <c r="AK15" s="80"/>
      <c r="AL15" s="80"/>
      <c r="AM15" s="81"/>
    </row>
    <row r="16" ht="15.75" customHeight="1">
      <c r="A16" s="1"/>
      <c r="B16" s="32"/>
      <c r="C16" s="32"/>
      <c r="D16" s="32"/>
      <c r="E16" s="327" t="s">
        <v>26</v>
      </c>
      <c r="F16" s="59">
        <v>580000.0</v>
      </c>
      <c r="G16" s="21" t="s">
        <v>42</v>
      </c>
      <c r="H16" s="21" t="s">
        <v>43</v>
      </c>
      <c r="I16" s="21" t="s">
        <v>44</v>
      </c>
      <c r="J16" s="4">
        <f>F16/M16</f>
        <v>1.288888889</v>
      </c>
      <c r="K16" s="4">
        <v>0.0</v>
      </c>
      <c r="L16" s="4">
        <v>0.0</v>
      </c>
      <c r="M16" s="58">
        <f>150000*3</f>
        <v>450000</v>
      </c>
      <c r="N16" s="22" t="s">
        <v>29</v>
      </c>
      <c r="O16" s="23" t="s">
        <v>29</v>
      </c>
      <c r="P16" s="460">
        <v>193333.333</v>
      </c>
      <c r="Q16" s="77"/>
      <c r="R16" s="77"/>
      <c r="S16" s="77"/>
      <c r="T16" s="461">
        <v>193333.333</v>
      </c>
      <c r="U16" s="77"/>
      <c r="V16" s="77"/>
      <c r="W16" s="77"/>
      <c r="X16" s="461">
        <v>193333.333</v>
      </c>
      <c r="Y16" s="77"/>
      <c r="Z16" s="77"/>
      <c r="AA16" s="77"/>
      <c r="AB16" s="462"/>
      <c r="AC16" s="77"/>
      <c r="AD16" s="77"/>
      <c r="AE16" s="77"/>
      <c r="AF16" s="122"/>
      <c r="AG16" s="77"/>
      <c r="AH16" s="77"/>
      <c r="AI16" s="463"/>
      <c r="AJ16" s="88"/>
      <c r="AK16" s="77"/>
      <c r="AL16" s="77"/>
      <c r="AM16" s="84"/>
    </row>
    <row r="17" ht="15.75" customHeight="1">
      <c r="A17" s="1"/>
      <c r="B17" s="15" t="s">
        <v>45</v>
      </c>
      <c r="C17" s="16">
        <f>D17/C6</f>
        <v>0.5493543882</v>
      </c>
      <c r="D17" s="17">
        <f>SUM(F17:F32)</f>
        <v>2432857.659</v>
      </c>
      <c r="E17" s="382" t="s">
        <v>26</v>
      </c>
      <c r="F17" s="59">
        <v>256316.66</v>
      </c>
      <c r="G17" s="21" t="s">
        <v>27</v>
      </c>
      <c r="H17" s="21" t="s">
        <v>46</v>
      </c>
      <c r="I17" s="22" t="s">
        <v>20</v>
      </c>
      <c r="J17" s="4">
        <v>0.0</v>
      </c>
      <c r="K17" s="4">
        <v>0.0</v>
      </c>
      <c r="L17" s="4">
        <v>2.3</v>
      </c>
      <c r="M17" s="22" t="s">
        <v>29</v>
      </c>
      <c r="N17" s="22" t="s">
        <v>29</v>
      </c>
      <c r="O17" s="23">
        <v>1.08E8</v>
      </c>
      <c r="P17" s="137"/>
      <c r="Q17" s="77"/>
      <c r="R17" s="77"/>
      <c r="S17" s="463"/>
      <c r="T17" s="418">
        <v>60000.0</v>
      </c>
      <c r="U17" s="77"/>
      <c r="V17" s="77"/>
      <c r="W17" s="391"/>
      <c r="X17" s="386">
        <v>60000.0</v>
      </c>
      <c r="Y17" s="77"/>
      <c r="Z17" s="77"/>
      <c r="AA17" s="77"/>
      <c r="AB17" s="390">
        <v>60000.0</v>
      </c>
      <c r="AC17" s="77"/>
      <c r="AD17" s="77"/>
      <c r="AE17" s="391"/>
      <c r="AF17" s="390">
        <v>76316.66</v>
      </c>
      <c r="AG17" s="77"/>
      <c r="AH17" s="77"/>
      <c r="AI17" s="391"/>
      <c r="AJ17" s="392"/>
      <c r="AK17" s="77"/>
      <c r="AL17" s="77"/>
      <c r="AM17" s="84"/>
    </row>
    <row r="18" ht="15.75" customHeight="1">
      <c r="A18" s="1"/>
      <c r="B18" s="31"/>
      <c r="C18" s="31"/>
      <c r="D18" s="31"/>
      <c r="E18" s="353" t="s">
        <v>47</v>
      </c>
      <c r="F18" s="4">
        <v>244999.999</v>
      </c>
      <c r="G18" s="21" t="s">
        <v>48</v>
      </c>
      <c r="H18" s="21" t="s">
        <v>49</v>
      </c>
      <c r="I18" s="22" t="s">
        <v>20</v>
      </c>
      <c r="J18" s="4">
        <v>0.0</v>
      </c>
      <c r="K18" s="4">
        <v>0.0</v>
      </c>
      <c r="L18" s="4">
        <v>2.3</v>
      </c>
      <c r="M18" s="22" t="s">
        <v>29</v>
      </c>
      <c r="N18" s="22" t="s">
        <v>29</v>
      </c>
      <c r="O18" s="23">
        <v>1.0E8</v>
      </c>
      <c r="P18" s="101"/>
      <c r="Q18" s="102"/>
      <c r="R18" s="102"/>
      <c r="S18" s="340"/>
      <c r="T18" s="476">
        <v>70000.0</v>
      </c>
      <c r="U18" s="102"/>
      <c r="V18" s="102"/>
      <c r="W18" s="399"/>
      <c r="X18" s="398">
        <v>58182.0</v>
      </c>
      <c r="Y18" s="102"/>
      <c r="Z18" s="102"/>
      <c r="AA18" s="102"/>
      <c r="AB18" s="398">
        <v>58333.33</v>
      </c>
      <c r="AC18" s="102"/>
      <c r="AD18" s="102"/>
      <c r="AE18" s="399"/>
      <c r="AF18" s="398">
        <v>58484.67</v>
      </c>
      <c r="AG18" s="102"/>
      <c r="AH18" s="102"/>
      <c r="AI18" s="399"/>
      <c r="AJ18" s="400"/>
      <c r="AK18" s="102"/>
      <c r="AL18" s="102"/>
      <c r="AM18" s="477"/>
    </row>
    <row r="19" ht="15.75" customHeight="1">
      <c r="A19" s="1"/>
      <c r="B19" s="31"/>
      <c r="C19" s="31"/>
      <c r="D19" s="31"/>
      <c r="E19" s="312" t="s">
        <v>26</v>
      </c>
      <c r="F19" s="50">
        <v>260000.0</v>
      </c>
      <c r="G19" s="21" t="s">
        <v>35</v>
      </c>
      <c r="H19" s="21" t="s">
        <v>50</v>
      </c>
      <c r="I19" s="21" t="s">
        <v>18</v>
      </c>
      <c r="J19" s="50">
        <v>0.05</v>
      </c>
      <c r="K19" s="50">
        <v>0.0</v>
      </c>
      <c r="L19" s="50">
        <v>0.0</v>
      </c>
      <c r="M19" s="58">
        <v>5000000.0</v>
      </c>
      <c r="N19" s="22" t="s">
        <v>29</v>
      </c>
      <c r="O19" s="23" t="s">
        <v>29</v>
      </c>
      <c r="P19" s="478">
        <v>60000.0</v>
      </c>
      <c r="Q19" s="151"/>
      <c r="R19" s="151"/>
      <c r="S19" s="407"/>
      <c r="T19" s="479">
        <v>50000.0</v>
      </c>
      <c r="U19" s="151"/>
      <c r="V19" s="151"/>
      <c r="W19" s="407"/>
      <c r="X19" s="406">
        <v>50000.0</v>
      </c>
      <c r="Y19" s="151"/>
      <c r="Z19" s="151"/>
      <c r="AA19" s="151"/>
      <c r="AB19" s="406">
        <v>50000.0</v>
      </c>
      <c r="AC19" s="151"/>
      <c r="AD19" s="151"/>
      <c r="AE19" s="407"/>
      <c r="AF19" s="406">
        <v>50000.0</v>
      </c>
      <c r="AG19" s="151"/>
      <c r="AH19" s="151"/>
      <c r="AI19" s="407"/>
      <c r="AJ19" s="408"/>
      <c r="AK19" s="151"/>
      <c r="AL19" s="151"/>
      <c r="AM19" s="165"/>
    </row>
    <row r="20" ht="15.75" customHeight="1">
      <c r="A20" s="1"/>
      <c r="B20" s="31"/>
      <c r="C20" s="31"/>
      <c r="D20" s="31"/>
      <c r="E20" s="327" t="s">
        <v>47</v>
      </c>
      <c r="F20" s="59">
        <v>299782.0</v>
      </c>
      <c r="G20" s="60" t="s">
        <v>51</v>
      </c>
      <c r="H20" s="21" t="s">
        <v>52</v>
      </c>
      <c r="I20" s="60" t="s">
        <v>18</v>
      </c>
      <c r="J20" s="59">
        <v>0.086</v>
      </c>
      <c r="K20" s="59">
        <v>0.0</v>
      </c>
      <c r="L20" s="59">
        <v>0.0</v>
      </c>
      <c r="M20" s="58">
        <v>3400000.0</v>
      </c>
      <c r="N20" s="60" t="s">
        <v>29</v>
      </c>
      <c r="O20" s="23" t="s">
        <v>29</v>
      </c>
      <c r="P20" s="480" t="s">
        <v>34</v>
      </c>
      <c r="Q20" s="371"/>
      <c r="R20" s="371"/>
      <c r="S20" s="481"/>
      <c r="T20" s="482"/>
      <c r="U20" s="68"/>
      <c r="V20" s="68"/>
      <c r="W20" s="471"/>
      <c r="X20" s="68"/>
      <c r="Y20" s="68"/>
      <c r="Z20" s="68"/>
      <c r="AA20" s="68"/>
      <c r="AB20" s="483">
        <v>115921.0</v>
      </c>
      <c r="AC20" s="371"/>
      <c r="AD20" s="371"/>
      <c r="AE20" s="484"/>
      <c r="AF20" s="483">
        <v>157177.0</v>
      </c>
      <c r="AG20" s="371"/>
      <c r="AH20" s="371"/>
      <c r="AI20" s="484"/>
      <c r="AJ20" s="483">
        <v>26684.0</v>
      </c>
      <c r="AK20" s="371"/>
      <c r="AL20" s="371"/>
      <c r="AM20" s="485"/>
    </row>
    <row r="21" ht="15.75" customHeight="1">
      <c r="A21" s="1"/>
      <c r="B21" s="31"/>
      <c r="C21" s="31"/>
      <c r="D21" s="31"/>
      <c r="E21" s="353" t="s">
        <v>53</v>
      </c>
      <c r="F21" s="50">
        <v>30000.0</v>
      </c>
      <c r="G21" s="21" t="s">
        <v>54</v>
      </c>
      <c r="H21" s="21" t="s">
        <v>55</v>
      </c>
      <c r="I21" s="21" t="s">
        <v>18</v>
      </c>
      <c r="J21" s="4">
        <v>0.7</v>
      </c>
      <c r="K21" s="4">
        <v>0.0</v>
      </c>
      <c r="L21" s="4">
        <v>0.0</v>
      </c>
      <c r="M21" s="58">
        <v>40000.0</v>
      </c>
      <c r="N21" s="22" t="s">
        <v>29</v>
      </c>
      <c r="O21" s="23" t="s">
        <v>29</v>
      </c>
      <c r="P21" s="417"/>
      <c r="Q21" s="77"/>
      <c r="R21" s="77"/>
      <c r="S21" s="77"/>
      <c r="T21" s="390">
        <v>30000.0</v>
      </c>
      <c r="U21" s="77"/>
      <c r="V21" s="77"/>
      <c r="W21" s="486"/>
      <c r="X21" s="122"/>
      <c r="Y21" s="77"/>
      <c r="Z21" s="77"/>
      <c r="AA21" s="77"/>
      <c r="AB21" s="122"/>
      <c r="AC21" s="77"/>
      <c r="AD21" s="77"/>
      <c r="AE21" s="77"/>
      <c r="AF21" s="122"/>
      <c r="AG21" s="77"/>
      <c r="AH21" s="77"/>
      <c r="AI21" s="77"/>
      <c r="AJ21" s="122"/>
      <c r="AK21" s="77"/>
      <c r="AL21" s="77"/>
      <c r="AM21" s="84"/>
    </row>
    <row r="22" ht="15.75" customHeight="1">
      <c r="A22" s="1"/>
      <c r="B22" s="31"/>
      <c r="C22" s="31"/>
      <c r="D22" s="31"/>
      <c r="E22" s="382" t="s">
        <v>53</v>
      </c>
      <c r="F22" s="59">
        <v>0.0</v>
      </c>
      <c r="G22" s="60" t="s">
        <v>56</v>
      </c>
      <c r="H22" s="21" t="s">
        <v>103</v>
      </c>
      <c r="I22" s="21" t="s">
        <v>20</v>
      </c>
      <c r="J22" s="4">
        <v>0.0</v>
      </c>
      <c r="K22" s="4">
        <v>0.76</v>
      </c>
      <c r="L22" s="4">
        <v>0.0</v>
      </c>
      <c r="M22" s="22" t="s">
        <v>29</v>
      </c>
      <c r="N22" s="58" t="s">
        <v>29</v>
      </c>
      <c r="O22" s="23" t="s">
        <v>29</v>
      </c>
      <c r="P22" s="121"/>
      <c r="Q22" s="77"/>
      <c r="R22" s="77"/>
      <c r="S22" s="77"/>
      <c r="T22" s="390">
        <v>0.0</v>
      </c>
      <c r="U22" s="77"/>
      <c r="V22" s="77"/>
      <c r="W22" s="486"/>
      <c r="X22" s="88"/>
      <c r="Y22" s="77"/>
      <c r="Z22" s="77"/>
      <c r="AA22" s="77"/>
      <c r="AB22" s="122"/>
      <c r="AC22" s="77"/>
      <c r="AD22" s="77"/>
      <c r="AE22" s="77"/>
      <c r="AF22" s="88"/>
      <c r="AG22" s="77"/>
      <c r="AH22" s="77"/>
      <c r="AI22" s="77"/>
      <c r="AJ22" s="88"/>
      <c r="AK22" s="77"/>
      <c r="AL22" s="77"/>
      <c r="AM22" s="84"/>
      <c r="AN22" s="136"/>
    </row>
    <row r="23" ht="15.75" customHeight="1">
      <c r="A23" s="1"/>
      <c r="B23" s="31"/>
      <c r="C23" s="31"/>
      <c r="D23" s="31"/>
      <c r="E23" s="39" t="s">
        <v>26</v>
      </c>
      <c r="F23" s="17">
        <v>580000.0</v>
      </c>
      <c r="G23" s="20" t="s">
        <v>38</v>
      </c>
      <c r="H23" s="21" t="s">
        <v>59</v>
      </c>
      <c r="I23" s="21" t="s">
        <v>18</v>
      </c>
      <c r="J23" s="4">
        <v>0.03</v>
      </c>
      <c r="K23" s="4">
        <v>0.0</v>
      </c>
      <c r="L23" s="4">
        <v>0.0</v>
      </c>
      <c r="M23" s="58">
        <v>3333333.0</v>
      </c>
      <c r="N23" s="22" t="s">
        <v>29</v>
      </c>
      <c r="O23" s="23" t="s">
        <v>29</v>
      </c>
      <c r="P23" s="137"/>
      <c r="Q23" s="77"/>
      <c r="R23" s="77"/>
      <c r="S23" s="463"/>
      <c r="T23" s="474"/>
      <c r="U23" s="80"/>
      <c r="V23" s="80"/>
      <c r="W23" s="419"/>
      <c r="X23" s="418">
        <v>50000.0</v>
      </c>
      <c r="Y23" s="77"/>
      <c r="Z23" s="77"/>
      <c r="AA23" s="77"/>
      <c r="AB23" s="390">
        <v>50000.0</v>
      </c>
      <c r="AC23" s="77"/>
      <c r="AD23" s="77"/>
      <c r="AE23" s="391"/>
      <c r="AF23" s="392"/>
      <c r="AG23" s="77"/>
      <c r="AH23" s="77"/>
      <c r="AI23" s="463"/>
      <c r="AJ23" s="88"/>
      <c r="AK23" s="77"/>
      <c r="AL23" s="77"/>
      <c r="AM23" s="84"/>
    </row>
    <row r="24" ht="15.75" customHeight="1">
      <c r="A24" s="1"/>
      <c r="B24" s="31"/>
      <c r="C24" s="31"/>
      <c r="D24" s="31"/>
      <c r="E24" s="31"/>
      <c r="F24" s="31"/>
      <c r="G24" s="31"/>
      <c r="H24" s="21" t="s">
        <v>40</v>
      </c>
      <c r="I24" s="22" t="s">
        <v>20</v>
      </c>
      <c r="J24" s="4">
        <v>0.0</v>
      </c>
      <c r="K24" s="4">
        <v>0.0</v>
      </c>
      <c r="L24" s="4">
        <v>5.8</v>
      </c>
      <c r="M24" s="22" t="s">
        <v>29</v>
      </c>
      <c r="N24" s="22" t="s">
        <v>29</v>
      </c>
      <c r="O24" s="23">
        <v>1.37E7</v>
      </c>
      <c r="P24" s="101"/>
      <c r="Q24" s="102"/>
      <c r="R24" s="102"/>
      <c r="S24" s="340"/>
      <c r="T24" s="487"/>
      <c r="U24" s="141"/>
      <c r="V24" s="141"/>
      <c r="W24" s="422"/>
      <c r="X24" s="476">
        <v>25000.0</v>
      </c>
      <c r="Y24" s="102"/>
      <c r="Z24" s="102"/>
      <c r="AA24" s="102"/>
      <c r="AB24" s="398">
        <v>25000.0</v>
      </c>
      <c r="AC24" s="102"/>
      <c r="AD24" s="102"/>
      <c r="AE24" s="399"/>
      <c r="AF24" s="390">
        <v>20000.0</v>
      </c>
      <c r="AG24" s="77"/>
      <c r="AH24" s="77"/>
      <c r="AI24" s="391"/>
      <c r="AJ24" s="398">
        <v>10000.0</v>
      </c>
      <c r="AK24" s="102"/>
      <c r="AL24" s="102"/>
      <c r="AM24" s="477"/>
    </row>
    <row r="25" ht="15.75" customHeight="1">
      <c r="A25" s="1"/>
      <c r="B25" s="31"/>
      <c r="C25" s="31"/>
      <c r="D25" s="31"/>
      <c r="E25" s="31"/>
      <c r="F25" s="31"/>
      <c r="G25" s="31"/>
      <c r="H25" s="21" t="s">
        <v>60</v>
      </c>
      <c r="I25" s="21" t="s">
        <v>20</v>
      </c>
      <c r="J25" s="50">
        <v>0.0</v>
      </c>
      <c r="K25" s="50">
        <v>0.0</v>
      </c>
      <c r="L25" s="50">
        <v>18.0</v>
      </c>
      <c r="M25" s="22" t="s">
        <v>29</v>
      </c>
      <c r="N25" s="22" t="s">
        <v>29</v>
      </c>
      <c r="O25" s="23">
        <v>7777778.0</v>
      </c>
      <c r="P25" s="150"/>
      <c r="Q25" s="151"/>
      <c r="R25" s="151"/>
      <c r="S25" s="469"/>
      <c r="T25" s="479">
        <v>50000.0</v>
      </c>
      <c r="U25" s="151"/>
      <c r="V25" s="151"/>
      <c r="W25" s="407"/>
      <c r="X25" s="488">
        <v>45000.0</v>
      </c>
      <c r="Y25" s="151"/>
      <c r="Z25" s="151"/>
      <c r="AA25" s="151"/>
      <c r="AB25" s="406">
        <v>45000.0</v>
      </c>
      <c r="AC25" s="151"/>
      <c r="AD25" s="151"/>
      <c r="AE25" s="407"/>
      <c r="AF25" s="400"/>
      <c r="AG25" s="102"/>
      <c r="AH25" s="102"/>
      <c r="AI25" s="143"/>
      <c r="AJ25" s="174"/>
      <c r="AK25" s="151"/>
      <c r="AL25" s="151"/>
      <c r="AM25" s="165"/>
    </row>
    <row r="26" ht="15.75" customHeight="1">
      <c r="A26" s="1"/>
      <c r="B26" s="31"/>
      <c r="C26" s="31"/>
      <c r="D26" s="31"/>
      <c r="E26" s="31"/>
      <c r="F26" s="31"/>
      <c r="G26" s="31"/>
      <c r="H26" s="21" t="s">
        <v>61</v>
      </c>
      <c r="I26" s="21" t="s">
        <v>20</v>
      </c>
      <c r="J26" s="50">
        <v>0.0</v>
      </c>
      <c r="K26" s="50">
        <v>0.0</v>
      </c>
      <c r="L26" s="50">
        <v>6.5</v>
      </c>
      <c r="M26" s="22" t="s">
        <v>29</v>
      </c>
      <c r="N26" s="22" t="s">
        <v>29</v>
      </c>
      <c r="O26" s="23">
        <v>9230000.0</v>
      </c>
      <c r="P26" s="150"/>
      <c r="Q26" s="151"/>
      <c r="R26" s="151"/>
      <c r="S26" s="469"/>
      <c r="T26" s="489"/>
      <c r="U26" s="159"/>
      <c r="V26" s="159"/>
      <c r="W26" s="490"/>
      <c r="X26" s="479">
        <v>30000.0</v>
      </c>
      <c r="Y26" s="151"/>
      <c r="Z26" s="151"/>
      <c r="AA26" s="151"/>
      <c r="AB26" s="406">
        <v>30000.0</v>
      </c>
      <c r="AC26" s="151"/>
      <c r="AD26" s="151"/>
      <c r="AE26" s="407"/>
      <c r="AF26" s="408"/>
      <c r="AG26" s="151"/>
      <c r="AH26" s="151"/>
      <c r="AI26" s="469"/>
      <c r="AJ26" s="174"/>
      <c r="AK26" s="151"/>
      <c r="AL26" s="151"/>
      <c r="AM26" s="165"/>
      <c r="AO26" s="136"/>
    </row>
    <row r="27" ht="15.75" customHeight="1">
      <c r="A27" s="1"/>
      <c r="B27" s="31"/>
      <c r="C27" s="31"/>
      <c r="D27" s="31"/>
      <c r="E27" s="31"/>
      <c r="F27" s="31"/>
      <c r="G27" s="31"/>
      <c r="H27" s="21" t="s">
        <v>62</v>
      </c>
      <c r="I27" s="21" t="s">
        <v>19</v>
      </c>
      <c r="J27" s="50">
        <v>0.0</v>
      </c>
      <c r="K27" s="50">
        <v>0.6</v>
      </c>
      <c r="L27" s="50">
        <v>0.0</v>
      </c>
      <c r="M27" s="22" t="s">
        <v>29</v>
      </c>
      <c r="N27" s="58">
        <v>83333.0</v>
      </c>
      <c r="O27" s="23" t="s">
        <v>29</v>
      </c>
      <c r="P27" s="150"/>
      <c r="Q27" s="151"/>
      <c r="R27" s="151"/>
      <c r="S27" s="469"/>
      <c r="T27" s="489"/>
      <c r="U27" s="159"/>
      <c r="V27" s="159"/>
      <c r="W27" s="490"/>
      <c r="X27" s="479">
        <v>25000.0</v>
      </c>
      <c r="Y27" s="151"/>
      <c r="Z27" s="151"/>
      <c r="AA27" s="151"/>
      <c r="AB27" s="406">
        <v>25000.0</v>
      </c>
      <c r="AC27" s="151"/>
      <c r="AD27" s="151"/>
      <c r="AE27" s="407"/>
      <c r="AF27" s="408"/>
      <c r="AG27" s="151"/>
      <c r="AH27" s="151"/>
      <c r="AI27" s="469"/>
      <c r="AJ27" s="174"/>
      <c r="AK27" s="151"/>
      <c r="AL27" s="151"/>
      <c r="AM27" s="165"/>
    </row>
    <row r="28" ht="15.75" customHeight="1">
      <c r="A28" s="1"/>
      <c r="B28" s="31"/>
      <c r="C28" s="31"/>
      <c r="D28" s="31"/>
      <c r="E28" s="31"/>
      <c r="F28" s="31"/>
      <c r="G28" s="31"/>
      <c r="H28" s="21" t="s">
        <v>63</v>
      </c>
      <c r="I28" s="21" t="s">
        <v>19</v>
      </c>
      <c r="J28" s="50">
        <v>0.0</v>
      </c>
      <c r="K28" s="50">
        <v>0.6</v>
      </c>
      <c r="L28" s="50">
        <v>0.0</v>
      </c>
      <c r="M28" s="22" t="s">
        <v>29</v>
      </c>
      <c r="N28" s="58">
        <v>100000.0</v>
      </c>
      <c r="O28" s="23" t="s">
        <v>29</v>
      </c>
      <c r="P28" s="150"/>
      <c r="Q28" s="151"/>
      <c r="R28" s="151"/>
      <c r="S28" s="469"/>
      <c r="T28" s="489"/>
      <c r="U28" s="159"/>
      <c r="V28" s="159"/>
      <c r="W28" s="490"/>
      <c r="X28" s="491"/>
      <c r="Y28" s="151"/>
      <c r="Z28" s="151"/>
      <c r="AA28" s="151"/>
      <c r="AB28" s="164"/>
      <c r="AC28" s="151"/>
      <c r="AD28" s="151"/>
      <c r="AE28" s="407"/>
      <c r="AF28" s="406">
        <v>40000.0</v>
      </c>
      <c r="AG28" s="151"/>
      <c r="AH28" s="151"/>
      <c r="AI28" s="407"/>
      <c r="AJ28" s="406">
        <v>20000.0</v>
      </c>
      <c r="AK28" s="151"/>
      <c r="AL28" s="151"/>
      <c r="AM28" s="165"/>
    </row>
    <row r="29" ht="15.75" customHeight="1">
      <c r="A29" s="1"/>
      <c r="B29" s="31"/>
      <c r="C29" s="31"/>
      <c r="D29" s="31"/>
      <c r="E29" s="32"/>
      <c r="F29" s="32"/>
      <c r="G29" s="32"/>
      <c r="H29" s="21" t="s">
        <v>64</v>
      </c>
      <c r="I29" s="21" t="s">
        <v>19</v>
      </c>
      <c r="J29" s="50">
        <v>0.0</v>
      </c>
      <c r="K29" s="50">
        <v>0.45</v>
      </c>
      <c r="L29" s="163">
        <v>0.0</v>
      </c>
      <c r="M29" s="22" t="s">
        <v>29</v>
      </c>
      <c r="N29" s="58">
        <v>200000.0</v>
      </c>
      <c r="O29" s="23" t="s">
        <v>29</v>
      </c>
      <c r="P29" s="150"/>
      <c r="Q29" s="151"/>
      <c r="R29" s="151"/>
      <c r="S29" s="469"/>
      <c r="T29" s="489"/>
      <c r="U29" s="159"/>
      <c r="V29" s="159"/>
      <c r="W29" s="490"/>
      <c r="X29" s="491"/>
      <c r="Y29" s="151"/>
      <c r="Z29" s="151"/>
      <c r="AA29" s="151"/>
      <c r="AB29" s="164"/>
      <c r="AC29" s="151"/>
      <c r="AD29" s="151"/>
      <c r="AE29" s="407"/>
      <c r="AF29" s="406">
        <v>60000.0</v>
      </c>
      <c r="AG29" s="151"/>
      <c r="AH29" s="151"/>
      <c r="AI29" s="407"/>
      <c r="AJ29" s="406">
        <v>30000.0</v>
      </c>
      <c r="AK29" s="151"/>
      <c r="AL29" s="151"/>
      <c r="AM29" s="165"/>
      <c r="AN29" s="136"/>
    </row>
    <row r="30" ht="15.75" customHeight="1">
      <c r="A30" s="1"/>
      <c r="B30" s="31"/>
      <c r="C30" s="31"/>
      <c r="D30" s="31"/>
      <c r="E30" s="39" t="s">
        <v>47</v>
      </c>
      <c r="F30" s="17">
        <v>120000.0</v>
      </c>
      <c r="G30" s="20" t="s">
        <v>65</v>
      </c>
      <c r="H30" s="20" t="s">
        <v>43</v>
      </c>
      <c r="I30" s="20" t="s">
        <v>44</v>
      </c>
      <c r="J30" s="19">
        <f t="shared" ref="J30:J32" si="1">F30/M30</f>
        <v>0.6</v>
      </c>
      <c r="K30" s="19">
        <v>0.0</v>
      </c>
      <c r="L30" s="166">
        <v>0.0</v>
      </c>
      <c r="M30" s="58">
        <v>200000.0</v>
      </c>
      <c r="N30" s="58" t="s">
        <v>29</v>
      </c>
      <c r="O30" s="23" t="s">
        <v>29</v>
      </c>
      <c r="P30" s="167"/>
      <c r="Q30" s="168"/>
      <c r="R30" s="168"/>
      <c r="S30" s="168"/>
      <c r="T30" s="492"/>
      <c r="U30" s="168"/>
      <c r="V30" s="168"/>
      <c r="W30" s="493"/>
      <c r="X30" s="352"/>
      <c r="Y30" s="151"/>
      <c r="Z30" s="151"/>
      <c r="AA30" s="469"/>
      <c r="AB30" s="174"/>
      <c r="AC30" s="151"/>
      <c r="AD30" s="151"/>
      <c r="AE30" s="407"/>
      <c r="AF30" s="488">
        <f>40000*2</f>
        <v>80000</v>
      </c>
      <c r="AG30" s="151"/>
      <c r="AH30" s="151"/>
      <c r="AI30" s="151"/>
      <c r="AJ30" s="406">
        <v>40000.0</v>
      </c>
      <c r="AK30" s="151"/>
      <c r="AL30" s="151"/>
      <c r="AM30" s="165"/>
      <c r="AN30" s="136"/>
    </row>
    <row r="31" ht="15.75" customHeight="1">
      <c r="A31" s="1"/>
      <c r="B31" s="31"/>
      <c r="C31" s="31"/>
      <c r="D31" s="31"/>
      <c r="E31" s="39" t="s">
        <v>47</v>
      </c>
      <c r="F31" s="17">
        <v>350000.0</v>
      </c>
      <c r="G31" s="20" t="s">
        <v>66</v>
      </c>
      <c r="H31" s="20" t="s">
        <v>43</v>
      </c>
      <c r="I31" s="20" t="s">
        <v>44</v>
      </c>
      <c r="J31" s="19">
        <f t="shared" si="1"/>
        <v>0.5833333333</v>
      </c>
      <c r="K31" s="19">
        <v>0.0</v>
      </c>
      <c r="L31" s="166">
        <v>0.0</v>
      </c>
      <c r="M31" s="58">
        <v>600000.0</v>
      </c>
      <c r="N31" s="58" t="s">
        <v>29</v>
      </c>
      <c r="O31" s="23" t="s">
        <v>29</v>
      </c>
      <c r="P31" s="167"/>
      <c r="Q31" s="168"/>
      <c r="R31" s="168"/>
      <c r="S31" s="168"/>
      <c r="T31" s="491"/>
      <c r="U31" s="168"/>
      <c r="V31" s="168"/>
      <c r="W31" s="493"/>
      <c r="X31" s="352"/>
      <c r="Y31" s="151"/>
      <c r="Z31" s="151"/>
      <c r="AA31" s="469"/>
      <c r="AB31" s="174"/>
      <c r="AC31" s="151"/>
      <c r="AD31" s="151"/>
      <c r="AE31" s="407"/>
      <c r="AF31" s="488">
        <f>116666.667*2</f>
        <v>233333.334</v>
      </c>
      <c r="AG31" s="151"/>
      <c r="AH31" s="151"/>
      <c r="AI31" s="151"/>
      <c r="AJ31" s="406">
        <v>116666.667</v>
      </c>
      <c r="AK31" s="151"/>
      <c r="AL31" s="151"/>
      <c r="AM31" s="165"/>
      <c r="AN31" s="136"/>
    </row>
    <row r="32" ht="15.75" customHeight="1">
      <c r="A32" s="1"/>
      <c r="B32" s="32"/>
      <c r="C32" s="32"/>
      <c r="D32" s="32"/>
      <c r="E32" s="18" t="s">
        <v>47</v>
      </c>
      <c r="F32" s="176">
        <v>291759.0</v>
      </c>
      <c r="G32" s="20" t="s">
        <v>67</v>
      </c>
      <c r="H32" s="20" t="s">
        <v>43</v>
      </c>
      <c r="I32" s="41" t="s">
        <v>44</v>
      </c>
      <c r="J32" s="176">
        <f t="shared" si="1"/>
        <v>2.91759</v>
      </c>
      <c r="K32" s="176">
        <v>0.0</v>
      </c>
      <c r="L32" s="177">
        <v>0.0</v>
      </c>
      <c r="M32" s="58">
        <v>100000.0</v>
      </c>
      <c r="N32" s="60" t="s">
        <v>29</v>
      </c>
      <c r="O32" s="61" t="s">
        <v>29</v>
      </c>
      <c r="P32" s="494"/>
      <c r="Q32" s="495"/>
      <c r="R32" s="495"/>
      <c r="S32" s="495"/>
      <c r="T32" s="496"/>
      <c r="U32" s="495"/>
      <c r="V32" s="495"/>
      <c r="W32" s="497"/>
      <c r="X32" s="498"/>
      <c r="Y32" s="495"/>
      <c r="Z32" s="495"/>
      <c r="AA32" s="497"/>
      <c r="AB32" s="191"/>
      <c r="AC32" s="495"/>
      <c r="AD32" s="495"/>
      <c r="AE32" s="499"/>
      <c r="AF32" s="500">
        <f>97253*2</f>
        <v>194506</v>
      </c>
      <c r="AG32" s="495"/>
      <c r="AH32" s="495"/>
      <c r="AI32" s="499"/>
      <c r="AJ32" s="500">
        <v>97253.0</v>
      </c>
      <c r="AK32" s="495"/>
      <c r="AL32" s="495"/>
      <c r="AM32" s="501"/>
      <c r="AN32" s="136"/>
      <c r="AO32" s="136"/>
    </row>
    <row r="33" ht="21.75" customHeight="1">
      <c r="A33" s="1"/>
      <c r="B33" s="193" t="s">
        <v>68</v>
      </c>
      <c r="C33" s="194"/>
      <c r="D33" s="195"/>
      <c r="E33" s="196"/>
      <c r="F33" s="197">
        <f>SUM(F10:F32)+F38+C39</f>
        <v>4428575.999</v>
      </c>
      <c r="G33" s="198"/>
      <c r="H33" s="196"/>
      <c r="I33" s="196"/>
      <c r="J33" s="198"/>
      <c r="K33" s="199"/>
      <c r="L33" s="200"/>
      <c r="M33" s="201">
        <f>SUM(M12:M13,M19,M21,M23,M32)</f>
        <v>20873333</v>
      </c>
      <c r="N33" s="201">
        <f>SUM(N22:N29)</f>
        <v>383333</v>
      </c>
      <c r="O33" s="201">
        <f>SUM(O10:O11,O14:O15,O17:O18,O20,O22,O24:O26)</f>
        <v>406097778</v>
      </c>
      <c r="P33" s="502">
        <f>SUM(P10:P32)</f>
        <v>766616.003</v>
      </c>
      <c r="Q33" s="503"/>
      <c r="R33" s="503"/>
      <c r="S33" s="503"/>
      <c r="T33" s="504">
        <f>SUM(T10:T32)</f>
        <v>803069.003</v>
      </c>
      <c r="U33" s="503"/>
      <c r="V33" s="503"/>
      <c r="W33" s="503"/>
      <c r="X33" s="504">
        <f>SUM(X10:X32)</f>
        <v>777965.333</v>
      </c>
      <c r="Y33" s="503"/>
      <c r="Z33" s="503"/>
      <c r="AA33" s="503"/>
      <c r="AB33" s="504">
        <f>SUM(AB10:AB32)</f>
        <v>620504.33</v>
      </c>
      <c r="AC33" s="503"/>
      <c r="AD33" s="503"/>
      <c r="AE33" s="503"/>
      <c r="AF33" s="504">
        <f>SUM(AF10:AF32)</f>
        <v>969817.664</v>
      </c>
      <c r="AG33" s="503"/>
      <c r="AH33" s="503"/>
      <c r="AI33" s="503"/>
      <c r="AJ33" s="504">
        <f>SUM(AJ12:AJ32)</f>
        <v>340603.667</v>
      </c>
      <c r="AK33" s="503"/>
      <c r="AL33" s="503"/>
      <c r="AM33" s="505"/>
      <c r="AO33" s="136"/>
    </row>
    <row r="34" ht="15.75" customHeight="1">
      <c r="A34" s="1"/>
      <c r="B34" s="1"/>
      <c r="C34" s="452"/>
      <c r="D34" s="1"/>
      <c r="E34" s="1"/>
      <c r="F34" s="209"/>
      <c r="G34" s="1"/>
      <c r="H34" s="1"/>
      <c r="I34" s="1"/>
      <c r="J34" s="1"/>
      <c r="K34" s="1"/>
      <c r="L34" s="1"/>
      <c r="M34" s="1"/>
      <c r="N34" s="1"/>
      <c r="O34" s="210" t="s">
        <v>104</v>
      </c>
      <c r="P34" s="506">
        <v>766616.0</v>
      </c>
      <c r="Q34" s="507"/>
      <c r="R34" s="507"/>
      <c r="S34" s="507"/>
      <c r="T34" s="506">
        <v>883069.0</v>
      </c>
      <c r="U34" s="507"/>
      <c r="V34" s="507"/>
      <c r="W34" s="507"/>
      <c r="X34" s="506">
        <v>1061885.0</v>
      </c>
      <c r="Y34" s="507"/>
      <c r="Z34" s="507"/>
      <c r="AA34" s="507"/>
      <c r="AB34" s="508">
        <v>874424.0</v>
      </c>
      <c r="AC34" s="507"/>
      <c r="AD34" s="507"/>
      <c r="AE34" s="507"/>
      <c r="AF34" s="508">
        <v>755898.0</v>
      </c>
      <c r="AG34" s="507"/>
      <c r="AH34" s="507"/>
      <c r="AI34" s="507"/>
      <c r="AJ34" s="508">
        <v>86684.0</v>
      </c>
      <c r="AK34" s="507"/>
      <c r="AL34" s="507"/>
      <c r="AM34" s="507"/>
    </row>
    <row r="35" ht="15.75" customHeight="1">
      <c r="A35" s="1"/>
      <c r="B35" s="1"/>
      <c r="C35" s="1"/>
      <c r="D35" s="1"/>
      <c r="E35" s="1"/>
      <c r="F35" s="214"/>
      <c r="G35" s="1"/>
      <c r="H35" s="1"/>
      <c r="I35" s="1"/>
      <c r="J35" s="1"/>
      <c r="K35" s="215"/>
      <c r="L35" s="1"/>
      <c r="M35" s="1"/>
      <c r="N35" s="1"/>
      <c r="O35" s="215" t="s">
        <v>105</v>
      </c>
      <c r="P35" s="216">
        <f>P33-P34</f>
        <v>0.003000000026</v>
      </c>
      <c r="T35" s="216">
        <f>T33-T34</f>
        <v>-79999.997</v>
      </c>
      <c r="X35" s="216">
        <f>X33-X34</f>
        <v>-283919.667</v>
      </c>
      <c r="AB35" s="217">
        <f>AB33-AB34</f>
        <v>-253919.67</v>
      </c>
      <c r="AF35" s="217">
        <f>AF33-AF34</f>
        <v>213919.664</v>
      </c>
      <c r="AJ35" s="217">
        <f>AJ34-AJ33</f>
        <v>-253919.667</v>
      </c>
    </row>
    <row r="36" ht="15.75" customHeight="1">
      <c r="A36" s="1"/>
      <c r="B36" s="1"/>
      <c r="C36" s="1"/>
      <c r="D36" s="1"/>
      <c r="E36" s="1"/>
      <c r="F36" s="218"/>
      <c r="G36" s="1"/>
      <c r="H36" s="1"/>
      <c r="I36" s="1"/>
      <c r="J36" s="1"/>
      <c r="K36" s="1"/>
      <c r="L36" s="1"/>
      <c r="M36" s="1"/>
      <c r="N36" s="1"/>
      <c r="O36" s="219" t="s">
        <v>106</v>
      </c>
      <c r="P36" s="220"/>
      <c r="T36" s="220">
        <v>80000.0</v>
      </c>
      <c r="X36" s="220">
        <v>30000.0</v>
      </c>
      <c r="AB36" s="220"/>
      <c r="AF36" s="220">
        <v>40000.0</v>
      </c>
      <c r="AJ36" s="274"/>
    </row>
    <row r="37" ht="15.75" customHeight="1">
      <c r="A37" s="1"/>
      <c r="B37" s="1"/>
      <c r="C37" s="1"/>
      <c r="D37" s="1"/>
      <c r="E37" s="1"/>
      <c r="F37" s="1"/>
      <c r="G37" s="214"/>
      <c r="H37" s="221"/>
      <c r="I37" s="1"/>
      <c r="J37" s="1"/>
      <c r="K37" s="1"/>
      <c r="L37" s="1"/>
      <c r="M37" s="1"/>
      <c r="N37" s="1"/>
      <c r="O37" s="1"/>
      <c r="P37" s="509"/>
    </row>
    <row r="38" ht="15.75" customHeight="1">
      <c r="A38" s="1"/>
      <c r="B38" s="1"/>
      <c r="C38" s="222"/>
      <c r="D38" s="1"/>
      <c r="E38" s="214" t="s">
        <v>70</v>
      </c>
      <c r="F38" s="209">
        <v>150000.0</v>
      </c>
      <c r="G38" s="223"/>
      <c r="H38" s="214"/>
      <c r="I38" s="1"/>
      <c r="J38" s="1"/>
      <c r="K38" s="1"/>
      <c r="L38" s="1"/>
      <c r="M38" s="1"/>
      <c r="N38" s="1" t="s">
        <v>107</v>
      </c>
      <c r="O38" s="219" t="s">
        <v>108</v>
      </c>
      <c r="P38" s="510">
        <f>SUM(P33,T33,X33,T36,X36)</f>
        <v>2457650.339</v>
      </c>
      <c r="AB38" s="224">
        <f>SUM(AB33,AF33,AJ33,AF36)</f>
        <v>1970925.661</v>
      </c>
    </row>
    <row r="39" ht="15.75" customHeight="1">
      <c r="A39" s="1"/>
      <c r="B39" s="1"/>
      <c r="C39" s="222"/>
      <c r="D39" s="1"/>
      <c r="E39" s="1"/>
      <c r="F39" s="223"/>
      <c r="G39" s="1"/>
      <c r="H39" s="1"/>
      <c r="I39" s="1"/>
      <c r="J39" s="1"/>
      <c r="K39" s="1"/>
      <c r="L39" s="1"/>
      <c r="M39" s="1"/>
      <c r="N39" s="1" t="s">
        <v>109</v>
      </c>
      <c r="O39" s="1" t="s">
        <v>104</v>
      </c>
      <c r="P39" s="225">
        <f>SUM(P34,T34,X34)</f>
        <v>2711570</v>
      </c>
      <c r="AB39" s="226">
        <f>SUM(AB34,AF34,AJ34)</f>
        <v>1717006</v>
      </c>
    </row>
    <row r="40" ht="15.75" customHeight="1">
      <c r="A40" s="1"/>
      <c r="B40" s="1"/>
      <c r="C40" s="1"/>
      <c r="D40" s="1"/>
      <c r="E40" s="1"/>
      <c r="F40" s="223"/>
      <c r="G40" s="1"/>
      <c r="H40" s="1"/>
      <c r="I40" s="1"/>
      <c r="J40" s="20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227"/>
      <c r="F41" s="1"/>
      <c r="G41" s="1"/>
      <c r="H41" s="1"/>
      <c r="I41" s="1"/>
      <c r="J41" s="1"/>
      <c r="K41" s="21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16"/>
    </row>
    <row r="42" ht="15.75" customHeight="1">
      <c r="A42" s="1"/>
      <c r="B42" s="1"/>
      <c r="C42" s="1"/>
      <c r="D42" s="1"/>
      <c r="E42" s="229"/>
      <c r="F42" s="1"/>
      <c r="G42" s="1"/>
      <c r="H42" s="214"/>
      <c r="I42" s="214"/>
      <c r="J42" s="21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30"/>
    </row>
    <row r="43" ht="15.75" customHeight="1">
      <c r="A43" s="1"/>
      <c r="B43" s="1"/>
      <c r="C43" s="1"/>
      <c r="D43" s="1"/>
      <c r="E43" s="229"/>
      <c r="F43" s="1"/>
      <c r="G43" s="1"/>
      <c r="H43" s="1"/>
      <c r="I43" s="1"/>
      <c r="J43" s="1"/>
      <c r="K43" s="23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22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229"/>
      <c r="F45" s="1"/>
      <c r="G45" s="1"/>
      <c r="H45" s="1"/>
      <c r="I45" s="1"/>
      <c r="J45" s="1"/>
      <c r="K45" s="221"/>
      <c r="L45" s="231" t="s">
        <v>27</v>
      </c>
      <c r="M45" s="209">
        <v>140200.0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227"/>
      <c r="F46" s="1"/>
      <c r="G46" s="1"/>
      <c r="H46" s="1"/>
      <c r="I46" s="1"/>
      <c r="J46" s="1"/>
      <c r="K46" s="221"/>
      <c r="L46" s="231" t="s">
        <v>110</v>
      </c>
      <c r="M46" s="209">
        <v>50000.0</v>
      </c>
      <c r="N46" s="209">
        <v>1.2</v>
      </c>
      <c r="O46" s="215">
        <f>M46/N46</f>
        <v>41666.66667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227"/>
      <c r="F47" s="1"/>
      <c r="G47" s="1"/>
      <c r="H47" s="1">
        <v>327615.0</v>
      </c>
      <c r="I47" s="1">
        <f>H47*0.4</f>
        <v>131046</v>
      </c>
      <c r="J47" s="1"/>
      <c r="K47" s="1"/>
      <c r="L47" s="1" t="s">
        <v>111</v>
      </c>
      <c r="M47" s="209">
        <f>M45-M46</f>
        <v>90200</v>
      </c>
      <c r="N47" s="209">
        <v>2.0</v>
      </c>
      <c r="O47" s="232">
        <f>M47/N47*1000</f>
        <v>45100000</v>
      </c>
      <c r="P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22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09">
        <f>I47*4.17</f>
        <v>546461.82</v>
      </c>
      <c r="J49" s="1"/>
      <c r="K49" s="1"/>
      <c r="L49" s="1"/>
      <c r="M49" s="1"/>
      <c r="N49" s="1"/>
      <c r="O49" s="1" t="s">
        <v>34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5">
    <mergeCell ref="C10:C16"/>
    <mergeCell ref="D10:D16"/>
    <mergeCell ref="P10:S10"/>
    <mergeCell ref="T10:W10"/>
    <mergeCell ref="X10:AA10"/>
    <mergeCell ref="AB10:AE10"/>
    <mergeCell ref="P8:S8"/>
    <mergeCell ref="P11:S11"/>
    <mergeCell ref="T11:W11"/>
    <mergeCell ref="X11:AA11"/>
    <mergeCell ref="AF12:AI12"/>
    <mergeCell ref="AJ12:AM12"/>
    <mergeCell ref="AF16:AI16"/>
    <mergeCell ref="AJ16:AM16"/>
    <mergeCell ref="E13:E15"/>
    <mergeCell ref="F13:F15"/>
    <mergeCell ref="AB11:AE11"/>
    <mergeCell ref="P12:S12"/>
    <mergeCell ref="T12:W12"/>
    <mergeCell ref="X12:AA12"/>
    <mergeCell ref="AB12:AE12"/>
    <mergeCell ref="T13:W13"/>
    <mergeCell ref="X13:AA13"/>
    <mergeCell ref="T14:W14"/>
    <mergeCell ref="X14:AA14"/>
    <mergeCell ref="T15:W15"/>
    <mergeCell ref="X15:AA15"/>
    <mergeCell ref="AB15:AE15"/>
    <mergeCell ref="AF15:AI15"/>
    <mergeCell ref="P16:S16"/>
    <mergeCell ref="T16:W16"/>
    <mergeCell ref="X16:AA16"/>
    <mergeCell ref="AB16:AE16"/>
    <mergeCell ref="P15:S15"/>
    <mergeCell ref="P23:S23"/>
    <mergeCell ref="P24:S24"/>
    <mergeCell ref="P25:S25"/>
    <mergeCell ref="P26:S26"/>
    <mergeCell ref="P27:S27"/>
    <mergeCell ref="P28:S28"/>
    <mergeCell ref="P29:S29"/>
    <mergeCell ref="P33:S33"/>
    <mergeCell ref="P34:S34"/>
    <mergeCell ref="P35:S35"/>
    <mergeCell ref="P36:S36"/>
    <mergeCell ref="G13:G15"/>
    <mergeCell ref="P13:S13"/>
    <mergeCell ref="P14:S14"/>
    <mergeCell ref="B17:B32"/>
    <mergeCell ref="C17:C32"/>
    <mergeCell ref="D17:D32"/>
    <mergeCell ref="G23:G29"/>
    <mergeCell ref="P32:S32"/>
    <mergeCell ref="X24:AA24"/>
    <mergeCell ref="T25:W25"/>
    <mergeCell ref="X25:AA25"/>
    <mergeCell ref="AB25:AE25"/>
    <mergeCell ref="AF25:AI25"/>
    <mergeCell ref="AJ25:AM25"/>
    <mergeCell ref="X23:AA23"/>
    <mergeCell ref="AB23:AE23"/>
    <mergeCell ref="AF23:AI23"/>
    <mergeCell ref="AJ23:AM23"/>
    <mergeCell ref="AB24:AE24"/>
    <mergeCell ref="AF24:AI24"/>
    <mergeCell ref="AJ24:AM24"/>
    <mergeCell ref="T17:W17"/>
    <mergeCell ref="X17:AA17"/>
    <mergeCell ref="AB17:AE17"/>
    <mergeCell ref="AF17:AI17"/>
    <mergeCell ref="AJ17:AM17"/>
    <mergeCell ref="T8:W8"/>
    <mergeCell ref="X8:AA8"/>
    <mergeCell ref="AB8:AE8"/>
    <mergeCell ref="AF8:AI8"/>
    <mergeCell ref="AJ8:AM8"/>
    <mergeCell ref="B10:B16"/>
    <mergeCell ref="AF10:AI10"/>
    <mergeCell ref="T19:W19"/>
    <mergeCell ref="X19:AA19"/>
    <mergeCell ref="AB19:AE19"/>
    <mergeCell ref="AF19:AI19"/>
    <mergeCell ref="AJ19:AM19"/>
    <mergeCell ref="AB20:AE20"/>
    <mergeCell ref="AF20:AI20"/>
    <mergeCell ref="AJ20:AM20"/>
    <mergeCell ref="P17:S17"/>
    <mergeCell ref="P18:S18"/>
    <mergeCell ref="T18:W18"/>
    <mergeCell ref="X18:AA18"/>
    <mergeCell ref="AB18:AE18"/>
    <mergeCell ref="AF18:AI18"/>
    <mergeCell ref="AJ18:AM18"/>
    <mergeCell ref="P19:S19"/>
    <mergeCell ref="P20:S20"/>
    <mergeCell ref="T21:W21"/>
    <mergeCell ref="X21:AA21"/>
    <mergeCell ref="AB21:AE21"/>
    <mergeCell ref="AF21:AI21"/>
    <mergeCell ref="AJ21:AM21"/>
    <mergeCell ref="E23:E29"/>
    <mergeCell ref="F23:F29"/>
    <mergeCell ref="X29:AA29"/>
    <mergeCell ref="AB29:AE29"/>
    <mergeCell ref="AF29:AI29"/>
    <mergeCell ref="AJ29:AM29"/>
    <mergeCell ref="P21:S21"/>
    <mergeCell ref="P22:S22"/>
    <mergeCell ref="T22:W22"/>
    <mergeCell ref="X22:AA22"/>
    <mergeCell ref="AB22:AE22"/>
    <mergeCell ref="AF22:AI22"/>
    <mergeCell ref="AJ22:AM22"/>
    <mergeCell ref="T33:W33"/>
    <mergeCell ref="X33:AA33"/>
    <mergeCell ref="AB33:AE33"/>
    <mergeCell ref="AF33:AI33"/>
    <mergeCell ref="AJ33:AM33"/>
    <mergeCell ref="X34:AA34"/>
    <mergeCell ref="AJ34:AM34"/>
    <mergeCell ref="AF36:AI36"/>
    <mergeCell ref="AJ36:AM36"/>
    <mergeCell ref="P37:AA37"/>
    <mergeCell ref="P38:AA38"/>
    <mergeCell ref="AB38:AM38"/>
    <mergeCell ref="P39:AA39"/>
    <mergeCell ref="AB39:AM39"/>
    <mergeCell ref="Y41:AA41"/>
    <mergeCell ref="Y42:AA42"/>
    <mergeCell ref="T34:W34"/>
    <mergeCell ref="T35:W35"/>
    <mergeCell ref="X35:AA35"/>
    <mergeCell ref="AB35:AE35"/>
    <mergeCell ref="AF35:AI35"/>
    <mergeCell ref="AJ35:AM35"/>
    <mergeCell ref="T36:W36"/>
    <mergeCell ref="X26:AA26"/>
    <mergeCell ref="AB26:AE26"/>
    <mergeCell ref="AF26:AI26"/>
    <mergeCell ref="AJ26:AM26"/>
    <mergeCell ref="AB27:AE27"/>
    <mergeCell ref="AF27:AI27"/>
    <mergeCell ref="AJ27:AM27"/>
    <mergeCell ref="AF30:AI30"/>
    <mergeCell ref="AJ30:AM30"/>
    <mergeCell ref="X27:AA27"/>
    <mergeCell ref="X28:AA28"/>
    <mergeCell ref="AB28:AE28"/>
    <mergeCell ref="AF28:AI28"/>
    <mergeCell ref="AJ28:AM28"/>
    <mergeCell ref="X30:AA30"/>
    <mergeCell ref="AB30:AE30"/>
    <mergeCell ref="AF32:AI32"/>
    <mergeCell ref="AJ32:AM32"/>
    <mergeCell ref="X31:AA31"/>
    <mergeCell ref="AB31:AE31"/>
    <mergeCell ref="AF31:AI31"/>
    <mergeCell ref="AJ31:AM31"/>
    <mergeCell ref="T32:W32"/>
    <mergeCell ref="X32:AA32"/>
    <mergeCell ref="AB32:AE32"/>
    <mergeCell ref="AB34:AE34"/>
    <mergeCell ref="AF34:AI34"/>
    <mergeCell ref="X36:AA36"/>
    <mergeCell ref="AB36:AE3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21.86"/>
    <col customWidth="1" min="3" max="3" width="19.71"/>
    <col customWidth="1" min="4" max="4" width="17.86"/>
    <col customWidth="1" min="5" max="6" width="10.71"/>
  </cols>
  <sheetData>
    <row r="1" ht="12.75" customHeight="1"/>
    <row r="2" ht="12.75" customHeight="1">
      <c r="C2" s="511" t="s">
        <v>112</v>
      </c>
      <c r="D2" s="512" t="s">
        <v>113</v>
      </c>
      <c r="E2" s="513" t="s">
        <v>90</v>
      </c>
    </row>
    <row r="3" ht="12.75" customHeight="1">
      <c r="B3" s="514" t="s">
        <v>114</v>
      </c>
      <c r="C3" s="515">
        <f>BRA!O10</f>
        <v>130000000</v>
      </c>
      <c r="D3" s="516">
        <v>6.9389954E7</v>
      </c>
      <c r="E3" s="517">
        <f t="shared" ref="E3:E6" si="1">D3/C3</f>
        <v>0.5337688769</v>
      </c>
    </row>
    <row r="4" ht="12.75" customHeight="1">
      <c r="B4" s="518" t="s">
        <v>115</v>
      </c>
      <c r="C4" s="519">
        <f>BRA!O11</f>
        <v>12500000</v>
      </c>
      <c r="D4" s="520">
        <v>9577847.0</v>
      </c>
      <c r="E4" s="521">
        <f t="shared" si="1"/>
        <v>0.76622776</v>
      </c>
    </row>
    <row r="5" ht="12.75" customHeight="1">
      <c r="B5" s="518" t="s">
        <v>116</v>
      </c>
      <c r="C5" s="519">
        <f>BRA!M12</f>
        <v>9000000</v>
      </c>
      <c r="D5" s="520">
        <v>4697832.0</v>
      </c>
      <c r="E5" s="521">
        <f t="shared" si="1"/>
        <v>0.5219813333</v>
      </c>
    </row>
    <row r="6" ht="12.75" customHeight="1">
      <c r="B6" s="522" t="s">
        <v>117</v>
      </c>
      <c r="C6" s="523">
        <f>BRA!M16</f>
        <v>450000</v>
      </c>
      <c r="D6" s="524">
        <v>407932.0</v>
      </c>
      <c r="E6" s="525">
        <f t="shared" si="1"/>
        <v>0.9065155556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24.14"/>
    <col customWidth="1" min="3" max="3" width="19.71"/>
    <col customWidth="1" min="4" max="4" width="12.86"/>
    <col customWidth="1" min="5" max="5" width="24.14"/>
    <col customWidth="1" min="6" max="6" width="19.14"/>
    <col customWidth="1" min="7" max="7" width="10.71"/>
    <col customWidth="1" min="8" max="8" width="22.43"/>
    <col customWidth="1" min="9" max="9" width="13.86"/>
    <col customWidth="1" min="10" max="12" width="10.71"/>
  </cols>
  <sheetData>
    <row r="1" ht="12.75" customHeight="1"/>
    <row r="2" ht="12.75" customHeight="1">
      <c r="B2" s="130" t="s">
        <v>118</v>
      </c>
      <c r="E2" s="130" t="s">
        <v>119</v>
      </c>
    </row>
    <row r="3" ht="16.5" customHeight="1">
      <c r="B3" s="526" t="s">
        <v>120</v>
      </c>
      <c r="C3" s="527" t="s">
        <v>121</v>
      </c>
      <c r="E3" s="526" t="s">
        <v>120</v>
      </c>
      <c r="F3" s="527" t="s">
        <v>121</v>
      </c>
    </row>
    <row r="4" ht="16.5" customHeight="1">
      <c r="B4" s="528" t="s">
        <v>122</v>
      </c>
      <c r="C4" s="529">
        <f>BRA!F10+BRA!F17</f>
        <v>517035</v>
      </c>
      <c r="E4" s="528" t="s">
        <v>122</v>
      </c>
      <c r="F4" s="529">
        <f>SUM('NOVO PLANO DE MIDIA JUL | AGO'!F10:F11,'NOVO PLANO DE MIDIA JUL | AGO'!F14:F15,'NOVO PLANO DE MIDIA MAR | JUN'!F10:F11,'NOVO PLANO DE MIDIA MAR | JUN'!F24:F25)</f>
        <v>600718.34</v>
      </c>
      <c r="G4" s="530">
        <f>F4/C4</f>
        <v>1.16185237</v>
      </c>
      <c r="H4" s="130" t="s">
        <v>123</v>
      </c>
      <c r="I4" s="531" t="str">
        <f>'NOVO PLANO DE MIDIA JUL | AGO'!#REF!</f>
        <v>#ERROR!</v>
      </c>
      <c r="J4" s="530" t="str">
        <f>I4/F4</f>
        <v>#ERROR!</v>
      </c>
    </row>
    <row r="5" ht="16.5" customHeight="1">
      <c r="B5" s="528" t="s">
        <v>124</v>
      </c>
      <c r="C5" s="529">
        <f>BRA!F18</f>
        <v>244999.999</v>
      </c>
      <c r="E5" s="528" t="s">
        <v>124</v>
      </c>
      <c r="F5" s="529">
        <f>SUM('NOVO PLANO DE MIDIA JUL | AGO'!F16:F17,'NOVO PLANO DE MIDIA MAR | JUN'!F26:F27)</f>
        <v>164326.33</v>
      </c>
      <c r="H5" s="130" t="s">
        <v>125</v>
      </c>
      <c r="I5" s="531" t="str">
        <f>F4-I4</f>
        <v>#ERROR!</v>
      </c>
      <c r="J5" s="530" t="str">
        <f>I5/F4</f>
        <v>#ERROR!</v>
      </c>
      <c r="K5" s="130"/>
      <c r="L5" s="130"/>
    </row>
    <row r="6" ht="16.5" customHeight="1">
      <c r="B6" s="528" t="s">
        <v>126</v>
      </c>
      <c r="C6" s="529">
        <f>BRA!F11</f>
        <v>200000</v>
      </c>
      <c r="E6" s="528" t="s">
        <v>126</v>
      </c>
      <c r="F6" s="529">
        <f>SUM('NOVO PLANO DE MIDIA MAR | JUN'!F12:F13)</f>
        <v>160000</v>
      </c>
      <c r="I6" s="130"/>
    </row>
    <row r="7" ht="16.5" customHeight="1">
      <c r="B7" s="528" t="s">
        <v>127</v>
      </c>
      <c r="C7" s="529">
        <f>BRA!F12+BRA!F19</f>
        <v>745000</v>
      </c>
      <c r="E7" s="528" t="s">
        <v>127</v>
      </c>
      <c r="F7" s="529">
        <f>SUM('NOVO PLANO DE MIDIA JUL | AGO'!F12:F13,'NOVO PLANO DE MIDIA JUL | AGO'!F18:F19,'NOVO PLANO DE MIDIA MAR | JUN'!F14:F15,'NOVO PLANO DE MIDIA MAR | JUN'!F28:F29)</f>
        <v>839629.5</v>
      </c>
      <c r="G7" s="530">
        <f>F7/C7</f>
        <v>1.127019463</v>
      </c>
      <c r="I7" s="130"/>
    </row>
    <row r="8" ht="16.5" customHeight="1">
      <c r="B8" s="528" t="s">
        <v>128</v>
      </c>
      <c r="C8" s="529">
        <f>BRA!F13+BRA!F23</f>
        <v>900000</v>
      </c>
      <c r="E8" s="528" t="s">
        <v>128</v>
      </c>
      <c r="F8" s="529">
        <f>C8</f>
        <v>900000</v>
      </c>
      <c r="I8" s="130"/>
      <c r="K8" s="130"/>
    </row>
    <row r="9" ht="16.5" customHeight="1">
      <c r="B9" s="528" t="s">
        <v>129</v>
      </c>
      <c r="C9" s="529">
        <f>BRA!F20</f>
        <v>299782</v>
      </c>
      <c r="E9" s="528" t="s">
        <v>129</v>
      </c>
      <c r="F9" s="529">
        <f>'NOVO PLANO DE MIDIA JUL | AGO'!F20</f>
        <v>143861</v>
      </c>
      <c r="J9" s="530"/>
      <c r="K9" s="530"/>
      <c r="L9" s="530"/>
    </row>
    <row r="10" ht="16.5" customHeight="1">
      <c r="B10" s="528" t="s">
        <v>130</v>
      </c>
      <c r="C10" s="529">
        <f>BRA!F21</f>
        <v>30000</v>
      </c>
      <c r="E10" s="528" t="s">
        <v>130</v>
      </c>
      <c r="F10" s="529">
        <f>'NOVO PLANO DE MIDIA MAR | JUN'!F32</f>
        <v>23000</v>
      </c>
    </row>
    <row r="11" ht="16.5" customHeight="1">
      <c r="B11" s="528" t="s">
        <v>131</v>
      </c>
      <c r="C11" s="529">
        <f>BRA!F16</f>
        <v>580000</v>
      </c>
      <c r="E11" s="528" t="s">
        <v>131</v>
      </c>
      <c r="F11" s="529">
        <f>C11</f>
        <v>580000</v>
      </c>
    </row>
    <row r="12" ht="16.5" customHeight="1">
      <c r="B12" s="528" t="s">
        <v>132</v>
      </c>
      <c r="C12" s="529">
        <f>BRA!F31</f>
        <v>350000</v>
      </c>
      <c r="E12" s="528" t="s">
        <v>132</v>
      </c>
      <c r="F12" s="529">
        <v>0.0</v>
      </c>
    </row>
    <row r="13" ht="16.5" customHeight="1">
      <c r="B13" s="528" t="s">
        <v>133</v>
      </c>
      <c r="C13" s="529">
        <f>BRA!F30</f>
        <v>120000</v>
      </c>
      <c r="D13" s="130"/>
      <c r="E13" s="528" t="s">
        <v>133</v>
      </c>
      <c r="F13" s="529">
        <f>C13</f>
        <v>120000</v>
      </c>
      <c r="G13" s="130" t="s">
        <v>134</v>
      </c>
    </row>
    <row r="14" ht="16.5" customHeight="1">
      <c r="B14" s="528" t="s">
        <v>135</v>
      </c>
      <c r="C14" s="529">
        <v>240000.0</v>
      </c>
      <c r="D14" s="130"/>
      <c r="E14" s="528" t="s">
        <v>135</v>
      </c>
      <c r="F14" s="529">
        <f>SUM(C14:C15)</f>
        <v>291759</v>
      </c>
      <c r="G14" s="130" t="s">
        <v>136</v>
      </c>
    </row>
    <row r="15" ht="16.5" customHeight="1">
      <c r="B15" s="532" t="s">
        <v>135</v>
      </c>
      <c r="C15" s="533">
        <v>51759.0</v>
      </c>
      <c r="D15" s="130"/>
      <c r="E15" s="532" t="s">
        <v>137</v>
      </c>
      <c r="F15" s="533">
        <f>SUM('NOVO PLANO DE MIDIA MAR | JUN'!F34:F35,'NOVO PLANO DE MIDIA JUL | AGO'!F22:F23)</f>
        <v>143925.17</v>
      </c>
    </row>
    <row r="16" ht="12.75" customHeight="1">
      <c r="E16" s="130"/>
      <c r="F16" s="130"/>
    </row>
    <row r="17" ht="12.75" customHeight="1">
      <c r="E17" s="130"/>
      <c r="F17" s="130"/>
    </row>
    <row r="18" ht="12.75" customHeight="1">
      <c r="B18" s="534" t="s">
        <v>106</v>
      </c>
      <c r="C18" s="531"/>
      <c r="E18" s="534" t="s">
        <v>106</v>
      </c>
      <c r="F18" s="531"/>
    </row>
    <row r="19" ht="12.75" customHeight="1">
      <c r="B19" s="535" t="s">
        <v>138</v>
      </c>
      <c r="C19" s="531">
        <v>62000.0</v>
      </c>
      <c r="D19" s="531"/>
      <c r="E19" s="535" t="s">
        <v>138</v>
      </c>
      <c r="F19" s="531"/>
    </row>
    <row r="20" ht="12.75" customHeight="1">
      <c r="B20" s="535" t="s">
        <v>139</v>
      </c>
      <c r="C20" s="531">
        <v>88000.0</v>
      </c>
      <c r="E20" s="535" t="s">
        <v>139</v>
      </c>
      <c r="F20" s="531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32.43"/>
    <col customWidth="1" min="8" max="8" width="26.57"/>
    <col customWidth="1" min="9" max="9" width="124.29"/>
  </cols>
  <sheetData>
    <row r="1">
      <c r="A1" s="536" t="s">
        <v>140</v>
      </c>
      <c r="B1" s="537" t="s">
        <v>141</v>
      </c>
      <c r="C1" s="537" t="s">
        <v>142</v>
      </c>
      <c r="D1" s="538" t="s">
        <v>2</v>
      </c>
      <c r="E1" s="537" t="s">
        <v>143</v>
      </c>
      <c r="F1" s="538" t="s">
        <v>144</v>
      </c>
      <c r="G1" s="537" t="s">
        <v>145</v>
      </c>
      <c r="H1" s="537" t="s">
        <v>146</v>
      </c>
      <c r="I1" s="537" t="s">
        <v>147</v>
      </c>
      <c r="J1" s="538" t="s">
        <v>148</v>
      </c>
      <c r="K1" s="537" t="s">
        <v>149</v>
      </c>
      <c r="L1" s="537" t="s">
        <v>150</v>
      </c>
      <c r="M1" s="537" t="s">
        <v>151</v>
      </c>
      <c r="N1" s="537" t="s">
        <v>152</v>
      </c>
      <c r="O1" s="538" t="s">
        <v>153</v>
      </c>
      <c r="P1" s="538" t="s">
        <v>154</v>
      </c>
      <c r="Q1" s="538" t="s">
        <v>155</v>
      </c>
      <c r="R1" s="538" t="s">
        <v>156</v>
      </c>
      <c r="S1" s="538" t="s">
        <v>157</v>
      </c>
      <c r="T1" s="538" t="s">
        <v>158</v>
      </c>
      <c r="U1" s="538" t="s">
        <v>159</v>
      </c>
      <c r="V1" s="537" t="s">
        <v>160</v>
      </c>
      <c r="W1" s="537" t="s">
        <v>161</v>
      </c>
      <c r="X1" s="539" t="s">
        <v>162</v>
      </c>
      <c r="Y1" s="539" t="s">
        <v>163</v>
      </c>
      <c r="Z1" s="539" t="s">
        <v>164</v>
      </c>
      <c r="AA1" s="539" t="s">
        <v>165</v>
      </c>
      <c r="AB1" s="539" t="s">
        <v>166</v>
      </c>
      <c r="AC1" s="539" t="s">
        <v>167</v>
      </c>
      <c r="AD1" s="540" t="s">
        <v>168</v>
      </c>
      <c r="AE1" s="540" t="s">
        <v>169</v>
      </c>
      <c r="AF1" s="537" t="s">
        <v>170</v>
      </c>
      <c r="AG1" s="541" t="s">
        <v>171</v>
      </c>
      <c r="AH1" s="541" t="s">
        <v>172</v>
      </c>
      <c r="AI1" s="537" t="s">
        <v>173</v>
      </c>
      <c r="AJ1" s="541" t="s">
        <v>174</v>
      </c>
      <c r="AK1" s="541" t="s">
        <v>175</v>
      </c>
      <c r="AL1" s="541" t="s">
        <v>176</v>
      </c>
    </row>
    <row r="2">
      <c r="A2" s="542" t="s">
        <v>177</v>
      </c>
      <c r="B2" s="543" t="s">
        <v>178</v>
      </c>
      <c r="C2" s="543" t="s">
        <v>179</v>
      </c>
      <c r="D2" s="542" t="s">
        <v>180</v>
      </c>
      <c r="E2" s="543" t="s">
        <v>181</v>
      </c>
      <c r="F2" s="542" t="s">
        <v>182</v>
      </c>
      <c r="G2" s="543" t="s">
        <v>27</v>
      </c>
      <c r="H2" s="543" t="s">
        <v>183</v>
      </c>
      <c r="I2" s="543" t="s">
        <v>184</v>
      </c>
      <c r="J2" s="542" t="s">
        <v>185</v>
      </c>
      <c r="K2" s="543" t="s">
        <v>26</v>
      </c>
      <c r="L2" s="543" t="s">
        <v>20</v>
      </c>
      <c r="M2" s="544">
        <v>43899.0</v>
      </c>
      <c r="N2" s="544">
        <v>44074.0</v>
      </c>
      <c r="O2" s="542"/>
      <c r="P2" s="542" t="s">
        <v>186</v>
      </c>
      <c r="Q2" s="542" t="s">
        <v>187</v>
      </c>
      <c r="R2" s="542" t="s">
        <v>188</v>
      </c>
      <c r="S2" s="542" t="s">
        <v>188</v>
      </c>
      <c r="T2" s="542" t="s">
        <v>188</v>
      </c>
      <c r="U2" s="542" t="s">
        <v>189</v>
      </c>
      <c r="V2" s="545">
        <v>600718.0</v>
      </c>
      <c r="W2" s="542" t="s">
        <v>17</v>
      </c>
      <c r="X2" s="542">
        <v>2.0</v>
      </c>
      <c r="Y2" s="546">
        <v>600718.0</v>
      </c>
      <c r="Z2" s="547">
        <f t="shared" ref="Z2:Z3" si="1">V2/X2*1000</f>
        <v>300359000</v>
      </c>
      <c r="AA2" s="542" t="s">
        <v>93</v>
      </c>
      <c r="AB2" s="542" t="s">
        <v>93</v>
      </c>
      <c r="AC2" s="542" t="s">
        <v>93</v>
      </c>
      <c r="AD2" s="542" t="s">
        <v>17</v>
      </c>
      <c r="AE2" s="542">
        <f t="shared" ref="AE2:AE11" si="2">X2</f>
        <v>2</v>
      </c>
      <c r="AF2" s="545">
        <f>(107032.67/2)*1000</f>
        <v>53516335</v>
      </c>
      <c r="AG2" s="542" t="s">
        <v>93</v>
      </c>
      <c r="AH2" s="542" t="s">
        <v>93</v>
      </c>
      <c r="AI2" s="542" t="s">
        <v>190</v>
      </c>
      <c r="AJ2" s="542"/>
      <c r="AK2" s="542"/>
      <c r="AL2" s="542"/>
    </row>
    <row r="3">
      <c r="A3" s="542" t="s">
        <v>177</v>
      </c>
      <c r="B3" s="543" t="s">
        <v>178</v>
      </c>
      <c r="C3" s="543" t="s">
        <v>179</v>
      </c>
      <c r="D3" s="542" t="s">
        <v>180</v>
      </c>
      <c r="E3" s="543" t="s">
        <v>181</v>
      </c>
      <c r="F3" s="542" t="s">
        <v>182</v>
      </c>
      <c r="G3" s="543" t="s">
        <v>27</v>
      </c>
      <c r="H3" s="543" t="s">
        <v>48</v>
      </c>
      <c r="I3" s="543" t="s">
        <v>191</v>
      </c>
      <c r="J3" s="542" t="s">
        <v>185</v>
      </c>
      <c r="K3" s="543" t="s">
        <v>47</v>
      </c>
      <c r="L3" s="543" t="s">
        <v>20</v>
      </c>
      <c r="M3" s="544">
        <v>43922.0</v>
      </c>
      <c r="N3" s="544">
        <v>44074.0</v>
      </c>
      <c r="O3" s="542"/>
      <c r="P3" s="542" t="s">
        <v>186</v>
      </c>
      <c r="Q3" s="542" t="s">
        <v>187</v>
      </c>
      <c r="R3" s="542" t="s">
        <v>188</v>
      </c>
      <c r="S3" s="542" t="s">
        <v>188</v>
      </c>
      <c r="T3" s="542" t="s">
        <v>188</v>
      </c>
      <c r="U3" s="542" t="s">
        <v>189</v>
      </c>
      <c r="V3" s="545">
        <v>164326.0</v>
      </c>
      <c r="W3" s="542" t="s">
        <v>17</v>
      </c>
      <c r="X3" s="542" t="s">
        <v>192</v>
      </c>
      <c r="Y3" s="546">
        <v>164326.0</v>
      </c>
      <c r="Z3" s="547" t="str">
        <f t="shared" si="1"/>
        <v>#VALUE!</v>
      </c>
      <c r="AA3" s="542"/>
      <c r="AB3" s="542"/>
      <c r="AC3" s="542"/>
      <c r="AD3" s="542" t="s">
        <v>17</v>
      </c>
      <c r="AE3" s="542" t="str">
        <f t="shared" si="2"/>
        <v>2.30</v>
      </c>
      <c r="AF3" s="545">
        <f>(70000/2.3)*1000</f>
        <v>30434782.61</v>
      </c>
      <c r="AG3" s="542"/>
      <c r="AH3" s="542"/>
      <c r="AI3" s="542" t="s">
        <v>193</v>
      </c>
      <c r="AJ3" s="542"/>
      <c r="AK3" s="542"/>
      <c r="AL3" s="542"/>
    </row>
    <row r="4">
      <c r="A4" s="542" t="s">
        <v>177</v>
      </c>
      <c r="B4" s="543" t="s">
        <v>178</v>
      </c>
      <c r="C4" s="543" t="s">
        <v>179</v>
      </c>
      <c r="D4" s="542" t="s">
        <v>180</v>
      </c>
      <c r="E4" s="543" t="s">
        <v>181</v>
      </c>
      <c r="F4" s="542" t="s">
        <v>182</v>
      </c>
      <c r="G4" s="543" t="s">
        <v>194</v>
      </c>
      <c r="H4" s="543" t="s">
        <v>195</v>
      </c>
      <c r="I4" s="548" t="s">
        <v>196</v>
      </c>
      <c r="J4" s="542" t="s">
        <v>185</v>
      </c>
      <c r="K4" s="543" t="s">
        <v>53</v>
      </c>
      <c r="L4" s="543" t="s">
        <v>18</v>
      </c>
      <c r="M4" s="544">
        <v>43922.0</v>
      </c>
      <c r="N4" s="544">
        <v>43951.0</v>
      </c>
      <c r="O4" s="542"/>
      <c r="P4" s="542" t="s">
        <v>186</v>
      </c>
      <c r="Q4" s="542" t="s">
        <v>187</v>
      </c>
      <c r="R4" s="542" t="s">
        <v>188</v>
      </c>
      <c r="S4" s="542" t="s">
        <v>188</v>
      </c>
      <c r="T4" s="542" t="s">
        <v>188</v>
      </c>
      <c r="U4" s="542" t="s">
        <v>189</v>
      </c>
      <c r="V4" s="545" t="s">
        <v>197</v>
      </c>
      <c r="W4" s="542" t="s">
        <v>15</v>
      </c>
      <c r="X4" s="542">
        <v>0.7</v>
      </c>
      <c r="Y4" s="546">
        <v>133485.67</v>
      </c>
      <c r="Z4" s="547">
        <v>190693.81428571432</v>
      </c>
      <c r="AA4" s="542"/>
      <c r="AB4" s="542"/>
      <c r="AC4" s="542"/>
      <c r="AD4" s="542" t="s">
        <v>15</v>
      </c>
      <c r="AE4" s="542">
        <f t="shared" si="2"/>
        <v>0.7</v>
      </c>
      <c r="AF4" s="545">
        <f>Y4/0.7</f>
        <v>190693.8143</v>
      </c>
      <c r="AG4" s="542"/>
      <c r="AH4" s="542"/>
      <c r="AI4" s="549" t="s">
        <v>198</v>
      </c>
      <c r="AJ4" s="542"/>
      <c r="AK4" s="542"/>
      <c r="AL4" s="542"/>
    </row>
    <row r="5">
      <c r="A5" s="542" t="s">
        <v>177</v>
      </c>
      <c r="B5" s="543" t="s">
        <v>178</v>
      </c>
      <c r="C5" s="543" t="s">
        <v>179</v>
      </c>
      <c r="D5" s="542" t="s">
        <v>180</v>
      </c>
      <c r="E5" s="543" t="s">
        <v>181</v>
      </c>
      <c r="F5" s="542" t="s">
        <v>182</v>
      </c>
      <c r="G5" s="543" t="s">
        <v>199</v>
      </c>
      <c r="H5" s="543" t="s">
        <v>200</v>
      </c>
      <c r="I5" s="543" t="s">
        <v>201</v>
      </c>
      <c r="J5" s="542" t="s">
        <v>185</v>
      </c>
      <c r="K5" s="543" t="s">
        <v>18</v>
      </c>
      <c r="L5" s="543" t="s">
        <v>18</v>
      </c>
      <c r="M5" s="544">
        <v>43899.0</v>
      </c>
      <c r="N5" s="544">
        <v>44074.0</v>
      </c>
      <c r="O5" s="542"/>
      <c r="P5" s="542" t="s">
        <v>186</v>
      </c>
      <c r="Q5" s="542" t="s">
        <v>187</v>
      </c>
      <c r="R5" s="542" t="s">
        <v>188</v>
      </c>
      <c r="S5" s="542" t="s">
        <v>188</v>
      </c>
      <c r="T5" s="542" t="s">
        <v>188</v>
      </c>
      <c r="U5" s="542" t="s">
        <v>189</v>
      </c>
      <c r="V5" s="545">
        <v>829329.0</v>
      </c>
      <c r="W5" s="542" t="s">
        <v>15</v>
      </c>
      <c r="X5" s="542">
        <v>0.05</v>
      </c>
      <c r="Y5" s="546">
        <v>839329.0</v>
      </c>
      <c r="Z5" s="547">
        <f>Y5/X5</f>
        <v>16786580</v>
      </c>
      <c r="AA5" s="542"/>
      <c r="AB5" s="542"/>
      <c r="AC5" s="542"/>
      <c r="AD5" s="542" t="s">
        <v>15</v>
      </c>
      <c r="AE5" s="542">
        <f t="shared" si="2"/>
        <v>0.05</v>
      </c>
      <c r="AF5" s="545">
        <f>Y5/0.05</f>
        <v>16786580</v>
      </c>
      <c r="AG5" s="542"/>
      <c r="AH5" s="542"/>
      <c r="AI5" s="542" t="s">
        <v>202</v>
      </c>
      <c r="AJ5" s="542"/>
      <c r="AK5" s="542"/>
      <c r="AL5" s="542"/>
    </row>
    <row r="6">
      <c r="A6" s="550" t="s">
        <v>177</v>
      </c>
      <c r="B6" s="551" t="s">
        <v>178</v>
      </c>
      <c r="C6" s="551" t="s">
        <v>179</v>
      </c>
      <c r="D6" s="550" t="s">
        <v>180</v>
      </c>
      <c r="E6" s="551" t="s">
        <v>181</v>
      </c>
      <c r="F6" s="550" t="s">
        <v>182</v>
      </c>
      <c r="G6" s="551" t="s">
        <v>32</v>
      </c>
      <c r="H6" s="551" t="s">
        <v>32</v>
      </c>
      <c r="I6" s="550" t="s">
        <v>203</v>
      </c>
      <c r="J6" s="550" t="s">
        <v>185</v>
      </c>
      <c r="K6" s="551" t="s">
        <v>26</v>
      </c>
      <c r="L6" s="551" t="s">
        <v>20</v>
      </c>
      <c r="M6" s="544">
        <v>43922.0</v>
      </c>
      <c r="N6" s="544">
        <v>44074.0</v>
      </c>
      <c r="O6" s="550"/>
      <c r="P6" s="550" t="s">
        <v>186</v>
      </c>
      <c r="Q6" s="550" t="s">
        <v>187</v>
      </c>
      <c r="R6" s="550" t="s">
        <v>188</v>
      </c>
      <c r="S6" s="550" t="s">
        <v>188</v>
      </c>
      <c r="T6" s="550" t="s">
        <v>188</v>
      </c>
      <c r="U6" s="550" t="s">
        <v>189</v>
      </c>
      <c r="V6" s="545">
        <v>160000.0</v>
      </c>
      <c r="W6" s="550" t="s">
        <v>17</v>
      </c>
      <c r="X6" s="550">
        <v>16.0</v>
      </c>
      <c r="Y6" s="552">
        <v>160000.0</v>
      </c>
      <c r="Z6" s="553">
        <f t="shared" ref="Z6:Z7" si="3">V6/X6*1000</f>
        <v>10000000</v>
      </c>
      <c r="AA6" s="550"/>
      <c r="AB6" s="550"/>
      <c r="AC6" s="550"/>
      <c r="AD6" s="550" t="s">
        <v>17</v>
      </c>
      <c r="AE6" s="550">
        <f t="shared" si="2"/>
        <v>16</v>
      </c>
      <c r="AF6" s="553">
        <f>(Y6/2.3)*1000</f>
        <v>69565217.39</v>
      </c>
      <c r="AG6" s="550"/>
      <c r="AH6" s="550"/>
      <c r="AI6" s="550" t="s">
        <v>204</v>
      </c>
      <c r="AJ6" s="550"/>
      <c r="AK6" s="550"/>
      <c r="AL6" s="550"/>
    </row>
    <row r="7">
      <c r="A7" s="542" t="s">
        <v>177</v>
      </c>
      <c r="B7" s="543" t="s">
        <v>178</v>
      </c>
      <c r="C7" s="543" t="s">
        <v>179</v>
      </c>
      <c r="D7" s="542" t="s">
        <v>180</v>
      </c>
      <c r="E7" s="543" t="s">
        <v>181</v>
      </c>
      <c r="F7" s="542" t="s">
        <v>182</v>
      </c>
      <c r="G7" s="543" t="s">
        <v>194</v>
      </c>
      <c r="H7" s="543" t="s">
        <v>205</v>
      </c>
      <c r="I7" s="550" t="s">
        <v>206</v>
      </c>
      <c r="J7" s="542" t="s">
        <v>185</v>
      </c>
      <c r="K7" s="543" t="s">
        <v>26</v>
      </c>
      <c r="L7" s="543" t="s">
        <v>20</v>
      </c>
      <c r="M7" s="544">
        <v>43899.0</v>
      </c>
      <c r="N7" s="544">
        <v>44074.0</v>
      </c>
      <c r="O7" s="542"/>
      <c r="P7" s="542" t="s">
        <v>186</v>
      </c>
      <c r="Q7" s="542" t="s">
        <v>187</v>
      </c>
      <c r="R7" s="542" t="s">
        <v>188</v>
      </c>
      <c r="S7" s="542" t="s">
        <v>188</v>
      </c>
      <c r="T7" s="542" t="s">
        <v>188</v>
      </c>
      <c r="U7" s="542" t="s">
        <v>189</v>
      </c>
      <c r="V7" s="545">
        <v>355000.0</v>
      </c>
      <c r="W7" s="542" t="s">
        <v>17</v>
      </c>
      <c r="X7" s="542">
        <v>6.5</v>
      </c>
      <c r="Y7" s="546">
        <v>355000.0</v>
      </c>
      <c r="Z7" s="547">
        <f t="shared" si="3"/>
        <v>54615384.62</v>
      </c>
      <c r="AA7" s="542"/>
      <c r="AB7" s="542"/>
      <c r="AC7" s="542"/>
      <c r="AD7" s="542" t="s">
        <v>17</v>
      </c>
      <c r="AE7" s="542">
        <f t="shared" si="2"/>
        <v>6.5</v>
      </c>
      <c r="AF7" s="545">
        <f>Y7/0.9</f>
        <v>394444.4444</v>
      </c>
      <c r="AG7" s="542"/>
      <c r="AH7" s="542"/>
      <c r="AI7" s="542" t="s">
        <v>40</v>
      </c>
      <c r="AJ7" s="542"/>
      <c r="AK7" s="542"/>
      <c r="AL7" s="542"/>
    </row>
    <row r="8">
      <c r="A8" s="542" t="s">
        <v>177</v>
      </c>
      <c r="B8" s="543" t="s">
        <v>178</v>
      </c>
      <c r="C8" s="543" t="s">
        <v>179</v>
      </c>
      <c r="D8" s="542" t="s">
        <v>180</v>
      </c>
      <c r="E8" s="543" t="s">
        <v>181</v>
      </c>
      <c r="F8" s="542" t="s">
        <v>182</v>
      </c>
      <c r="G8" s="543" t="s">
        <v>194</v>
      </c>
      <c r="H8" s="543" t="s">
        <v>205</v>
      </c>
      <c r="I8" s="550" t="s">
        <v>207</v>
      </c>
      <c r="J8" s="542" t="s">
        <v>185</v>
      </c>
      <c r="K8" s="543" t="s">
        <v>208</v>
      </c>
      <c r="L8" s="543" t="s">
        <v>19</v>
      </c>
      <c r="M8" s="544">
        <v>43952.0</v>
      </c>
      <c r="N8" s="544">
        <v>44074.0</v>
      </c>
      <c r="O8" s="542"/>
      <c r="P8" s="542" t="s">
        <v>186</v>
      </c>
      <c r="Q8" s="542" t="s">
        <v>187</v>
      </c>
      <c r="R8" s="542" t="s">
        <v>188</v>
      </c>
      <c r="S8" s="542" t="s">
        <v>188</v>
      </c>
      <c r="T8" s="542" t="s">
        <v>188</v>
      </c>
      <c r="U8" s="542" t="s">
        <v>189</v>
      </c>
      <c r="V8" s="545">
        <v>200000.0</v>
      </c>
      <c r="W8" s="542" t="s">
        <v>16</v>
      </c>
      <c r="X8" s="542">
        <v>0.6</v>
      </c>
      <c r="Y8" s="546">
        <v>200000.0</v>
      </c>
      <c r="Z8" s="547">
        <v>45454.54545454545</v>
      </c>
      <c r="AA8" s="542"/>
      <c r="AB8" s="542"/>
      <c r="AC8" s="542"/>
      <c r="AD8" s="542" t="s">
        <v>16</v>
      </c>
      <c r="AE8" s="542">
        <f t="shared" si="2"/>
        <v>0.6</v>
      </c>
      <c r="AF8" s="545">
        <f t="shared" ref="AF8:AF9" si="4">Y8/5.5</f>
        <v>36363.63636</v>
      </c>
      <c r="AG8" s="542"/>
      <c r="AH8" s="542"/>
      <c r="AI8" s="542" t="s">
        <v>209</v>
      </c>
      <c r="AJ8" s="542"/>
      <c r="AK8" s="542"/>
      <c r="AL8" s="542"/>
    </row>
    <row r="9">
      <c r="A9" s="542" t="s">
        <v>177</v>
      </c>
      <c r="B9" s="543" t="s">
        <v>178</v>
      </c>
      <c r="C9" s="543" t="s">
        <v>179</v>
      </c>
      <c r="D9" s="542" t="s">
        <v>180</v>
      </c>
      <c r="E9" s="543" t="s">
        <v>181</v>
      </c>
      <c r="F9" s="542" t="s">
        <v>182</v>
      </c>
      <c r="G9" s="543" t="s">
        <v>194</v>
      </c>
      <c r="H9" s="543" t="s">
        <v>205</v>
      </c>
      <c r="I9" s="550" t="s">
        <v>210</v>
      </c>
      <c r="J9" s="542" t="s">
        <v>185</v>
      </c>
      <c r="K9" s="543" t="s">
        <v>26</v>
      </c>
      <c r="L9" s="543" t="s">
        <v>18</v>
      </c>
      <c r="M9" s="544">
        <v>43952.0</v>
      </c>
      <c r="N9" s="544">
        <v>44074.0</v>
      </c>
      <c r="O9" s="542"/>
      <c r="P9" s="542" t="s">
        <v>186</v>
      </c>
      <c r="Q9" s="542" t="s">
        <v>187</v>
      </c>
      <c r="R9" s="542" t="s">
        <v>188</v>
      </c>
      <c r="S9" s="542" t="s">
        <v>188</v>
      </c>
      <c r="T9" s="542" t="s">
        <v>188</v>
      </c>
      <c r="U9" s="542" t="s">
        <v>189</v>
      </c>
      <c r="V9" s="545">
        <v>292071.0</v>
      </c>
      <c r="W9" s="542" t="s">
        <v>15</v>
      </c>
      <c r="X9" s="542">
        <v>0.5</v>
      </c>
      <c r="Y9" s="546">
        <v>292071.0</v>
      </c>
      <c r="Z9" s="547">
        <f t="shared" ref="Z9:Z11" si="5">V9/X9</f>
        <v>584142</v>
      </c>
      <c r="AA9" s="542"/>
      <c r="AB9" s="542"/>
      <c r="AC9" s="542"/>
      <c r="AD9" s="542" t="s">
        <v>16</v>
      </c>
      <c r="AE9" s="542">
        <f t="shared" si="2"/>
        <v>0.5</v>
      </c>
      <c r="AF9" s="545">
        <f t="shared" si="4"/>
        <v>53103.81818</v>
      </c>
      <c r="AG9" s="542"/>
      <c r="AH9" s="542"/>
      <c r="AI9" s="542" t="s">
        <v>209</v>
      </c>
      <c r="AJ9" s="542"/>
      <c r="AK9" s="542"/>
      <c r="AL9" s="542"/>
    </row>
    <row r="10">
      <c r="A10" s="542" t="s">
        <v>177</v>
      </c>
      <c r="B10" s="543" t="s">
        <v>178</v>
      </c>
      <c r="C10" s="543" t="s">
        <v>179</v>
      </c>
      <c r="D10" s="542" t="s">
        <v>180</v>
      </c>
      <c r="E10" s="543" t="s">
        <v>181</v>
      </c>
      <c r="F10" s="542" t="s">
        <v>182</v>
      </c>
      <c r="G10" s="543" t="s">
        <v>51</v>
      </c>
      <c r="H10" s="543" t="s">
        <v>51</v>
      </c>
      <c r="I10" s="542" t="s">
        <v>211</v>
      </c>
      <c r="J10" s="542" t="s">
        <v>185</v>
      </c>
      <c r="K10" s="543" t="s">
        <v>26</v>
      </c>
      <c r="L10" s="543" t="s">
        <v>18</v>
      </c>
      <c r="M10" s="544">
        <v>44013.0</v>
      </c>
      <c r="N10" s="544">
        <v>44074.0</v>
      </c>
      <c r="O10" s="542"/>
      <c r="P10" s="542" t="s">
        <v>186</v>
      </c>
      <c r="Q10" s="542" t="s">
        <v>187</v>
      </c>
      <c r="R10" s="542" t="s">
        <v>188</v>
      </c>
      <c r="S10" s="542" t="s">
        <v>188</v>
      </c>
      <c r="T10" s="542" t="s">
        <v>188</v>
      </c>
      <c r="U10" s="542" t="s">
        <v>189</v>
      </c>
      <c r="V10" s="545">
        <v>143861.0</v>
      </c>
      <c r="W10" s="542" t="s">
        <v>15</v>
      </c>
      <c r="X10" s="542">
        <v>0.09</v>
      </c>
      <c r="Y10" s="546">
        <v>143861.0</v>
      </c>
      <c r="Z10" s="547">
        <f t="shared" si="5"/>
        <v>1598455.556</v>
      </c>
      <c r="AA10" s="542"/>
      <c r="AB10" s="542"/>
      <c r="AC10" s="542"/>
      <c r="AD10" s="542" t="s">
        <v>15</v>
      </c>
      <c r="AE10" s="542">
        <f t="shared" si="2"/>
        <v>0.09</v>
      </c>
      <c r="AF10" s="545">
        <f t="shared" ref="AF10:AF11" si="6">Z10</f>
        <v>1598455.556</v>
      </c>
      <c r="AG10" s="542"/>
      <c r="AH10" s="542"/>
      <c r="AI10" s="542" t="s">
        <v>202</v>
      </c>
      <c r="AJ10" s="542"/>
      <c r="AK10" s="542"/>
      <c r="AL10" s="542"/>
    </row>
    <row r="11">
      <c r="A11" s="542" t="s">
        <v>177</v>
      </c>
      <c r="B11" s="543" t="s">
        <v>178</v>
      </c>
      <c r="C11" s="543" t="s">
        <v>179</v>
      </c>
      <c r="D11" s="542" t="s">
        <v>180</v>
      </c>
      <c r="E11" s="543" t="s">
        <v>181</v>
      </c>
      <c r="F11" s="542" t="s">
        <v>182</v>
      </c>
      <c r="G11" s="543" t="s">
        <v>83</v>
      </c>
      <c r="H11" s="543" t="s">
        <v>83</v>
      </c>
      <c r="I11" s="542" t="s">
        <v>212</v>
      </c>
      <c r="J11" s="542" t="s">
        <v>185</v>
      </c>
      <c r="K11" s="543" t="s">
        <v>208</v>
      </c>
      <c r="L11" s="543" t="s">
        <v>19</v>
      </c>
      <c r="M11" s="544">
        <v>44013.0</v>
      </c>
      <c r="N11" s="544">
        <v>44074.0</v>
      </c>
      <c r="O11" s="542"/>
      <c r="P11" s="542" t="s">
        <v>186</v>
      </c>
      <c r="Q11" s="542" t="s">
        <v>187</v>
      </c>
      <c r="R11" s="542" t="s">
        <v>188</v>
      </c>
      <c r="S11" s="542" t="s">
        <v>188</v>
      </c>
      <c r="T11" s="542" t="s">
        <v>188</v>
      </c>
      <c r="U11" s="542" t="s">
        <v>189</v>
      </c>
      <c r="V11" s="545">
        <v>113925.0</v>
      </c>
      <c r="W11" s="542" t="s">
        <v>16</v>
      </c>
      <c r="X11" s="542">
        <v>0.76</v>
      </c>
      <c r="Y11" s="546">
        <v>113925.0</v>
      </c>
      <c r="Z11" s="547">
        <f t="shared" si="5"/>
        <v>149901.3158</v>
      </c>
      <c r="AA11" s="542"/>
      <c r="AB11" s="542"/>
      <c r="AC11" s="542"/>
      <c r="AD11" s="542" t="s">
        <v>15</v>
      </c>
      <c r="AE11" s="542">
        <f t="shared" si="2"/>
        <v>0.76</v>
      </c>
      <c r="AF11" s="545">
        <f t="shared" si="6"/>
        <v>149901.3158</v>
      </c>
      <c r="AG11" s="542"/>
      <c r="AH11" s="542"/>
      <c r="AI11" s="542" t="s">
        <v>213</v>
      </c>
      <c r="AJ11" s="542"/>
      <c r="AK11" s="542"/>
      <c r="AL11" s="542"/>
    </row>
    <row r="13">
      <c r="G13" s="11" t="s">
        <v>11</v>
      </c>
      <c r="H13" s="11" t="s">
        <v>12</v>
      </c>
      <c r="I13" s="11" t="s">
        <v>13</v>
      </c>
      <c r="J13" s="11" t="s">
        <v>14</v>
      </c>
      <c r="K13" s="11" t="s">
        <v>11</v>
      </c>
    </row>
    <row r="14">
      <c r="G14" s="39" t="s">
        <v>26</v>
      </c>
      <c r="H14" s="554">
        <v>170000.0</v>
      </c>
      <c r="I14" s="555" t="s">
        <v>27</v>
      </c>
      <c r="J14" s="20" t="s">
        <v>80</v>
      </c>
      <c r="K14" s="20" t="s">
        <v>20</v>
      </c>
    </row>
    <row r="15">
      <c r="G15" s="32"/>
      <c r="H15" s="32"/>
      <c r="I15" s="32"/>
      <c r="J15" s="32"/>
      <c r="K15" s="32"/>
    </row>
    <row r="16">
      <c r="G16" s="18" t="s">
        <v>26</v>
      </c>
      <c r="H16" s="556">
        <v>217129.5</v>
      </c>
      <c r="I16" s="557" t="s">
        <v>35</v>
      </c>
      <c r="J16" s="244" t="s">
        <v>36</v>
      </c>
      <c r="K16" s="20" t="s">
        <v>18</v>
      </c>
    </row>
    <row r="17">
      <c r="G17" s="32"/>
      <c r="H17" s="32"/>
      <c r="I17" s="32"/>
      <c r="J17" s="32"/>
      <c r="K17" s="32"/>
    </row>
    <row r="18">
      <c r="G18" s="39" t="s">
        <v>26</v>
      </c>
      <c r="H18" s="17">
        <v>0.0</v>
      </c>
      <c r="I18" s="20" t="s">
        <v>27</v>
      </c>
      <c r="J18" s="20" t="s">
        <v>46</v>
      </c>
      <c r="K18" s="73" t="s">
        <v>20</v>
      </c>
    </row>
    <row r="19">
      <c r="G19" s="32"/>
      <c r="H19" s="32"/>
      <c r="I19" s="32"/>
      <c r="J19" s="32"/>
      <c r="K19" s="32"/>
    </row>
    <row r="20">
      <c r="G20" s="39" t="s">
        <v>47</v>
      </c>
      <c r="H20" s="558">
        <v>36144.33</v>
      </c>
      <c r="I20" s="559" t="s">
        <v>48</v>
      </c>
      <c r="J20" s="20" t="s">
        <v>49</v>
      </c>
      <c r="K20" s="73" t="s">
        <v>20</v>
      </c>
    </row>
    <row r="21" ht="15.75" customHeight="1">
      <c r="G21" s="32"/>
      <c r="H21" s="32"/>
      <c r="I21" s="32"/>
      <c r="J21" s="32"/>
      <c r="K21" s="32"/>
    </row>
    <row r="22" ht="15.75" customHeight="1">
      <c r="F22" s="560">
        <f>H28+H45+H65</f>
        <v>847071</v>
      </c>
      <c r="G22" s="18" t="s">
        <v>26</v>
      </c>
      <c r="H22" s="561">
        <v>200000.0</v>
      </c>
      <c r="I22" s="562" t="s">
        <v>35</v>
      </c>
      <c r="J22" s="244" t="s">
        <v>50</v>
      </c>
      <c r="K22" s="20" t="s">
        <v>18</v>
      </c>
    </row>
    <row r="23" ht="15.75" customHeight="1">
      <c r="F23" s="560">
        <f>F22-V9-V7</f>
        <v>200000</v>
      </c>
      <c r="G23" s="32"/>
      <c r="H23" s="32"/>
      <c r="I23" s="32"/>
      <c r="J23" s="32"/>
      <c r="K23" s="32"/>
    </row>
    <row r="24" ht="15.75" customHeight="1">
      <c r="G24" s="39" t="s">
        <v>47</v>
      </c>
      <c r="H24" s="563">
        <v>143861.0</v>
      </c>
      <c r="I24" s="564" t="s">
        <v>51</v>
      </c>
      <c r="J24" s="20" t="s">
        <v>52</v>
      </c>
      <c r="K24" s="20" t="s">
        <v>18</v>
      </c>
    </row>
    <row r="25" ht="15.75" customHeight="1">
      <c r="G25" s="32"/>
      <c r="H25" s="32"/>
      <c r="I25" s="32"/>
      <c r="J25" s="32"/>
      <c r="K25" s="32"/>
    </row>
    <row r="26" ht="15.75" customHeight="1">
      <c r="G26" s="39" t="s">
        <v>53</v>
      </c>
      <c r="H26" s="565">
        <v>113925.17</v>
      </c>
      <c r="I26" s="566" t="s">
        <v>83</v>
      </c>
      <c r="J26" s="244" t="s">
        <v>55</v>
      </c>
      <c r="K26" s="20" t="s">
        <v>19</v>
      </c>
    </row>
    <row r="27" ht="15.75" customHeight="1">
      <c r="G27" s="32"/>
      <c r="H27" s="32"/>
      <c r="I27" s="32"/>
      <c r="J27" s="32"/>
      <c r="K27" s="32"/>
    </row>
    <row r="28" ht="15.75" customHeight="1">
      <c r="G28" s="39" t="s">
        <v>26</v>
      </c>
      <c r="H28" s="567">
        <v>302071.0</v>
      </c>
      <c r="I28" s="568" t="s">
        <v>38</v>
      </c>
      <c r="J28" s="263" t="s">
        <v>59</v>
      </c>
      <c r="K28" s="263" t="s">
        <v>18</v>
      </c>
    </row>
    <row r="29" ht="15.75" customHeight="1">
      <c r="G29" s="31"/>
      <c r="H29" s="31"/>
      <c r="I29" s="31"/>
      <c r="J29" s="32"/>
      <c r="K29" s="32"/>
    </row>
    <row r="30" ht="15.75" customHeight="1">
      <c r="G30" s="31"/>
      <c r="H30" s="31"/>
      <c r="I30" s="31"/>
      <c r="J30" s="263" t="s">
        <v>40</v>
      </c>
      <c r="K30" s="265" t="s">
        <v>20</v>
      </c>
    </row>
    <row r="31" ht="15.75" customHeight="1">
      <c r="G31" s="31"/>
      <c r="H31" s="31"/>
      <c r="I31" s="31"/>
      <c r="J31" s="32"/>
      <c r="K31" s="32"/>
    </row>
    <row r="32" ht="15.75" customHeight="1">
      <c r="G32" s="31"/>
      <c r="H32" s="31"/>
      <c r="I32" s="31"/>
      <c r="J32" s="263" t="s">
        <v>62</v>
      </c>
      <c r="K32" s="263" t="s">
        <v>19</v>
      </c>
    </row>
    <row r="33" ht="15.75" customHeight="1">
      <c r="G33" s="31"/>
      <c r="H33" s="31"/>
      <c r="I33" s="31"/>
      <c r="J33" s="32"/>
      <c r="K33" s="32"/>
    </row>
    <row r="34" ht="15.75" customHeight="1">
      <c r="G34" s="31"/>
      <c r="H34" s="31"/>
      <c r="I34" s="31"/>
      <c r="J34" s="263" t="s">
        <v>63</v>
      </c>
      <c r="K34" s="263" t="s">
        <v>19</v>
      </c>
    </row>
    <row r="35" ht="15.75" customHeight="1">
      <c r="G35" s="31"/>
      <c r="H35" s="31"/>
      <c r="I35" s="31"/>
      <c r="J35" s="32"/>
      <c r="K35" s="32"/>
    </row>
    <row r="36" ht="15.75" customHeight="1">
      <c r="G36" s="31"/>
      <c r="H36" s="31"/>
      <c r="I36" s="31"/>
      <c r="J36" s="263" t="s">
        <v>64</v>
      </c>
      <c r="K36" s="263" t="s">
        <v>19</v>
      </c>
    </row>
    <row r="37" ht="15.75" customHeight="1">
      <c r="G37" s="271"/>
      <c r="H37" s="32"/>
      <c r="I37" s="32"/>
      <c r="J37" s="32"/>
      <c r="K37" s="32"/>
    </row>
    <row r="38" ht="15.75" customHeight="1">
      <c r="G38" s="11" t="s">
        <v>11</v>
      </c>
      <c r="H38" s="11" t="s">
        <v>12</v>
      </c>
      <c r="I38" s="11" t="s">
        <v>13</v>
      </c>
      <c r="J38" s="11" t="s">
        <v>14</v>
      </c>
      <c r="K38" s="11" t="s">
        <v>11</v>
      </c>
    </row>
    <row r="39" ht="15.75" customHeight="1">
      <c r="G39" s="18" t="s">
        <v>26</v>
      </c>
      <c r="H39" s="569">
        <v>310718.33999999997</v>
      </c>
      <c r="I39" s="555" t="s">
        <v>27</v>
      </c>
      <c r="J39" s="20" t="s">
        <v>28</v>
      </c>
      <c r="K39" s="20" t="s">
        <v>20</v>
      </c>
    </row>
    <row r="40" ht="15.75" customHeight="1">
      <c r="G40" s="32"/>
      <c r="H40" s="32"/>
      <c r="I40" s="32"/>
      <c r="J40" s="32"/>
      <c r="K40" s="32"/>
    </row>
    <row r="41" ht="15.75" customHeight="1">
      <c r="G41" s="39" t="s">
        <v>26</v>
      </c>
      <c r="H41" s="570">
        <v>160000.0</v>
      </c>
      <c r="I41" s="571" t="s">
        <v>32</v>
      </c>
      <c r="J41" s="20" t="s">
        <v>33</v>
      </c>
      <c r="K41" s="20" t="s">
        <v>20</v>
      </c>
    </row>
    <row r="42" ht="15.75" customHeight="1">
      <c r="G42" s="32"/>
      <c r="H42" s="32"/>
      <c r="I42" s="32"/>
      <c r="J42" s="32"/>
      <c r="K42" s="32"/>
    </row>
    <row r="43" ht="15.75" customHeight="1">
      <c r="G43" s="18" t="s">
        <v>26</v>
      </c>
      <c r="H43" s="561">
        <v>262500.0</v>
      </c>
      <c r="I43" s="562" t="s">
        <v>35</v>
      </c>
      <c r="J43" s="20" t="s">
        <v>36</v>
      </c>
      <c r="K43" s="20" t="s">
        <v>18</v>
      </c>
    </row>
    <row r="44" ht="15.75" customHeight="1">
      <c r="G44" s="32"/>
      <c r="H44" s="32"/>
      <c r="I44" s="32"/>
      <c r="J44" s="32"/>
      <c r="K44" s="32"/>
    </row>
    <row r="45" ht="15.75" customHeight="1">
      <c r="G45" s="39" t="s">
        <v>26</v>
      </c>
      <c r="H45" s="567">
        <v>320000.0</v>
      </c>
      <c r="I45" s="572" t="s">
        <v>38</v>
      </c>
      <c r="J45" s="20" t="s">
        <v>39</v>
      </c>
      <c r="K45" s="41" t="s">
        <v>18</v>
      </c>
    </row>
    <row r="46" ht="15.75" customHeight="1">
      <c r="G46" s="31"/>
      <c r="H46" s="31"/>
      <c r="I46" s="31"/>
      <c r="J46" s="32"/>
      <c r="K46" s="32"/>
    </row>
    <row r="47" ht="15.75" customHeight="1">
      <c r="G47" s="31"/>
      <c r="H47" s="31"/>
      <c r="I47" s="31"/>
      <c r="J47" s="73" t="s">
        <v>40</v>
      </c>
      <c r="K47" s="20" t="s">
        <v>20</v>
      </c>
    </row>
    <row r="48" ht="15.75" customHeight="1">
      <c r="G48" s="31"/>
      <c r="H48" s="31"/>
      <c r="I48" s="31"/>
      <c r="J48" s="32"/>
      <c r="K48" s="32"/>
    </row>
    <row r="49" ht="15.75" customHeight="1">
      <c r="G49" s="31"/>
      <c r="H49" s="31"/>
      <c r="I49" s="31"/>
      <c r="J49" s="20" t="s">
        <v>41</v>
      </c>
      <c r="K49" s="20" t="s">
        <v>20</v>
      </c>
    </row>
    <row r="50" ht="15.75" customHeight="1">
      <c r="G50" s="32"/>
      <c r="H50" s="32"/>
      <c r="I50" s="32"/>
      <c r="J50" s="32"/>
      <c r="K50" s="32"/>
    </row>
    <row r="51" ht="15.75" customHeight="1">
      <c r="G51" s="39" t="s">
        <v>26</v>
      </c>
      <c r="H51" s="40">
        <v>580000.0</v>
      </c>
      <c r="I51" s="20" t="s">
        <v>42</v>
      </c>
      <c r="J51" s="20" t="s">
        <v>43</v>
      </c>
      <c r="K51" s="20" t="s">
        <v>44</v>
      </c>
    </row>
    <row r="52" ht="15.75" customHeight="1">
      <c r="G52" s="32"/>
      <c r="H52" s="32"/>
      <c r="I52" s="32"/>
      <c r="J52" s="32"/>
      <c r="K52" s="32"/>
    </row>
    <row r="53" ht="15.75" customHeight="1">
      <c r="G53" s="39" t="s">
        <v>26</v>
      </c>
      <c r="H53" s="573">
        <v>120000.0</v>
      </c>
      <c r="I53" s="555" t="s">
        <v>27</v>
      </c>
      <c r="J53" s="20" t="s">
        <v>46</v>
      </c>
      <c r="K53" s="73" t="s">
        <v>20</v>
      </c>
    </row>
    <row r="54" ht="15.75" customHeight="1">
      <c r="G54" s="32"/>
      <c r="H54" s="32"/>
      <c r="I54" s="32"/>
      <c r="J54" s="32"/>
      <c r="K54" s="32"/>
    </row>
    <row r="55" ht="15.75" customHeight="1">
      <c r="G55" s="39" t="s">
        <v>47</v>
      </c>
      <c r="H55" s="558">
        <v>128182.0</v>
      </c>
      <c r="I55" s="559" t="s">
        <v>48</v>
      </c>
      <c r="J55" s="20" t="s">
        <v>49</v>
      </c>
      <c r="K55" s="73" t="s">
        <v>20</v>
      </c>
    </row>
    <row r="56" ht="15.75" customHeight="1">
      <c r="G56" s="32"/>
      <c r="H56" s="32"/>
      <c r="I56" s="32"/>
      <c r="J56" s="32"/>
      <c r="K56" s="32"/>
    </row>
    <row r="57" ht="15.75" customHeight="1">
      <c r="G57" s="18" t="s">
        <v>26</v>
      </c>
      <c r="H57" s="561">
        <v>160000.0</v>
      </c>
      <c r="I57" s="562" t="s">
        <v>35</v>
      </c>
      <c r="J57" s="20" t="s">
        <v>50</v>
      </c>
      <c r="K57" s="20" t="s">
        <v>18</v>
      </c>
    </row>
    <row r="58" ht="15.75" customHeight="1">
      <c r="G58" s="32"/>
      <c r="H58" s="32"/>
      <c r="I58" s="32"/>
      <c r="J58" s="32"/>
      <c r="K58" s="32"/>
    </row>
    <row r="59" ht="15.75" customHeight="1">
      <c r="G59" s="39" t="s">
        <v>47</v>
      </c>
      <c r="H59" s="40">
        <v>0.0</v>
      </c>
      <c r="I59" s="20" t="s">
        <v>51</v>
      </c>
      <c r="J59" s="20" t="s">
        <v>52</v>
      </c>
      <c r="K59" s="41" t="s">
        <v>18</v>
      </c>
    </row>
    <row r="60" ht="15.75" customHeight="1">
      <c r="G60" s="32"/>
      <c r="H60" s="32"/>
      <c r="I60" s="32"/>
      <c r="J60" s="32"/>
      <c r="K60" s="32"/>
    </row>
    <row r="61" ht="15.75" customHeight="1">
      <c r="G61" s="39" t="s">
        <v>53</v>
      </c>
      <c r="H61" s="40">
        <v>23000.0</v>
      </c>
      <c r="I61" s="20" t="s">
        <v>54</v>
      </c>
      <c r="J61" s="20" t="s">
        <v>55</v>
      </c>
      <c r="K61" s="20" t="s">
        <v>18</v>
      </c>
    </row>
    <row r="62" ht="15.75" customHeight="1">
      <c r="G62" s="32"/>
      <c r="H62" s="32"/>
      <c r="I62" s="32"/>
      <c r="J62" s="32"/>
      <c r="K62" s="32"/>
    </row>
    <row r="63" ht="15.75" customHeight="1">
      <c r="G63" s="39" t="s">
        <v>53</v>
      </c>
      <c r="H63" s="40">
        <v>30000.0</v>
      </c>
      <c r="I63" s="20" t="s">
        <v>56</v>
      </c>
      <c r="J63" s="20" t="s">
        <v>57</v>
      </c>
      <c r="K63" s="20" t="s">
        <v>19</v>
      </c>
    </row>
    <row r="64" ht="15.75" customHeight="1">
      <c r="G64" s="32"/>
      <c r="H64" s="32"/>
      <c r="I64" s="32"/>
      <c r="J64" s="32"/>
      <c r="K64" s="32"/>
    </row>
    <row r="65" ht="15.75" customHeight="1">
      <c r="G65" s="39" t="s">
        <v>26</v>
      </c>
      <c r="H65" s="574">
        <v>225000.0</v>
      </c>
      <c r="I65" s="572" t="s">
        <v>38</v>
      </c>
      <c r="J65" s="20" t="s">
        <v>59</v>
      </c>
      <c r="K65" s="20" t="s">
        <v>18</v>
      </c>
    </row>
    <row r="66" ht="15.75" customHeight="1">
      <c r="G66" s="31"/>
      <c r="H66" s="31"/>
      <c r="I66" s="31"/>
      <c r="J66" s="32"/>
      <c r="K66" s="32"/>
    </row>
    <row r="67" ht="15.75" customHeight="1">
      <c r="G67" s="31"/>
      <c r="H67" s="31"/>
      <c r="I67" s="31"/>
      <c r="J67" s="20" t="s">
        <v>40</v>
      </c>
      <c r="K67" s="73" t="s">
        <v>20</v>
      </c>
    </row>
    <row r="68" ht="15.75" customHeight="1">
      <c r="G68" s="31"/>
      <c r="H68" s="31"/>
      <c r="I68" s="31"/>
      <c r="J68" s="32"/>
      <c r="K68" s="32"/>
    </row>
    <row r="69" ht="15.75" customHeight="1">
      <c r="G69" s="31"/>
      <c r="H69" s="31"/>
      <c r="I69" s="31"/>
      <c r="J69" s="20" t="s">
        <v>60</v>
      </c>
      <c r="K69" s="20" t="s">
        <v>20</v>
      </c>
    </row>
    <row r="70" ht="15.75" customHeight="1">
      <c r="G70" s="31"/>
      <c r="H70" s="31"/>
      <c r="I70" s="31"/>
      <c r="J70" s="32"/>
      <c r="K70" s="32"/>
    </row>
    <row r="71" ht="15.75" customHeight="1">
      <c r="G71" s="31"/>
      <c r="H71" s="31"/>
      <c r="I71" s="31"/>
      <c r="J71" s="20" t="s">
        <v>61</v>
      </c>
      <c r="K71" s="20" t="s">
        <v>20</v>
      </c>
    </row>
    <row r="72" ht="15.75" customHeight="1">
      <c r="G72" s="31"/>
      <c r="H72" s="31"/>
      <c r="I72" s="31"/>
      <c r="J72" s="32"/>
      <c r="K72" s="32"/>
    </row>
    <row r="73" ht="15.75" customHeight="1">
      <c r="G73" s="31"/>
      <c r="H73" s="31"/>
      <c r="I73" s="31"/>
      <c r="J73" s="20" t="s">
        <v>62</v>
      </c>
      <c r="K73" s="20" t="s">
        <v>19</v>
      </c>
    </row>
    <row r="74" ht="15.75" customHeight="1">
      <c r="G74" s="31"/>
      <c r="H74" s="31"/>
      <c r="I74" s="31"/>
      <c r="J74" s="32"/>
      <c r="K74" s="32"/>
    </row>
    <row r="75" ht="15.75" customHeight="1">
      <c r="G75" s="31"/>
      <c r="H75" s="31"/>
      <c r="I75" s="31"/>
      <c r="J75" s="20" t="s">
        <v>63</v>
      </c>
      <c r="K75" s="20" t="s">
        <v>19</v>
      </c>
    </row>
    <row r="76" ht="15.75" customHeight="1">
      <c r="G76" s="31"/>
      <c r="H76" s="31"/>
      <c r="I76" s="31"/>
      <c r="J76" s="32"/>
      <c r="K76" s="32"/>
    </row>
    <row r="77" ht="15.75" customHeight="1">
      <c r="G77" s="31"/>
      <c r="H77" s="31"/>
      <c r="I77" s="31"/>
      <c r="J77" s="20" t="s">
        <v>64</v>
      </c>
      <c r="K77" s="20" t="s">
        <v>19</v>
      </c>
    </row>
    <row r="78" ht="15.75" customHeight="1">
      <c r="G78" s="32"/>
      <c r="H78" s="32"/>
      <c r="I78" s="32"/>
      <c r="J78" s="32"/>
      <c r="K78" s="32"/>
    </row>
    <row r="79" ht="15.75" customHeight="1">
      <c r="G79" s="39" t="s">
        <v>47</v>
      </c>
      <c r="H79" s="17">
        <v>0.0</v>
      </c>
      <c r="I79" s="20" t="s">
        <v>65</v>
      </c>
      <c r="J79" s="20" t="s">
        <v>43</v>
      </c>
      <c r="K79" s="20" t="s">
        <v>44</v>
      </c>
    </row>
    <row r="80" ht="15.75" customHeight="1">
      <c r="G80" s="31"/>
      <c r="H80" s="32"/>
      <c r="I80" s="31"/>
      <c r="J80" s="31"/>
      <c r="K80" s="31"/>
    </row>
    <row r="81" ht="15.75" customHeight="1">
      <c r="G81" s="39" t="s">
        <v>47</v>
      </c>
      <c r="H81" s="17">
        <v>0.0</v>
      </c>
      <c r="I81" s="20" t="s">
        <v>66</v>
      </c>
      <c r="J81" s="20" t="s">
        <v>43</v>
      </c>
      <c r="K81" s="20" t="s">
        <v>44</v>
      </c>
    </row>
    <row r="82" ht="15.75" customHeight="1">
      <c r="G82" s="31"/>
      <c r="H82" s="32"/>
      <c r="I82" s="31"/>
      <c r="J82" s="31"/>
      <c r="K82" s="31"/>
    </row>
    <row r="83" ht="15.75" customHeight="1">
      <c r="G83" s="18" t="s">
        <v>47</v>
      </c>
      <c r="H83" s="17">
        <v>0.0</v>
      </c>
      <c r="I83" s="20" t="s">
        <v>67</v>
      </c>
      <c r="J83" s="20" t="s">
        <v>43</v>
      </c>
      <c r="K83" s="41" t="s">
        <v>44</v>
      </c>
    </row>
    <row r="84" ht="15.75" customHeight="1">
      <c r="G84" s="31"/>
      <c r="H84" s="32"/>
      <c r="I84" s="31"/>
      <c r="J84" s="31"/>
      <c r="K84" s="3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9">
    <mergeCell ref="J28:J29"/>
    <mergeCell ref="J30:J31"/>
    <mergeCell ref="J32:J33"/>
    <mergeCell ref="J20:J21"/>
    <mergeCell ref="K20:K21"/>
    <mergeCell ref="J22:J23"/>
    <mergeCell ref="K22:K23"/>
    <mergeCell ref="J24:J25"/>
    <mergeCell ref="K24:K25"/>
    <mergeCell ref="K28:K29"/>
    <mergeCell ref="J45:J46"/>
    <mergeCell ref="J47:J48"/>
    <mergeCell ref="K47:K48"/>
    <mergeCell ref="J49:J50"/>
    <mergeCell ref="K49:K50"/>
    <mergeCell ref="J51:J52"/>
    <mergeCell ref="K51:K52"/>
    <mergeCell ref="J53:J54"/>
    <mergeCell ref="K53:K54"/>
    <mergeCell ref="J55:J56"/>
    <mergeCell ref="K55:K56"/>
    <mergeCell ref="J57:J58"/>
    <mergeCell ref="K57:K58"/>
    <mergeCell ref="K59:K60"/>
    <mergeCell ref="J73:J74"/>
    <mergeCell ref="J75:J76"/>
    <mergeCell ref="J77:J78"/>
    <mergeCell ref="J79:J80"/>
    <mergeCell ref="J81:J82"/>
    <mergeCell ref="J83:J84"/>
    <mergeCell ref="J59:J60"/>
    <mergeCell ref="J61:J62"/>
    <mergeCell ref="J63:J64"/>
    <mergeCell ref="J65:J66"/>
    <mergeCell ref="J67:J68"/>
    <mergeCell ref="J69:J70"/>
    <mergeCell ref="J71:J72"/>
    <mergeCell ref="K75:K76"/>
    <mergeCell ref="K77:K78"/>
    <mergeCell ref="K79:K80"/>
    <mergeCell ref="K81:K82"/>
    <mergeCell ref="K83:K84"/>
    <mergeCell ref="K61:K62"/>
    <mergeCell ref="K63:K64"/>
    <mergeCell ref="K65:K66"/>
    <mergeCell ref="K67:K68"/>
    <mergeCell ref="K69:K70"/>
    <mergeCell ref="K71:K72"/>
    <mergeCell ref="K73:K74"/>
    <mergeCell ref="I16:I17"/>
    <mergeCell ref="J16:J17"/>
    <mergeCell ref="G14:G15"/>
    <mergeCell ref="H14:H15"/>
    <mergeCell ref="I14:I15"/>
    <mergeCell ref="J14:J15"/>
    <mergeCell ref="K14:K15"/>
    <mergeCell ref="H16:H17"/>
    <mergeCell ref="K16:K17"/>
    <mergeCell ref="G16:G17"/>
    <mergeCell ref="G18:G19"/>
    <mergeCell ref="H18:H19"/>
    <mergeCell ref="I18:I19"/>
    <mergeCell ref="J18:J19"/>
    <mergeCell ref="K18:K19"/>
    <mergeCell ref="G20:G21"/>
    <mergeCell ref="G24:G25"/>
    <mergeCell ref="G26:G27"/>
    <mergeCell ref="H26:H27"/>
    <mergeCell ref="I26:I27"/>
    <mergeCell ref="J26:J27"/>
    <mergeCell ref="K26:K27"/>
    <mergeCell ref="H20:H21"/>
    <mergeCell ref="I20:I21"/>
    <mergeCell ref="G22:G23"/>
    <mergeCell ref="H22:H23"/>
    <mergeCell ref="I22:I23"/>
    <mergeCell ref="H24:H25"/>
    <mergeCell ref="I24:I25"/>
    <mergeCell ref="K30:K31"/>
    <mergeCell ref="K32:K33"/>
    <mergeCell ref="J34:J35"/>
    <mergeCell ref="K34:K35"/>
    <mergeCell ref="J36:J37"/>
    <mergeCell ref="K36:K37"/>
    <mergeCell ref="J39:J40"/>
    <mergeCell ref="K39:K40"/>
    <mergeCell ref="H41:H42"/>
    <mergeCell ref="I41:I42"/>
    <mergeCell ref="J41:J42"/>
    <mergeCell ref="K41:K42"/>
    <mergeCell ref="J43:J44"/>
    <mergeCell ref="K43:K44"/>
    <mergeCell ref="K45:K46"/>
    <mergeCell ref="H81:H82"/>
    <mergeCell ref="I81:I82"/>
    <mergeCell ref="G83:G84"/>
    <mergeCell ref="H83:H84"/>
    <mergeCell ref="I83:I84"/>
    <mergeCell ref="G65:G78"/>
    <mergeCell ref="H65:H78"/>
    <mergeCell ref="I65:I78"/>
    <mergeCell ref="G79:G80"/>
    <mergeCell ref="H79:H80"/>
    <mergeCell ref="I79:I80"/>
    <mergeCell ref="G81:G82"/>
    <mergeCell ref="G28:G36"/>
    <mergeCell ref="H28:H37"/>
    <mergeCell ref="I28:I37"/>
    <mergeCell ref="G39:G40"/>
    <mergeCell ref="H39:H40"/>
    <mergeCell ref="I39:I40"/>
    <mergeCell ref="G41:G42"/>
    <mergeCell ref="H51:H52"/>
    <mergeCell ref="I51:I52"/>
    <mergeCell ref="G43:G44"/>
    <mergeCell ref="H43:H44"/>
    <mergeCell ref="I43:I44"/>
    <mergeCell ref="G45:G50"/>
    <mergeCell ref="H45:H50"/>
    <mergeCell ref="I45:I50"/>
    <mergeCell ref="G51:G52"/>
    <mergeCell ref="H57:H58"/>
    <mergeCell ref="I57:I58"/>
    <mergeCell ref="G53:G54"/>
    <mergeCell ref="H53:H54"/>
    <mergeCell ref="I53:I54"/>
    <mergeCell ref="G55:G56"/>
    <mergeCell ref="H55:H56"/>
    <mergeCell ref="I55:I56"/>
    <mergeCell ref="G57:G58"/>
    <mergeCell ref="H63:H64"/>
    <mergeCell ref="I63:I64"/>
    <mergeCell ref="G59:G60"/>
    <mergeCell ref="H59:H60"/>
    <mergeCell ref="I59:I60"/>
    <mergeCell ref="G61:G62"/>
    <mergeCell ref="H61:H62"/>
    <mergeCell ref="I61:I62"/>
    <mergeCell ref="G63:G64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32.43"/>
    <col customWidth="1" min="8" max="8" width="21.29"/>
    <col customWidth="1" min="9" max="9" width="127.14"/>
    <col customWidth="1" min="35" max="35" width="20.14"/>
  </cols>
  <sheetData>
    <row r="10">
      <c r="A10" s="575"/>
      <c r="B10" s="576"/>
      <c r="C10" s="576"/>
      <c r="D10" s="576"/>
      <c r="E10" s="576"/>
      <c r="F10" s="576"/>
      <c r="G10" s="576"/>
      <c r="H10" s="576"/>
      <c r="I10" s="576"/>
      <c r="J10" s="576"/>
      <c r="K10" s="576"/>
      <c r="L10" s="576"/>
      <c r="M10" s="576"/>
      <c r="N10" s="576"/>
      <c r="O10" s="576"/>
      <c r="P10" s="576"/>
      <c r="Q10" s="576"/>
      <c r="R10" s="576"/>
      <c r="S10" s="576"/>
      <c r="T10" s="576"/>
      <c r="U10" s="576"/>
      <c r="V10" s="577"/>
      <c r="W10" s="575"/>
      <c r="X10" s="576"/>
      <c r="Y10" s="576"/>
      <c r="Z10" s="576"/>
      <c r="AA10" s="576"/>
      <c r="AB10" s="576"/>
      <c r="AC10" s="577"/>
      <c r="AD10" s="575"/>
      <c r="AE10" s="576"/>
      <c r="AF10" s="577"/>
      <c r="AG10" s="575"/>
      <c r="AH10" s="576"/>
      <c r="AI10" s="576"/>
      <c r="AJ10" s="576"/>
      <c r="AK10" s="576"/>
      <c r="AL10" s="577"/>
    </row>
    <row r="11">
      <c r="A11" s="538" t="s">
        <v>140</v>
      </c>
      <c r="B11" s="537" t="s">
        <v>141</v>
      </c>
      <c r="C11" s="537" t="s">
        <v>142</v>
      </c>
      <c r="D11" s="538" t="s">
        <v>2</v>
      </c>
      <c r="E11" s="537" t="s">
        <v>143</v>
      </c>
      <c r="F11" s="538" t="s">
        <v>144</v>
      </c>
      <c r="G11" s="537" t="s">
        <v>145</v>
      </c>
      <c r="H11" s="537" t="s">
        <v>146</v>
      </c>
      <c r="I11" s="537" t="s">
        <v>147</v>
      </c>
      <c r="J11" s="538" t="s">
        <v>148</v>
      </c>
      <c r="K11" s="537" t="s">
        <v>149</v>
      </c>
      <c r="L11" s="537" t="s">
        <v>150</v>
      </c>
      <c r="M11" s="537" t="s">
        <v>151</v>
      </c>
      <c r="N11" s="537" t="s">
        <v>152</v>
      </c>
      <c r="O11" s="538" t="s">
        <v>153</v>
      </c>
      <c r="P11" s="538" t="s">
        <v>154</v>
      </c>
      <c r="Q11" s="538" t="s">
        <v>155</v>
      </c>
      <c r="R11" s="538" t="s">
        <v>156</v>
      </c>
      <c r="S11" s="538" t="s">
        <v>157</v>
      </c>
      <c r="T11" s="538" t="s">
        <v>158</v>
      </c>
      <c r="U11" s="538" t="s">
        <v>159</v>
      </c>
      <c r="V11" s="537" t="s">
        <v>160</v>
      </c>
      <c r="W11" s="537" t="s">
        <v>161</v>
      </c>
      <c r="X11" s="539" t="s">
        <v>162</v>
      </c>
      <c r="Y11" s="539" t="s">
        <v>163</v>
      </c>
      <c r="Z11" s="539" t="s">
        <v>164</v>
      </c>
      <c r="AA11" s="539" t="s">
        <v>165</v>
      </c>
      <c r="AB11" s="539" t="s">
        <v>166</v>
      </c>
      <c r="AC11" s="539" t="s">
        <v>167</v>
      </c>
      <c r="AD11" s="540" t="s">
        <v>168</v>
      </c>
      <c r="AE11" s="540" t="s">
        <v>169</v>
      </c>
      <c r="AF11" s="537" t="s">
        <v>170</v>
      </c>
      <c r="AG11" s="541" t="s">
        <v>171</v>
      </c>
      <c r="AH11" s="541" t="s">
        <v>172</v>
      </c>
      <c r="AI11" s="537" t="s">
        <v>173</v>
      </c>
      <c r="AJ11" s="541" t="s">
        <v>174</v>
      </c>
      <c r="AK11" s="541" t="s">
        <v>175</v>
      </c>
      <c r="AL11" s="541" t="s">
        <v>176</v>
      </c>
    </row>
    <row r="12">
      <c r="A12" s="542" t="s">
        <v>177</v>
      </c>
      <c r="B12" s="542" t="s">
        <v>178</v>
      </c>
      <c r="C12" s="542" t="s">
        <v>179</v>
      </c>
      <c r="D12" s="542" t="s">
        <v>180</v>
      </c>
      <c r="E12" s="542" t="s">
        <v>181</v>
      </c>
      <c r="F12" s="542" t="s">
        <v>182</v>
      </c>
      <c r="G12" s="542" t="s">
        <v>27</v>
      </c>
      <c r="H12" s="542" t="s">
        <v>183</v>
      </c>
      <c r="I12" s="578" t="s">
        <v>184</v>
      </c>
      <c r="J12" s="542" t="s">
        <v>185</v>
      </c>
      <c r="K12" s="542" t="s">
        <v>26</v>
      </c>
      <c r="L12" s="542" t="s">
        <v>20</v>
      </c>
      <c r="M12" s="544">
        <v>43899.0</v>
      </c>
      <c r="N12" s="544">
        <v>44074.0</v>
      </c>
      <c r="O12" s="542"/>
      <c r="P12" s="542" t="s">
        <v>186</v>
      </c>
      <c r="Q12" s="542" t="s">
        <v>187</v>
      </c>
      <c r="R12" s="542" t="s">
        <v>188</v>
      </c>
      <c r="S12" s="542" t="s">
        <v>188</v>
      </c>
      <c r="T12" s="542" t="s">
        <v>188</v>
      </c>
      <c r="U12" s="542" t="s">
        <v>189</v>
      </c>
      <c r="V12" s="579">
        <v>600718.0</v>
      </c>
      <c r="W12" s="542" t="s">
        <v>17</v>
      </c>
      <c r="X12" s="542">
        <v>2.0</v>
      </c>
      <c r="Y12" s="546">
        <f t="shared" ref="Y12:Y22" si="1">V12</f>
        <v>600718</v>
      </c>
      <c r="Z12" s="547">
        <f t="shared" ref="Z12:Z13" si="2">V12/X12*1000</f>
        <v>300359000</v>
      </c>
      <c r="AA12" s="542"/>
      <c r="AB12" s="542"/>
      <c r="AC12" s="542"/>
      <c r="AD12" s="542" t="s">
        <v>17</v>
      </c>
      <c r="AE12" s="542">
        <v>2.0</v>
      </c>
      <c r="AF12" s="547">
        <f t="shared" ref="AF12:AF22" si="3">Z12</f>
        <v>300359000</v>
      </c>
      <c r="AG12" s="542"/>
      <c r="AH12" s="542"/>
      <c r="AI12" s="542" t="s">
        <v>190</v>
      </c>
      <c r="AJ12" s="542"/>
      <c r="AK12" s="542"/>
      <c r="AL12" s="542"/>
    </row>
    <row r="13">
      <c r="A13" s="542" t="s">
        <v>177</v>
      </c>
      <c r="B13" s="542" t="s">
        <v>178</v>
      </c>
      <c r="C13" s="542" t="s">
        <v>179</v>
      </c>
      <c r="D13" s="542" t="s">
        <v>180</v>
      </c>
      <c r="E13" s="542" t="s">
        <v>181</v>
      </c>
      <c r="F13" s="542" t="s">
        <v>182</v>
      </c>
      <c r="G13" s="542" t="s">
        <v>27</v>
      </c>
      <c r="H13" s="542" t="s">
        <v>48</v>
      </c>
      <c r="I13" s="550" t="s">
        <v>191</v>
      </c>
      <c r="J13" s="542" t="s">
        <v>185</v>
      </c>
      <c r="K13" s="542" t="s">
        <v>47</v>
      </c>
      <c r="L13" s="542" t="s">
        <v>20</v>
      </c>
      <c r="M13" s="544">
        <v>43922.0</v>
      </c>
      <c r="N13" s="544">
        <v>44074.0</v>
      </c>
      <c r="O13" s="542"/>
      <c r="P13" s="542" t="s">
        <v>186</v>
      </c>
      <c r="Q13" s="542" t="s">
        <v>187</v>
      </c>
      <c r="R13" s="542" t="s">
        <v>188</v>
      </c>
      <c r="S13" s="542" t="s">
        <v>188</v>
      </c>
      <c r="T13" s="542" t="s">
        <v>188</v>
      </c>
      <c r="U13" s="542" t="s">
        <v>189</v>
      </c>
      <c r="V13" s="546">
        <v>164326.0</v>
      </c>
      <c r="W13" s="542" t="s">
        <v>17</v>
      </c>
      <c r="X13" s="542">
        <v>2.3</v>
      </c>
      <c r="Y13" s="546">
        <f t="shared" si="1"/>
        <v>164326</v>
      </c>
      <c r="Z13" s="547">
        <f t="shared" si="2"/>
        <v>71446086.96</v>
      </c>
      <c r="AA13" s="542"/>
      <c r="AB13" s="542"/>
      <c r="AC13" s="542"/>
      <c r="AD13" s="542" t="s">
        <v>17</v>
      </c>
      <c r="AE13" s="542">
        <v>2.3</v>
      </c>
      <c r="AF13" s="547">
        <f t="shared" si="3"/>
        <v>71446086.96</v>
      </c>
      <c r="AG13" s="542"/>
      <c r="AH13" s="542"/>
      <c r="AI13" s="542" t="s">
        <v>193</v>
      </c>
      <c r="AJ13" s="542"/>
      <c r="AK13" s="542"/>
      <c r="AL13" s="542"/>
    </row>
    <row r="14">
      <c r="A14" s="542" t="s">
        <v>177</v>
      </c>
      <c r="B14" s="542" t="s">
        <v>178</v>
      </c>
      <c r="C14" s="542" t="s">
        <v>179</v>
      </c>
      <c r="D14" s="542" t="s">
        <v>180</v>
      </c>
      <c r="E14" s="542" t="s">
        <v>181</v>
      </c>
      <c r="F14" s="542" t="s">
        <v>182</v>
      </c>
      <c r="G14" s="542" t="s">
        <v>199</v>
      </c>
      <c r="H14" s="542" t="s">
        <v>200</v>
      </c>
      <c r="I14" s="542" t="s">
        <v>214</v>
      </c>
      <c r="J14" s="542" t="s">
        <v>185</v>
      </c>
      <c r="K14" s="542" t="s">
        <v>26</v>
      </c>
      <c r="L14" s="542" t="s">
        <v>18</v>
      </c>
      <c r="M14" s="544">
        <v>43899.0</v>
      </c>
      <c r="N14" s="544">
        <v>44074.0</v>
      </c>
      <c r="O14" s="542"/>
      <c r="P14" s="542" t="s">
        <v>186</v>
      </c>
      <c r="Q14" s="542" t="s">
        <v>187</v>
      </c>
      <c r="R14" s="542" t="s">
        <v>188</v>
      </c>
      <c r="S14" s="542" t="s">
        <v>188</v>
      </c>
      <c r="T14" s="542" t="s">
        <v>188</v>
      </c>
      <c r="U14" s="542" t="s">
        <v>189</v>
      </c>
      <c r="V14" s="579">
        <v>829329.0</v>
      </c>
      <c r="W14" s="542" t="s">
        <v>15</v>
      </c>
      <c r="X14" s="542">
        <v>0.5</v>
      </c>
      <c r="Y14" s="546">
        <f t="shared" si="1"/>
        <v>829329</v>
      </c>
      <c r="Z14" s="547">
        <f>V14/X14</f>
        <v>1658658</v>
      </c>
      <c r="AA14" s="542"/>
      <c r="AB14" s="542"/>
      <c r="AC14" s="542"/>
      <c r="AD14" s="542" t="s">
        <v>15</v>
      </c>
      <c r="AE14" s="542">
        <v>0.7</v>
      </c>
      <c r="AF14" s="547">
        <f t="shared" si="3"/>
        <v>1658658</v>
      </c>
      <c r="AG14" s="542"/>
      <c r="AH14" s="542"/>
      <c r="AI14" s="542" t="s">
        <v>202</v>
      </c>
      <c r="AJ14" s="542"/>
      <c r="AK14" s="542"/>
      <c r="AL14" s="542"/>
    </row>
    <row r="15">
      <c r="A15" s="542" t="s">
        <v>177</v>
      </c>
      <c r="B15" s="542" t="s">
        <v>178</v>
      </c>
      <c r="C15" s="542" t="s">
        <v>179</v>
      </c>
      <c r="D15" s="542" t="s">
        <v>180</v>
      </c>
      <c r="E15" s="542" t="s">
        <v>181</v>
      </c>
      <c r="F15" s="542" t="s">
        <v>182</v>
      </c>
      <c r="G15" s="542" t="s">
        <v>215</v>
      </c>
      <c r="H15" s="542" t="s">
        <v>56</v>
      </c>
      <c r="I15" s="542" t="s">
        <v>216</v>
      </c>
      <c r="J15" s="542" t="s">
        <v>185</v>
      </c>
      <c r="K15" s="542" t="s">
        <v>53</v>
      </c>
      <c r="L15" s="542" t="s">
        <v>20</v>
      </c>
      <c r="M15" s="544">
        <v>43983.0</v>
      </c>
      <c r="N15" s="544">
        <v>44012.0</v>
      </c>
      <c r="O15" s="542"/>
      <c r="P15" s="542" t="s">
        <v>186</v>
      </c>
      <c r="Q15" s="542" t="s">
        <v>187</v>
      </c>
      <c r="R15" s="542" t="s">
        <v>188</v>
      </c>
      <c r="S15" s="542" t="s">
        <v>188</v>
      </c>
      <c r="T15" s="542" t="s">
        <v>188</v>
      </c>
      <c r="U15" s="542" t="s">
        <v>189</v>
      </c>
      <c r="V15" s="546">
        <v>30000.0</v>
      </c>
      <c r="W15" s="542" t="s">
        <v>17</v>
      </c>
      <c r="X15" s="542">
        <v>0.76</v>
      </c>
      <c r="Y15" s="546">
        <f t="shared" si="1"/>
        <v>30000</v>
      </c>
      <c r="Z15" s="547">
        <f t="shared" ref="Z15:Z16" si="4">V15/X15*1000</f>
        <v>39473684.21</v>
      </c>
      <c r="AA15" s="542"/>
      <c r="AB15" s="542"/>
      <c r="AC15" s="542"/>
      <c r="AD15" s="542" t="s">
        <v>17</v>
      </c>
      <c r="AE15" s="542">
        <v>0.76</v>
      </c>
      <c r="AF15" s="547">
        <f t="shared" si="3"/>
        <v>39473684.21</v>
      </c>
      <c r="AG15" s="542"/>
      <c r="AH15" s="542"/>
      <c r="AI15" s="549" t="s">
        <v>198</v>
      </c>
      <c r="AJ15" s="542"/>
      <c r="AK15" s="542"/>
      <c r="AL15" s="542"/>
    </row>
    <row r="16">
      <c r="A16" s="542" t="s">
        <v>177</v>
      </c>
      <c r="B16" s="542" t="s">
        <v>178</v>
      </c>
      <c r="C16" s="542" t="s">
        <v>179</v>
      </c>
      <c r="D16" s="542" t="s">
        <v>180</v>
      </c>
      <c r="E16" s="542" t="s">
        <v>181</v>
      </c>
      <c r="F16" s="542" t="s">
        <v>182</v>
      </c>
      <c r="G16" s="542" t="s">
        <v>32</v>
      </c>
      <c r="H16" s="542" t="s">
        <v>32</v>
      </c>
      <c r="I16" s="550" t="s">
        <v>217</v>
      </c>
      <c r="J16" s="542" t="s">
        <v>185</v>
      </c>
      <c r="K16" s="542" t="s">
        <v>26</v>
      </c>
      <c r="L16" s="542" t="s">
        <v>20</v>
      </c>
      <c r="M16" s="544">
        <v>43899.0</v>
      </c>
      <c r="N16" s="544">
        <v>43982.0</v>
      </c>
      <c r="O16" s="542"/>
      <c r="P16" s="542" t="s">
        <v>186</v>
      </c>
      <c r="Q16" s="542" t="s">
        <v>187</v>
      </c>
      <c r="R16" s="542" t="s">
        <v>188</v>
      </c>
      <c r="S16" s="542" t="s">
        <v>188</v>
      </c>
      <c r="T16" s="542" t="s">
        <v>188</v>
      </c>
      <c r="U16" s="542" t="s">
        <v>189</v>
      </c>
      <c r="V16" s="579">
        <v>160000.0</v>
      </c>
      <c r="W16" s="542" t="s">
        <v>17</v>
      </c>
      <c r="X16" s="542">
        <v>16.0</v>
      </c>
      <c r="Y16" s="546">
        <f t="shared" si="1"/>
        <v>160000</v>
      </c>
      <c r="Z16" s="547">
        <f t="shared" si="4"/>
        <v>10000000</v>
      </c>
      <c r="AA16" s="542"/>
      <c r="AB16" s="542"/>
      <c r="AC16" s="542"/>
      <c r="AD16" s="542" t="s">
        <v>17</v>
      </c>
      <c r="AE16" s="542">
        <v>16.0</v>
      </c>
      <c r="AF16" s="547">
        <f t="shared" si="3"/>
        <v>10000000</v>
      </c>
      <c r="AG16" s="542"/>
      <c r="AH16" s="542"/>
      <c r="AI16" s="542" t="s">
        <v>204</v>
      </c>
      <c r="AJ16" s="542"/>
      <c r="AK16" s="542"/>
      <c r="AL16" s="542"/>
    </row>
    <row r="17">
      <c r="A17" s="542" t="s">
        <v>177</v>
      </c>
      <c r="B17" s="542" t="s">
        <v>178</v>
      </c>
      <c r="C17" s="542" t="s">
        <v>179</v>
      </c>
      <c r="D17" s="542" t="s">
        <v>180</v>
      </c>
      <c r="E17" s="542" t="s">
        <v>181</v>
      </c>
      <c r="F17" s="542" t="s">
        <v>182</v>
      </c>
      <c r="G17" s="542" t="s">
        <v>215</v>
      </c>
      <c r="H17" s="542" t="s">
        <v>51</v>
      </c>
      <c r="I17" s="580" t="s">
        <v>218</v>
      </c>
      <c r="J17" s="542" t="s">
        <v>185</v>
      </c>
      <c r="K17" s="542" t="s">
        <v>47</v>
      </c>
      <c r="L17" s="542" t="s">
        <v>18</v>
      </c>
      <c r="M17" s="544">
        <v>44013.0</v>
      </c>
      <c r="N17" s="544">
        <v>44074.0</v>
      </c>
      <c r="O17" s="542"/>
      <c r="P17" s="542" t="s">
        <v>186</v>
      </c>
      <c r="Q17" s="542" t="s">
        <v>187</v>
      </c>
      <c r="R17" s="542" t="s">
        <v>188</v>
      </c>
      <c r="S17" s="542" t="s">
        <v>188</v>
      </c>
      <c r="T17" s="542" t="s">
        <v>188</v>
      </c>
      <c r="U17" s="542" t="s">
        <v>189</v>
      </c>
      <c r="V17" s="579">
        <v>143861.0</v>
      </c>
      <c r="W17" s="542" t="s">
        <v>15</v>
      </c>
      <c r="X17" s="542">
        <v>0.09</v>
      </c>
      <c r="Y17" s="546">
        <f t="shared" si="1"/>
        <v>143861</v>
      </c>
      <c r="Z17" s="547">
        <f>V17/X17</f>
        <v>1598455.556</v>
      </c>
      <c r="AA17" s="542"/>
      <c r="AB17" s="542"/>
      <c r="AC17" s="542"/>
      <c r="AD17" s="542" t="s">
        <v>15</v>
      </c>
      <c r="AE17" s="542">
        <v>0.09</v>
      </c>
      <c r="AF17" s="547">
        <f t="shared" si="3"/>
        <v>1598455.556</v>
      </c>
      <c r="AG17" s="542"/>
      <c r="AH17" s="542"/>
      <c r="AI17" s="542" t="s">
        <v>202</v>
      </c>
      <c r="AJ17" s="542"/>
      <c r="AK17" s="542"/>
      <c r="AL17" s="542"/>
    </row>
    <row r="18">
      <c r="A18" s="542" t="s">
        <v>177</v>
      </c>
      <c r="B18" s="542" t="s">
        <v>178</v>
      </c>
      <c r="C18" s="542" t="s">
        <v>179</v>
      </c>
      <c r="D18" s="542" t="s">
        <v>180</v>
      </c>
      <c r="E18" s="542" t="s">
        <v>181</v>
      </c>
      <c r="F18" s="542" t="s">
        <v>182</v>
      </c>
      <c r="G18" s="542" t="s">
        <v>215</v>
      </c>
      <c r="H18" s="542" t="s">
        <v>205</v>
      </c>
      <c r="I18" s="550" t="s">
        <v>206</v>
      </c>
      <c r="J18" s="542" t="s">
        <v>185</v>
      </c>
      <c r="K18" s="542" t="s">
        <v>26</v>
      </c>
      <c r="L18" s="542" t="s">
        <v>20</v>
      </c>
      <c r="M18" s="544">
        <v>43899.0</v>
      </c>
      <c r="N18" s="544">
        <v>44074.0</v>
      </c>
      <c r="O18" s="542"/>
      <c r="P18" s="542" t="s">
        <v>186</v>
      </c>
      <c r="Q18" s="542" t="s">
        <v>187</v>
      </c>
      <c r="R18" s="542" t="s">
        <v>188</v>
      </c>
      <c r="S18" s="542" t="s">
        <v>188</v>
      </c>
      <c r="T18" s="542" t="s">
        <v>188</v>
      </c>
      <c r="U18" s="542" t="s">
        <v>189</v>
      </c>
      <c r="V18" s="546">
        <v>260000.0</v>
      </c>
      <c r="W18" s="542" t="s">
        <v>17</v>
      </c>
      <c r="X18" s="542">
        <v>6.5</v>
      </c>
      <c r="Y18" s="546">
        <f t="shared" si="1"/>
        <v>260000</v>
      </c>
      <c r="Z18" s="547">
        <f>V18/X18*1000</f>
        <v>40000000</v>
      </c>
      <c r="AA18" s="542"/>
      <c r="AB18" s="542"/>
      <c r="AC18" s="542"/>
      <c r="AD18" s="542" t="s">
        <v>17</v>
      </c>
      <c r="AE18" s="542">
        <v>6.5</v>
      </c>
      <c r="AF18" s="547">
        <f t="shared" si="3"/>
        <v>40000000</v>
      </c>
      <c r="AG18" s="542"/>
      <c r="AH18" s="542"/>
      <c r="AI18" s="542" t="s">
        <v>40</v>
      </c>
      <c r="AJ18" s="542"/>
      <c r="AK18" s="542"/>
      <c r="AL18" s="542"/>
    </row>
    <row r="19">
      <c r="A19" s="542" t="s">
        <v>177</v>
      </c>
      <c r="B19" s="542" t="s">
        <v>178</v>
      </c>
      <c r="C19" s="542" t="s">
        <v>179</v>
      </c>
      <c r="D19" s="542" t="s">
        <v>180</v>
      </c>
      <c r="E19" s="542" t="s">
        <v>181</v>
      </c>
      <c r="F19" s="542" t="s">
        <v>182</v>
      </c>
      <c r="G19" s="542" t="s">
        <v>215</v>
      </c>
      <c r="H19" s="542" t="s">
        <v>205</v>
      </c>
      <c r="I19" s="550" t="s">
        <v>207</v>
      </c>
      <c r="J19" s="542" t="s">
        <v>185</v>
      </c>
      <c r="K19" s="542" t="s">
        <v>219</v>
      </c>
      <c r="L19" s="542" t="s">
        <v>19</v>
      </c>
      <c r="M19" s="544">
        <v>43952.0</v>
      </c>
      <c r="N19" s="544">
        <v>44074.0</v>
      </c>
      <c r="O19" s="542"/>
      <c r="P19" s="542" t="s">
        <v>186</v>
      </c>
      <c r="Q19" s="542" t="s">
        <v>187</v>
      </c>
      <c r="R19" s="542" t="s">
        <v>188</v>
      </c>
      <c r="S19" s="542" t="s">
        <v>188</v>
      </c>
      <c r="T19" s="542" t="s">
        <v>188</v>
      </c>
      <c r="U19" s="542" t="s">
        <v>189</v>
      </c>
      <c r="V19" s="546">
        <v>200000.0</v>
      </c>
      <c r="W19" s="542" t="s">
        <v>16</v>
      </c>
      <c r="X19" s="542">
        <v>0.6</v>
      </c>
      <c r="Y19" s="546">
        <f t="shared" si="1"/>
        <v>200000</v>
      </c>
      <c r="Z19" s="547">
        <f t="shared" ref="Z19:Z20" si="5">V19/X19</f>
        <v>333333.3333</v>
      </c>
      <c r="AA19" s="542"/>
      <c r="AB19" s="542"/>
      <c r="AC19" s="542"/>
      <c r="AD19" s="542" t="s">
        <v>16</v>
      </c>
      <c r="AE19" s="542">
        <v>0.6</v>
      </c>
      <c r="AF19" s="547">
        <f t="shared" si="3"/>
        <v>333333.3333</v>
      </c>
      <c r="AG19" s="542"/>
      <c r="AH19" s="542"/>
      <c r="AI19" s="542" t="s">
        <v>209</v>
      </c>
      <c r="AJ19" s="542"/>
      <c r="AK19" s="542"/>
      <c r="AL19" s="542"/>
    </row>
    <row r="20" ht="15.75" customHeight="1">
      <c r="A20" s="542" t="s">
        <v>177</v>
      </c>
      <c r="B20" s="542" t="s">
        <v>178</v>
      </c>
      <c r="C20" s="542" t="s">
        <v>179</v>
      </c>
      <c r="D20" s="542" t="s">
        <v>180</v>
      </c>
      <c r="E20" s="542" t="s">
        <v>181</v>
      </c>
      <c r="F20" s="542" t="s">
        <v>182</v>
      </c>
      <c r="G20" s="542" t="s">
        <v>215</v>
      </c>
      <c r="H20" s="542" t="s">
        <v>205</v>
      </c>
      <c r="I20" s="550" t="s">
        <v>210</v>
      </c>
      <c r="J20" s="542" t="s">
        <v>185</v>
      </c>
      <c r="K20" s="542" t="s">
        <v>26</v>
      </c>
      <c r="L20" s="542" t="s">
        <v>18</v>
      </c>
      <c r="M20" s="544">
        <v>43891.0</v>
      </c>
      <c r="N20" s="544">
        <v>44043.0</v>
      </c>
      <c r="O20" s="542"/>
      <c r="P20" s="542" t="s">
        <v>186</v>
      </c>
      <c r="Q20" s="542" t="s">
        <v>187</v>
      </c>
      <c r="R20" s="542" t="s">
        <v>188</v>
      </c>
      <c r="S20" s="542" t="s">
        <v>188</v>
      </c>
      <c r="T20" s="542" t="s">
        <v>188</v>
      </c>
      <c r="U20" s="542" t="s">
        <v>189</v>
      </c>
      <c r="V20" s="546">
        <v>292071.0</v>
      </c>
      <c r="W20" s="542" t="s">
        <v>15</v>
      </c>
      <c r="X20" s="542">
        <v>0.05</v>
      </c>
      <c r="Y20" s="546">
        <f t="shared" si="1"/>
        <v>292071</v>
      </c>
      <c r="Z20" s="547">
        <f t="shared" si="5"/>
        <v>5841420</v>
      </c>
      <c r="AA20" s="542"/>
      <c r="AB20" s="542"/>
      <c r="AC20" s="542"/>
      <c r="AD20" s="542" t="s">
        <v>15</v>
      </c>
      <c r="AE20" s="542">
        <v>0.05</v>
      </c>
      <c r="AF20" s="547">
        <f t="shared" si="3"/>
        <v>5841420</v>
      </c>
      <c r="AG20" s="542"/>
      <c r="AH20" s="542"/>
      <c r="AI20" s="542" t="s">
        <v>209</v>
      </c>
      <c r="AJ20" s="542"/>
      <c r="AK20" s="542"/>
      <c r="AL20" s="542"/>
    </row>
    <row r="21" ht="15.75" customHeight="1">
      <c r="A21" s="542" t="s">
        <v>177</v>
      </c>
      <c r="B21" s="542" t="s">
        <v>178</v>
      </c>
      <c r="C21" s="542" t="s">
        <v>179</v>
      </c>
      <c r="D21" s="542" t="s">
        <v>180</v>
      </c>
      <c r="E21" s="542" t="s">
        <v>181</v>
      </c>
      <c r="F21" s="542" t="s">
        <v>182</v>
      </c>
      <c r="G21" s="542" t="s">
        <v>215</v>
      </c>
      <c r="H21" s="542" t="s">
        <v>205</v>
      </c>
      <c r="I21" s="550" t="s">
        <v>220</v>
      </c>
      <c r="J21" s="542" t="s">
        <v>185</v>
      </c>
      <c r="K21" s="542" t="s">
        <v>26</v>
      </c>
      <c r="L21" s="542" t="s">
        <v>20</v>
      </c>
      <c r="M21" s="544">
        <v>43922.0</v>
      </c>
      <c r="N21" s="544">
        <v>44043.0</v>
      </c>
      <c r="O21" s="542"/>
      <c r="P21" s="542" t="s">
        <v>186</v>
      </c>
      <c r="Q21" s="542" t="s">
        <v>187</v>
      </c>
      <c r="R21" s="542" t="s">
        <v>188</v>
      </c>
      <c r="S21" s="542" t="s">
        <v>188</v>
      </c>
      <c r="T21" s="542" t="s">
        <v>188</v>
      </c>
      <c r="U21" s="542" t="s">
        <v>189</v>
      </c>
      <c r="V21" s="579">
        <v>95000.0</v>
      </c>
      <c r="W21" s="542" t="s">
        <v>17</v>
      </c>
      <c r="X21" s="542">
        <v>18.0</v>
      </c>
      <c r="Y21" s="546">
        <f t="shared" si="1"/>
        <v>95000</v>
      </c>
      <c r="Z21" s="547">
        <f>V21/X21*1000</f>
        <v>5277777.778</v>
      </c>
      <c r="AA21" s="542"/>
      <c r="AB21" s="542"/>
      <c r="AC21" s="542"/>
      <c r="AD21" s="542" t="s">
        <v>17</v>
      </c>
      <c r="AE21" s="542">
        <v>18.0</v>
      </c>
      <c r="AF21" s="547">
        <f t="shared" si="3"/>
        <v>5277777.778</v>
      </c>
      <c r="AG21" s="542"/>
      <c r="AH21" s="542"/>
      <c r="AI21" s="542" t="s">
        <v>209</v>
      </c>
      <c r="AJ21" s="542"/>
      <c r="AK21" s="542"/>
      <c r="AL21" s="542"/>
    </row>
    <row r="22" ht="15.75" customHeight="1">
      <c r="A22" s="542" t="s">
        <v>177</v>
      </c>
      <c r="B22" s="542" t="s">
        <v>178</v>
      </c>
      <c r="C22" s="542" t="s">
        <v>179</v>
      </c>
      <c r="D22" s="542" t="s">
        <v>180</v>
      </c>
      <c r="E22" s="542" t="s">
        <v>181</v>
      </c>
      <c r="F22" s="542" t="s">
        <v>182</v>
      </c>
      <c r="G22" s="542" t="s">
        <v>215</v>
      </c>
      <c r="H22" s="542" t="s">
        <v>200</v>
      </c>
      <c r="I22" s="550" t="s">
        <v>221</v>
      </c>
      <c r="J22" s="542" t="s">
        <v>185</v>
      </c>
      <c r="K22" s="542" t="s">
        <v>26</v>
      </c>
      <c r="L22" s="542" t="s">
        <v>18</v>
      </c>
      <c r="M22" s="544">
        <v>43899.0</v>
      </c>
      <c r="N22" s="544">
        <v>43982.0</v>
      </c>
      <c r="O22" s="542"/>
      <c r="P22" s="542" t="s">
        <v>186</v>
      </c>
      <c r="Q22" s="542" t="s">
        <v>187</v>
      </c>
      <c r="R22" s="542" t="s">
        <v>188</v>
      </c>
      <c r="S22" s="542" t="s">
        <v>188</v>
      </c>
      <c r="T22" s="542" t="s">
        <v>188</v>
      </c>
      <c r="U22" s="542" t="s">
        <v>189</v>
      </c>
      <c r="V22" s="579">
        <v>580000.0</v>
      </c>
      <c r="W22" s="542" t="s">
        <v>15</v>
      </c>
      <c r="X22" s="542">
        <v>1.29</v>
      </c>
      <c r="Y22" s="546">
        <f t="shared" si="1"/>
        <v>580000</v>
      </c>
      <c r="Z22" s="547">
        <f>V22/X22</f>
        <v>449612.4031</v>
      </c>
      <c r="AA22" s="542"/>
      <c r="AB22" s="542"/>
      <c r="AC22" s="542"/>
      <c r="AD22" s="542" t="s">
        <v>15</v>
      </c>
      <c r="AE22" s="542">
        <v>1.29</v>
      </c>
      <c r="AF22" s="547">
        <f t="shared" si="3"/>
        <v>449612.4031</v>
      </c>
      <c r="AG22" s="542"/>
      <c r="AH22" s="542"/>
      <c r="AI22" s="542" t="s">
        <v>202</v>
      </c>
      <c r="AJ22" s="542"/>
      <c r="AK22" s="542"/>
      <c r="AL22" s="54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1:$AL$22"/>
  <mergeCells count="4">
    <mergeCell ref="A10:V10"/>
    <mergeCell ref="W10:AC10"/>
    <mergeCell ref="AD10:AF10"/>
    <mergeCell ref="AG10:AL10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9" max="9" width="155.86"/>
    <col customWidth="1" min="35" max="35" width="19.57"/>
  </cols>
  <sheetData>
    <row r="1">
      <c r="A1" s="575"/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  <c r="T1" s="576"/>
      <c r="U1" s="576"/>
      <c r="V1" s="577"/>
      <c r="W1" s="575"/>
      <c r="X1" s="576"/>
      <c r="Y1" s="576"/>
      <c r="Z1" s="576"/>
      <c r="AA1" s="576"/>
      <c r="AB1" s="576"/>
      <c r="AC1" s="577"/>
      <c r="AD1" s="575"/>
      <c r="AE1" s="576"/>
      <c r="AF1" s="577"/>
      <c r="AG1" s="575"/>
      <c r="AH1" s="576"/>
      <c r="AI1" s="576"/>
      <c r="AJ1" s="576"/>
      <c r="AK1" s="576"/>
      <c r="AL1" s="577"/>
    </row>
    <row r="2">
      <c r="A2" s="538" t="s">
        <v>140</v>
      </c>
      <c r="B2" s="537" t="s">
        <v>141</v>
      </c>
      <c r="C2" s="537" t="s">
        <v>142</v>
      </c>
      <c r="D2" s="538" t="s">
        <v>2</v>
      </c>
      <c r="E2" s="537" t="s">
        <v>143</v>
      </c>
      <c r="F2" s="538" t="s">
        <v>144</v>
      </c>
      <c r="G2" s="537" t="s">
        <v>145</v>
      </c>
      <c r="H2" s="537" t="s">
        <v>146</v>
      </c>
      <c r="I2" s="537" t="s">
        <v>147</v>
      </c>
      <c r="J2" s="538" t="s">
        <v>148</v>
      </c>
      <c r="K2" s="537" t="s">
        <v>149</v>
      </c>
      <c r="L2" s="537" t="s">
        <v>150</v>
      </c>
      <c r="M2" s="537" t="s">
        <v>151</v>
      </c>
      <c r="N2" s="537" t="s">
        <v>152</v>
      </c>
      <c r="O2" s="538" t="s">
        <v>153</v>
      </c>
      <c r="P2" s="538" t="s">
        <v>154</v>
      </c>
      <c r="Q2" s="538" t="s">
        <v>155</v>
      </c>
      <c r="R2" s="538" t="s">
        <v>156</v>
      </c>
      <c r="S2" s="538" t="s">
        <v>157</v>
      </c>
      <c r="T2" s="538" t="s">
        <v>158</v>
      </c>
      <c r="U2" s="538" t="s">
        <v>159</v>
      </c>
      <c r="V2" s="537" t="s">
        <v>160</v>
      </c>
      <c r="W2" s="537" t="s">
        <v>161</v>
      </c>
      <c r="X2" s="539" t="s">
        <v>162</v>
      </c>
      <c r="Y2" s="539" t="s">
        <v>163</v>
      </c>
      <c r="Z2" s="539" t="s">
        <v>164</v>
      </c>
      <c r="AA2" s="539" t="s">
        <v>165</v>
      </c>
      <c r="AB2" s="539" t="s">
        <v>166</v>
      </c>
      <c r="AC2" s="539" t="s">
        <v>167</v>
      </c>
      <c r="AD2" s="540" t="s">
        <v>168</v>
      </c>
      <c r="AE2" s="540" t="s">
        <v>169</v>
      </c>
      <c r="AF2" s="537" t="s">
        <v>170</v>
      </c>
      <c r="AG2" s="541" t="s">
        <v>171</v>
      </c>
      <c r="AH2" s="541" t="s">
        <v>172</v>
      </c>
      <c r="AI2" s="537" t="s">
        <v>173</v>
      </c>
      <c r="AJ2" s="541" t="s">
        <v>174</v>
      </c>
      <c r="AK2" s="541" t="s">
        <v>175</v>
      </c>
      <c r="AL2" s="541" t="s">
        <v>176</v>
      </c>
    </row>
    <row r="3">
      <c r="A3" s="542" t="s">
        <v>177</v>
      </c>
      <c r="B3" s="542" t="s">
        <v>178</v>
      </c>
      <c r="C3" s="542" t="s">
        <v>179</v>
      </c>
      <c r="D3" s="542" t="s">
        <v>180</v>
      </c>
      <c r="E3" s="542" t="s">
        <v>181</v>
      </c>
      <c r="F3" s="542" t="s">
        <v>182</v>
      </c>
      <c r="G3" s="542" t="s">
        <v>199</v>
      </c>
      <c r="H3" s="542" t="s">
        <v>200</v>
      </c>
      <c r="I3" s="542" t="s">
        <v>214</v>
      </c>
      <c r="J3" s="542" t="s">
        <v>185</v>
      </c>
      <c r="K3" s="542" t="s">
        <v>26</v>
      </c>
      <c r="L3" s="542" t="s">
        <v>18</v>
      </c>
      <c r="M3" s="544">
        <v>43899.0</v>
      </c>
      <c r="N3" s="544">
        <v>44074.0</v>
      </c>
      <c r="O3" s="542"/>
      <c r="P3" s="542" t="s">
        <v>186</v>
      </c>
      <c r="Q3" s="542" t="s">
        <v>187</v>
      </c>
      <c r="R3" s="542" t="s">
        <v>188</v>
      </c>
      <c r="S3" s="542" t="s">
        <v>188</v>
      </c>
      <c r="T3" s="542" t="s">
        <v>188</v>
      </c>
      <c r="U3" s="542" t="s">
        <v>189</v>
      </c>
      <c r="V3" s="546">
        <f>829329/4.17</f>
        <v>198879.8561</v>
      </c>
      <c r="W3" s="542" t="s">
        <v>15</v>
      </c>
      <c r="X3" s="542">
        <v>0.5</v>
      </c>
      <c r="Y3" s="546">
        <f t="shared" ref="Y3:Y14" si="1">V3</f>
        <v>198879.8561</v>
      </c>
      <c r="Z3" s="547">
        <f t="shared" ref="Z3:Z4" si="2">V3/X3</f>
        <v>397759.7122</v>
      </c>
      <c r="AA3" s="542"/>
      <c r="AB3" s="542"/>
      <c r="AC3" s="542"/>
      <c r="AD3" s="542" t="s">
        <v>15</v>
      </c>
      <c r="AE3" s="542">
        <v>0.7</v>
      </c>
      <c r="AF3" s="547">
        <f t="shared" ref="AF3:AF14" si="3">Z3</f>
        <v>397759.7122</v>
      </c>
      <c r="AG3" s="542"/>
      <c r="AH3" s="542"/>
      <c r="AI3" s="542" t="s">
        <v>202</v>
      </c>
      <c r="AJ3" s="542"/>
      <c r="AK3" s="542"/>
      <c r="AL3" s="542"/>
    </row>
    <row r="4">
      <c r="A4" s="542" t="s">
        <v>177</v>
      </c>
      <c r="B4" s="542" t="s">
        <v>178</v>
      </c>
      <c r="C4" s="542" t="s">
        <v>179</v>
      </c>
      <c r="D4" s="542" t="s">
        <v>180</v>
      </c>
      <c r="E4" s="542" t="s">
        <v>181</v>
      </c>
      <c r="F4" s="542" t="s">
        <v>182</v>
      </c>
      <c r="G4" s="542" t="s">
        <v>99</v>
      </c>
      <c r="H4" s="542" t="s">
        <v>200</v>
      </c>
      <c r="I4" s="550" t="s">
        <v>221</v>
      </c>
      <c r="J4" s="542" t="s">
        <v>185</v>
      </c>
      <c r="K4" s="542" t="s">
        <v>26</v>
      </c>
      <c r="L4" s="542" t="s">
        <v>18</v>
      </c>
      <c r="M4" s="544">
        <v>43899.0</v>
      </c>
      <c r="N4" s="544">
        <v>43982.0</v>
      </c>
      <c r="O4" s="542"/>
      <c r="P4" s="542" t="s">
        <v>186</v>
      </c>
      <c r="Q4" s="542" t="s">
        <v>187</v>
      </c>
      <c r="R4" s="542" t="s">
        <v>188</v>
      </c>
      <c r="S4" s="542" t="s">
        <v>188</v>
      </c>
      <c r="T4" s="542" t="s">
        <v>188</v>
      </c>
      <c r="U4" s="542" t="s">
        <v>189</v>
      </c>
      <c r="V4" s="546">
        <f>580000/4.17</f>
        <v>139088.729</v>
      </c>
      <c r="W4" s="542" t="s">
        <v>15</v>
      </c>
      <c r="X4" s="542">
        <v>1.29</v>
      </c>
      <c r="Y4" s="546">
        <f t="shared" si="1"/>
        <v>139088.729</v>
      </c>
      <c r="Z4" s="547">
        <f t="shared" si="2"/>
        <v>107820.7202</v>
      </c>
      <c r="AA4" s="542"/>
      <c r="AB4" s="542"/>
      <c r="AC4" s="542"/>
      <c r="AD4" s="542" t="s">
        <v>15</v>
      </c>
      <c r="AE4" s="542">
        <v>1.29</v>
      </c>
      <c r="AF4" s="547">
        <f t="shared" si="3"/>
        <v>107820.7202</v>
      </c>
      <c r="AG4" s="542"/>
      <c r="AH4" s="542"/>
      <c r="AI4" s="542" t="s">
        <v>202</v>
      </c>
      <c r="AJ4" s="542"/>
      <c r="AK4" s="542"/>
      <c r="AL4" s="542"/>
    </row>
    <row r="5">
      <c r="A5" s="542" t="s">
        <v>177</v>
      </c>
      <c r="B5" s="542" t="s">
        <v>178</v>
      </c>
      <c r="C5" s="542" t="s">
        <v>179</v>
      </c>
      <c r="D5" s="542" t="s">
        <v>180</v>
      </c>
      <c r="E5" s="542" t="s">
        <v>181</v>
      </c>
      <c r="F5" s="542" t="s">
        <v>182</v>
      </c>
      <c r="G5" s="542" t="s">
        <v>38</v>
      </c>
      <c r="H5" s="542" t="s">
        <v>222</v>
      </c>
      <c r="I5" s="550" t="s">
        <v>220</v>
      </c>
      <c r="J5" s="542" t="s">
        <v>185</v>
      </c>
      <c r="K5" s="542" t="s">
        <v>26</v>
      </c>
      <c r="L5" s="542" t="s">
        <v>20</v>
      </c>
      <c r="M5" s="544">
        <v>43922.0</v>
      </c>
      <c r="N5" s="544">
        <v>44043.0</v>
      </c>
      <c r="O5" s="542"/>
      <c r="P5" s="542" t="s">
        <v>186</v>
      </c>
      <c r="Q5" s="542" t="s">
        <v>187</v>
      </c>
      <c r="R5" s="542" t="s">
        <v>188</v>
      </c>
      <c r="S5" s="542" t="s">
        <v>188</v>
      </c>
      <c r="T5" s="542" t="s">
        <v>188</v>
      </c>
      <c r="U5" s="542" t="s">
        <v>189</v>
      </c>
      <c r="V5" s="546">
        <f>95000/4.1</f>
        <v>23170.73171</v>
      </c>
      <c r="W5" s="542" t="s">
        <v>17</v>
      </c>
      <c r="X5" s="542">
        <v>18.0</v>
      </c>
      <c r="Y5" s="546">
        <f t="shared" si="1"/>
        <v>23170.73171</v>
      </c>
      <c r="Z5" s="547">
        <f t="shared" ref="Z5:Z6" si="4">V5/X5*1000</f>
        <v>1287262.873</v>
      </c>
      <c r="AA5" s="542"/>
      <c r="AB5" s="542"/>
      <c r="AC5" s="542"/>
      <c r="AD5" s="542" t="s">
        <v>17</v>
      </c>
      <c r="AE5" s="542">
        <v>18.0</v>
      </c>
      <c r="AF5" s="547">
        <f t="shared" si="3"/>
        <v>1287262.873</v>
      </c>
      <c r="AG5" s="542"/>
      <c r="AH5" s="542"/>
      <c r="AI5" s="542" t="s">
        <v>209</v>
      </c>
      <c r="AJ5" s="542"/>
      <c r="AK5" s="542"/>
      <c r="AL5" s="542"/>
    </row>
    <row r="6">
      <c r="A6" s="542" t="s">
        <v>177</v>
      </c>
      <c r="B6" s="542" t="s">
        <v>178</v>
      </c>
      <c r="C6" s="542" t="s">
        <v>179</v>
      </c>
      <c r="D6" s="542" t="s">
        <v>180</v>
      </c>
      <c r="E6" s="542" t="s">
        <v>181</v>
      </c>
      <c r="F6" s="542" t="s">
        <v>182</v>
      </c>
      <c r="G6" s="542" t="s">
        <v>32</v>
      </c>
      <c r="H6" s="542" t="s">
        <v>32</v>
      </c>
      <c r="I6" s="550" t="s">
        <v>217</v>
      </c>
      <c r="J6" s="542" t="s">
        <v>185</v>
      </c>
      <c r="K6" s="542" t="s">
        <v>26</v>
      </c>
      <c r="L6" s="542" t="s">
        <v>20</v>
      </c>
      <c r="M6" s="544">
        <v>43899.0</v>
      </c>
      <c r="N6" s="544">
        <v>43982.0</v>
      </c>
      <c r="O6" s="542"/>
      <c r="P6" s="542" t="s">
        <v>186</v>
      </c>
      <c r="Q6" s="542" t="s">
        <v>187</v>
      </c>
      <c r="R6" s="542" t="s">
        <v>188</v>
      </c>
      <c r="S6" s="542" t="s">
        <v>188</v>
      </c>
      <c r="T6" s="542" t="s">
        <v>188</v>
      </c>
      <c r="U6" s="542" t="s">
        <v>189</v>
      </c>
      <c r="V6" s="546">
        <f>160000/4.17</f>
        <v>38369.30456</v>
      </c>
      <c r="W6" s="542" t="s">
        <v>17</v>
      </c>
      <c r="X6" s="542">
        <v>16.0</v>
      </c>
      <c r="Y6" s="546">
        <f t="shared" si="1"/>
        <v>38369.30456</v>
      </c>
      <c r="Z6" s="547">
        <f t="shared" si="4"/>
        <v>2398081.535</v>
      </c>
      <c r="AA6" s="542"/>
      <c r="AB6" s="542"/>
      <c r="AC6" s="542"/>
      <c r="AD6" s="542" t="s">
        <v>17</v>
      </c>
      <c r="AE6" s="542">
        <v>16.0</v>
      </c>
      <c r="AF6" s="547">
        <f t="shared" si="3"/>
        <v>2398081.535</v>
      </c>
      <c r="AG6" s="542"/>
      <c r="AH6" s="542"/>
      <c r="AI6" s="542" t="s">
        <v>204</v>
      </c>
      <c r="AJ6" s="542"/>
      <c r="AK6" s="542"/>
      <c r="AL6" s="542"/>
    </row>
    <row r="7">
      <c r="A7" s="542" t="s">
        <v>177</v>
      </c>
      <c r="B7" s="542" t="s">
        <v>178</v>
      </c>
      <c r="C7" s="542" t="s">
        <v>179</v>
      </c>
      <c r="D7" s="542" t="s">
        <v>180</v>
      </c>
      <c r="E7" s="542" t="s">
        <v>181</v>
      </c>
      <c r="F7" s="542" t="s">
        <v>182</v>
      </c>
      <c r="G7" s="542" t="s">
        <v>223</v>
      </c>
      <c r="H7" s="542" t="s">
        <v>51</v>
      </c>
      <c r="I7" s="550" t="s">
        <v>218</v>
      </c>
      <c r="J7" s="542" t="s">
        <v>185</v>
      </c>
      <c r="K7" s="542" t="s">
        <v>47</v>
      </c>
      <c r="L7" s="542" t="s">
        <v>18</v>
      </c>
      <c r="M7" s="544">
        <v>44013.0</v>
      </c>
      <c r="N7" s="544">
        <v>44074.0</v>
      </c>
      <c r="O7" s="542"/>
      <c r="P7" s="542" t="s">
        <v>186</v>
      </c>
      <c r="Q7" s="542" t="s">
        <v>187</v>
      </c>
      <c r="R7" s="542" t="s">
        <v>188</v>
      </c>
      <c r="S7" s="542" t="s">
        <v>188</v>
      </c>
      <c r="T7" s="542" t="s">
        <v>188</v>
      </c>
      <c r="U7" s="542" t="s">
        <v>189</v>
      </c>
      <c r="V7" s="546">
        <f>143861/4.17</f>
        <v>34499.04077</v>
      </c>
      <c r="W7" s="542" t="s">
        <v>15</v>
      </c>
      <c r="X7" s="542">
        <v>0.09</v>
      </c>
      <c r="Y7" s="546">
        <f t="shared" si="1"/>
        <v>34499.04077</v>
      </c>
      <c r="Z7" s="547">
        <f>V7/X7</f>
        <v>383322.6752</v>
      </c>
      <c r="AA7" s="542"/>
      <c r="AB7" s="542"/>
      <c r="AC7" s="542"/>
      <c r="AD7" s="542" t="s">
        <v>15</v>
      </c>
      <c r="AE7" s="542">
        <v>0.09</v>
      </c>
      <c r="AF7" s="547">
        <f t="shared" si="3"/>
        <v>383322.6752</v>
      </c>
      <c r="AG7" s="542"/>
      <c r="AH7" s="542"/>
      <c r="AI7" s="542" t="s">
        <v>202</v>
      </c>
      <c r="AJ7" s="542"/>
      <c r="AK7" s="542"/>
      <c r="AL7" s="542"/>
    </row>
    <row r="8">
      <c r="A8" s="542" t="s">
        <v>177</v>
      </c>
      <c r="B8" s="542" t="s">
        <v>178</v>
      </c>
      <c r="C8" s="542" t="s">
        <v>179</v>
      </c>
      <c r="D8" s="542" t="s">
        <v>180</v>
      </c>
      <c r="E8" s="542" t="s">
        <v>181</v>
      </c>
      <c r="F8" s="542" t="s">
        <v>182</v>
      </c>
      <c r="G8" s="542" t="s">
        <v>56</v>
      </c>
      <c r="H8" s="542" t="s">
        <v>56</v>
      </c>
      <c r="I8" s="550" t="s">
        <v>224</v>
      </c>
      <c r="J8" s="542" t="s">
        <v>185</v>
      </c>
      <c r="K8" s="542" t="s">
        <v>53</v>
      </c>
      <c r="L8" s="542" t="s">
        <v>20</v>
      </c>
      <c r="M8" s="544">
        <v>43983.0</v>
      </c>
      <c r="N8" s="544">
        <v>44012.0</v>
      </c>
      <c r="O8" s="542"/>
      <c r="P8" s="542" t="s">
        <v>186</v>
      </c>
      <c r="Q8" s="542" t="s">
        <v>187</v>
      </c>
      <c r="R8" s="542" t="s">
        <v>188</v>
      </c>
      <c r="S8" s="542" t="s">
        <v>188</v>
      </c>
      <c r="T8" s="542" t="s">
        <v>188</v>
      </c>
      <c r="U8" s="542" t="s">
        <v>189</v>
      </c>
      <c r="V8" s="546">
        <f>30000/4.17</f>
        <v>7194.244604</v>
      </c>
      <c r="W8" s="542" t="s">
        <v>17</v>
      </c>
      <c r="X8" s="542">
        <v>0.76</v>
      </c>
      <c r="Y8" s="546">
        <f t="shared" si="1"/>
        <v>7194.244604</v>
      </c>
      <c r="Z8" s="547">
        <f t="shared" ref="Z8:Z9" si="5">V8/X8*1000</f>
        <v>9466111.321</v>
      </c>
      <c r="AA8" s="542"/>
      <c r="AB8" s="542"/>
      <c r="AC8" s="542"/>
      <c r="AD8" s="542" t="s">
        <v>17</v>
      </c>
      <c r="AE8" s="542">
        <v>0.76</v>
      </c>
      <c r="AF8" s="547">
        <f t="shared" si="3"/>
        <v>9466111.321</v>
      </c>
      <c r="AG8" s="542"/>
      <c r="AH8" s="542"/>
      <c r="AI8" s="549" t="s">
        <v>198</v>
      </c>
      <c r="AJ8" s="542"/>
      <c r="AK8" s="542"/>
      <c r="AL8" s="542"/>
    </row>
    <row r="9">
      <c r="A9" s="542" t="s">
        <v>177</v>
      </c>
      <c r="B9" s="542" t="s">
        <v>178</v>
      </c>
      <c r="C9" s="542" t="s">
        <v>179</v>
      </c>
      <c r="D9" s="542" t="s">
        <v>180</v>
      </c>
      <c r="E9" s="542" t="s">
        <v>181</v>
      </c>
      <c r="F9" s="542" t="s">
        <v>182</v>
      </c>
      <c r="G9" s="542" t="s">
        <v>38</v>
      </c>
      <c r="H9" s="542" t="s">
        <v>205</v>
      </c>
      <c r="I9" s="550" t="s">
        <v>206</v>
      </c>
      <c r="J9" s="542" t="s">
        <v>185</v>
      </c>
      <c r="K9" s="542" t="s">
        <v>26</v>
      </c>
      <c r="L9" s="542" t="s">
        <v>20</v>
      </c>
      <c r="M9" s="544">
        <v>43899.0</v>
      </c>
      <c r="N9" s="544">
        <v>44074.0</v>
      </c>
      <c r="O9" s="542"/>
      <c r="P9" s="542" t="s">
        <v>186</v>
      </c>
      <c r="Q9" s="542" t="s">
        <v>187</v>
      </c>
      <c r="R9" s="542" t="s">
        <v>188</v>
      </c>
      <c r="S9" s="542" t="s">
        <v>188</v>
      </c>
      <c r="T9" s="542" t="s">
        <v>188</v>
      </c>
      <c r="U9" s="542" t="s">
        <v>189</v>
      </c>
      <c r="V9" s="546">
        <f>260000/4.17</f>
        <v>62350.1199</v>
      </c>
      <c r="W9" s="542" t="s">
        <v>17</v>
      </c>
      <c r="X9" s="542">
        <v>6.5</v>
      </c>
      <c r="Y9" s="546">
        <f t="shared" si="1"/>
        <v>62350.1199</v>
      </c>
      <c r="Z9" s="547">
        <f t="shared" si="5"/>
        <v>9592326.139</v>
      </c>
      <c r="AA9" s="542"/>
      <c r="AB9" s="542"/>
      <c r="AC9" s="542"/>
      <c r="AD9" s="542" t="s">
        <v>17</v>
      </c>
      <c r="AE9" s="542">
        <v>6.5</v>
      </c>
      <c r="AF9" s="547">
        <f t="shared" si="3"/>
        <v>9592326.139</v>
      </c>
      <c r="AG9" s="542"/>
      <c r="AH9" s="542"/>
      <c r="AI9" s="542" t="s">
        <v>40</v>
      </c>
      <c r="AJ9" s="542"/>
      <c r="AK9" s="542"/>
      <c r="AL9" s="542"/>
    </row>
    <row r="10">
      <c r="A10" s="542" t="s">
        <v>177</v>
      </c>
      <c r="B10" s="542" t="s">
        <v>178</v>
      </c>
      <c r="C10" s="542" t="s">
        <v>179</v>
      </c>
      <c r="D10" s="542" t="s">
        <v>180</v>
      </c>
      <c r="E10" s="542" t="s">
        <v>181</v>
      </c>
      <c r="F10" s="542" t="s">
        <v>182</v>
      </c>
      <c r="G10" s="542" t="s">
        <v>38</v>
      </c>
      <c r="H10" s="542" t="s">
        <v>205</v>
      </c>
      <c r="I10" s="581" t="s">
        <v>207</v>
      </c>
      <c r="J10" s="542" t="s">
        <v>185</v>
      </c>
      <c r="K10" s="542" t="s">
        <v>219</v>
      </c>
      <c r="L10" s="542" t="s">
        <v>19</v>
      </c>
      <c r="M10" s="544">
        <v>43952.0</v>
      </c>
      <c r="N10" s="544">
        <v>44074.0</v>
      </c>
      <c r="O10" s="542"/>
      <c r="P10" s="542" t="s">
        <v>186</v>
      </c>
      <c r="Q10" s="542" t="s">
        <v>187</v>
      </c>
      <c r="R10" s="542" t="s">
        <v>188</v>
      </c>
      <c r="S10" s="542" t="s">
        <v>188</v>
      </c>
      <c r="T10" s="542" t="s">
        <v>188</v>
      </c>
      <c r="U10" s="542" t="s">
        <v>189</v>
      </c>
      <c r="V10" s="546">
        <f>200000/4.17</f>
        <v>47961.6307</v>
      </c>
      <c r="W10" s="542" t="s">
        <v>16</v>
      </c>
      <c r="X10" s="542">
        <v>0.6</v>
      </c>
      <c r="Y10" s="546">
        <f t="shared" si="1"/>
        <v>47961.6307</v>
      </c>
      <c r="Z10" s="547">
        <f t="shared" ref="Z10:Z11" si="6">V10/X10</f>
        <v>79936.05116</v>
      </c>
      <c r="AA10" s="542"/>
      <c r="AB10" s="542"/>
      <c r="AC10" s="542"/>
      <c r="AD10" s="542" t="s">
        <v>16</v>
      </c>
      <c r="AE10" s="542">
        <v>0.6</v>
      </c>
      <c r="AF10" s="547">
        <f t="shared" si="3"/>
        <v>79936.05116</v>
      </c>
      <c r="AG10" s="542"/>
      <c r="AH10" s="542"/>
      <c r="AI10" s="542" t="s">
        <v>209</v>
      </c>
      <c r="AJ10" s="542"/>
      <c r="AK10" s="542"/>
      <c r="AL10" s="542"/>
    </row>
    <row r="11">
      <c r="A11" s="542" t="s">
        <v>177</v>
      </c>
      <c r="B11" s="542" t="s">
        <v>178</v>
      </c>
      <c r="C11" s="542" t="s">
        <v>179</v>
      </c>
      <c r="D11" s="542" t="s">
        <v>180</v>
      </c>
      <c r="E11" s="542" t="s">
        <v>181</v>
      </c>
      <c r="F11" s="542" t="s">
        <v>182</v>
      </c>
      <c r="G11" s="542" t="s">
        <v>38</v>
      </c>
      <c r="H11" s="542" t="s">
        <v>205</v>
      </c>
      <c r="I11" s="550" t="s">
        <v>210</v>
      </c>
      <c r="J11" s="542" t="s">
        <v>185</v>
      </c>
      <c r="K11" s="542" t="s">
        <v>26</v>
      </c>
      <c r="L11" s="542" t="s">
        <v>18</v>
      </c>
      <c r="M11" s="544">
        <v>43891.0</v>
      </c>
      <c r="N11" s="544">
        <v>44043.0</v>
      </c>
      <c r="O11" s="542"/>
      <c r="P11" s="542" t="s">
        <v>186</v>
      </c>
      <c r="Q11" s="542" t="s">
        <v>187</v>
      </c>
      <c r="R11" s="542" t="s">
        <v>188</v>
      </c>
      <c r="S11" s="542" t="s">
        <v>188</v>
      </c>
      <c r="T11" s="542" t="s">
        <v>188</v>
      </c>
      <c r="U11" s="542" t="s">
        <v>189</v>
      </c>
      <c r="V11" s="546">
        <f>292071/4.17</f>
        <v>70041.00719</v>
      </c>
      <c r="W11" s="542" t="s">
        <v>15</v>
      </c>
      <c r="X11" s="542">
        <v>0.05</v>
      </c>
      <c r="Y11" s="546">
        <f t="shared" si="1"/>
        <v>70041.00719</v>
      </c>
      <c r="Z11" s="547">
        <f t="shared" si="6"/>
        <v>1400820.144</v>
      </c>
      <c r="AA11" s="542"/>
      <c r="AB11" s="542"/>
      <c r="AC11" s="542"/>
      <c r="AD11" s="542" t="s">
        <v>15</v>
      </c>
      <c r="AE11" s="542">
        <v>0.05</v>
      </c>
      <c r="AF11" s="547">
        <f t="shared" si="3"/>
        <v>1400820.144</v>
      </c>
      <c r="AG11" s="542"/>
      <c r="AH11" s="542"/>
      <c r="AI11" s="542" t="s">
        <v>209</v>
      </c>
      <c r="AJ11" s="542"/>
      <c r="AK11" s="542"/>
      <c r="AL11" s="542"/>
    </row>
    <row r="12">
      <c r="A12" s="542" t="s">
        <v>177</v>
      </c>
      <c r="B12" s="542" t="s">
        <v>178</v>
      </c>
      <c r="C12" s="542" t="s">
        <v>179</v>
      </c>
      <c r="D12" s="542" t="s">
        <v>180</v>
      </c>
      <c r="E12" s="542" t="s">
        <v>181</v>
      </c>
      <c r="F12" s="542" t="s">
        <v>182</v>
      </c>
      <c r="G12" s="542" t="s">
        <v>27</v>
      </c>
      <c r="H12" s="542" t="s">
        <v>48</v>
      </c>
      <c r="I12" s="550" t="s">
        <v>191</v>
      </c>
      <c r="J12" s="542" t="s">
        <v>185</v>
      </c>
      <c r="K12" s="542" t="s">
        <v>47</v>
      </c>
      <c r="L12" s="542" t="s">
        <v>20</v>
      </c>
      <c r="M12" s="544">
        <v>43922.0</v>
      </c>
      <c r="N12" s="544">
        <v>44074.0</v>
      </c>
      <c r="O12" s="542"/>
      <c r="P12" s="542" t="s">
        <v>186</v>
      </c>
      <c r="Q12" s="542" t="s">
        <v>187</v>
      </c>
      <c r="R12" s="542" t="s">
        <v>188</v>
      </c>
      <c r="S12" s="542" t="s">
        <v>188</v>
      </c>
      <c r="T12" s="542" t="s">
        <v>188</v>
      </c>
      <c r="U12" s="542" t="s">
        <v>189</v>
      </c>
      <c r="V12" s="546">
        <f>164326/4.17</f>
        <v>39406.71463</v>
      </c>
      <c r="W12" s="542" t="s">
        <v>17</v>
      </c>
      <c r="X12" s="542">
        <v>2.3</v>
      </c>
      <c r="Y12" s="546">
        <f t="shared" si="1"/>
        <v>39406.71463</v>
      </c>
      <c r="Z12" s="547">
        <f t="shared" ref="Z12:Z14" si="7">V12/X12*1000</f>
        <v>17133354.19</v>
      </c>
      <c r="AA12" s="542"/>
      <c r="AB12" s="542"/>
      <c r="AC12" s="542"/>
      <c r="AD12" s="542" t="s">
        <v>17</v>
      </c>
      <c r="AE12" s="542">
        <v>2.3</v>
      </c>
      <c r="AF12" s="547">
        <f t="shared" si="3"/>
        <v>17133354.19</v>
      </c>
      <c r="AG12" s="542"/>
      <c r="AH12" s="542"/>
      <c r="AI12" s="542" t="s">
        <v>193</v>
      </c>
      <c r="AJ12" s="542"/>
      <c r="AK12" s="542"/>
      <c r="AL12" s="542"/>
    </row>
    <row r="13">
      <c r="A13" s="542" t="s">
        <v>177</v>
      </c>
      <c r="B13" s="542" t="s">
        <v>178</v>
      </c>
      <c r="C13" s="542" t="s">
        <v>179</v>
      </c>
      <c r="D13" s="542" t="s">
        <v>180</v>
      </c>
      <c r="E13" s="542" t="s">
        <v>181</v>
      </c>
      <c r="F13" s="542" t="s">
        <v>182</v>
      </c>
      <c r="G13" s="542" t="s">
        <v>27</v>
      </c>
      <c r="H13" s="542" t="s">
        <v>183</v>
      </c>
      <c r="I13" s="542" t="s">
        <v>184</v>
      </c>
      <c r="J13" s="542" t="s">
        <v>185</v>
      </c>
      <c r="K13" s="542" t="s">
        <v>26</v>
      </c>
      <c r="L13" s="542" t="s">
        <v>20</v>
      </c>
      <c r="M13" s="544">
        <v>43899.0</v>
      </c>
      <c r="N13" s="544">
        <v>44074.0</v>
      </c>
      <c r="O13" s="542"/>
      <c r="P13" s="542" t="s">
        <v>186</v>
      </c>
      <c r="Q13" s="542" t="s">
        <v>187</v>
      </c>
      <c r="R13" s="542" t="s">
        <v>188</v>
      </c>
      <c r="S13" s="542" t="s">
        <v>188</v>
      </c>
      <c r="T13" s="542" t="s">
        <v>188</v>
      </c>
      <c r="U13" s="542" t="s">
        <v>189</v>
      </c>
      <c r="V13" s="546">
        <f>550718/4.17</f>
        <v>132066.6667</v>
      </c>
      <c r="W13" s="542" t="s">
        <v>17</v>
      </c>
      <c r="X13" s="542">
        <v>2.0</v>
      </c>
      <c r="Y13" s="546">
        <f t="shared" si="1"/>
        <v>132066.6667</v>
      </c>
      <c r="Z13" s="547">
        <f t="shared" si="7"/>
        <v>66033333.33</v>
      </c>
      <c r="AA13" s="542"/>
      <c r="AB13" s="542"/>
      <c r="AC13" s="542"/>
      <c r="AD13" s="542" t="s">
        <v>17</v>
      </c>
      <c r="AE13" s="542">
        <v>2.0</v>
      </c>
      <c r="AF13" s="547">
        <f t="shared" si="3"/>
        <v>66033333.33</v>
      </c>
      <c r="AG13" s="542"/>
      <c r="AH13" s="542"/>
      <c r="AI13" s="542" t="s">
        <v>190</v>
      </c>
      <c r="AJ13" s="542"/>
      <c r="AK13" s="542"/>
      <c r="AL13" s="542"/>
    </row>
    <row r="14">
      <c r="A14" s="542" t="s">
        <v>177</v>
      </c>
      <c r="B14" s="542" t="s">
        <v>178</v>
      </c>
      <c r="C14" s="542" t="s">
        <v>179</v>
      </c>
      <c r="D14" s="542" t="s">
        <v>180</v>
      </c>
      <c r="E14" s="542" t="s">
        <v>181</v>
      </c>
      <c r="F14" s="542" t="s">
        <v>182</v>
      </c>
      <c r="G14" s="542" t="s">
        <v>27</v>
      </c>
      <c r="H14" s="542" t="s">
        <v>27</v>
      </c>
      <c r="I14" s="550" t="s">
        <v>225</v>
      </c>
      <c r="J14" s="542" t="s">
        <v>185</v>
      </c>
      <c r="K14" s="542" t="s">
        <v>47</v>
      </c>
      <c r="L14" s="542" t="s">
        <v>20</v>
      </c>
      <c r="M14" s="544">
        <v>43983.0</v>
      </c>
      <c r="N14" s="544" t="s">
        <v>226</v>
      </c>
      <c r="O14" s="542"/>
      <c r="P14" s="542" t="s">
        <v>186</v>
      </c>
      <c r="Q14" s="542" t="s">
        <v>187</v>
      </c>
      <c r="R14" s="542" t="s">
        <v>188</v>
      </c>
      <c r="S14" s="542" t="s">
        <v>188</v>
      </c>
      <c r="T14" s="542" t="s">
        <v>188</v>
      </c>
      <c r="U14" s="542" t="s">
        <v>189</v>
      </c>
      <c r="V14" s="546">
        <f>50000/4.17</f>
        <v>11990.40767</v>
      </c>
      <c r="W14" s="542" t="s">
        <v>17</v>
      </c>
      <c r="X14" s="542">
        <v>2.0</v>
      </c>
      <c r="Y14" s="546">
        <f t="shared" si="1"/>
        <v>11990.40767</v>
      </c>
      <c r="Z14" s="547">
        <f t="shared" si="7"/>
        <v>5995203.837</v>
      </c>
      <c r="AA14" s="542"/>
      <c r="AB14" s="542"/>
      <c r="AC14" s="542"/>
      <c r="AD14" s="542" t="s">
        <v>17</v>
      </c>
      <c r="AE14" s="542">
        <v>2.0</v>
      </c>
      <c r="AF14" s="547">
        <f t="shared" si="3"/>
        <v>5995203.837</v>
      </c>
      <c r="AG14" s="542"/>
      <c r="AH14" s="542"/>
      <c r="AI14" s="542" t="s">
        <v>190</v>
      </c>
      <c r="AJ14" s="542"/>
      <c r="AK14" s="542"/>
      <c r="AL14" s="542"/>
    </row>
    <row r="15">
      <c r="A15" s="542" t="s">
        <v>177</v>
      </c>
      <c r="B15" s="543" t="s">
        <v>178</v>
      </c>
      <c r="C15" s="543" t="s">
        <v>179</v>
      </c>
      <c r="D15" s="542" t="s">
        <v>180</v>
      </c>
      <c r="E15" s="543" t="s">
        <v>181</v>
      </c>
      <c r="F15" s="542" t="s">
        <v>182</v>
      </c>
      <c r="G15" s="543" t="s">
        <v>83</v>
      </c>
      <c r="H15" s="543" t="s">
        <v>83</v>
      </c>
      <c r="I15" s="550" t="s">
        <v>227</v>
      </c>
      <c r="J15" s="542" t="s">
        <v>185</v>
      </c>
      <c r="K15" s="542" t="s">
        <v>219</v>
      </c>
      <c r="L15" s="543" t="s">
        <v>19</v>
      </c>
      <c r="M15" s="544">
        <v>44013.0</v>
      </c>
      <c r="N15" s="544">
        <v>44074.0</v>
      </c>
      <c r="O15" s="542"/>
      <c r="P15" s="542" t="s">
        <v>186</v>
      </c>
      <c r="Q15" s="542" t="s">
        <v>187</v>
      </c>
      <c r="R15" s="542" t="s">
        <v>188</v>
      </c>
      <c r="S15" s="542" t="s">
        <v>188</v>
      </c>
      <c r="T15" s="542" t="s">
        <v>188</v>
      </c>
      <c r="U15" s="542" t="s">
        <v>189</v>
      </c>
      <c r="V15" s="546">
        <f>113925/4.17</f>
        <v>27320.14388</v>
      </c>
      <c r="W15" s="542" t="s">
        <v>16</v>
      </c>
      <c r="X15" s="542">
        <v>0.76</v>
      </c>
      <c r="Y15" s="546">
        <v>113925.0</v>
      </c>
      <c r="Z15" s="547">
        <f t="shared" ref="Z15:Z16" si="8">V15/X15</f>
        <v>35947.55774</v>
      </c>
      <c r="AA15" s="542"/>
      <c r="AB15" s="542"/>
      <c r="AC15" s="542"/>
      <c r="AD15" s="542" t="s">
        <v>15</v>
      </c>
      <c r="AE15" s="542">
        <v>0.76</v>
      </c>
      <c r="AF15" s="547">
        <v>149901.31578947368</v>
      </c>
      <c r="AG15" s="542"/>
      <c r="AH15" s="542"/>
      <c r="AI15" s="542" t="s">
        <v>213</v>
      </c>
      <c r="AJ15" s="542"/>
      <c r="AK15" s="542"/>
      <c r="AL15" s="542"/>
    </row>
    <row r="16">
      <c r="A16" s="542" t="s">
        <v>177</v>
      </c>
      <c r="B16" s="542" t="s">
        <v>178</v>
      </c>
      <c r="C16" s="542" t="s">
        <v>179</v>
      </c>
      <c r="D16" s="542" t="s">
        <v>180</v>
      </c>
      <c r="E16" s="542" t="s">
        <v>181</v>
      </c>
      <c r="F16" s="542" t="s">
        <v>182</v>
      </c>
      <c r="G16" s="542" t="s">
        <v>194</v>
      </c>
      <c r="H16" s="542" t="s">
        <v>195</v>
      </c>
      <c r="I16" s="550" t="s">
        <v>228</v>
      </c>
      <c r="J16" s="542" t="s">
        <v>185</v>
      </c>
      <c r="K16" s="542" t="s">
        <v>219</v>
      </c>
      <c r="L16" s="543" t="s">
        <v>19</v>
      </c>
      <c r="M16" s="544">
        <v>43983.0</v>
      </c>
      <c r="N16" s="544">
        <v>44012.0</v>
      </c>
      <c r="O16" s="542"/>
      <c r="P16" s="542" t="s">
        <v>186</v>
      </c>
      <c r="Q16" s="542" t="s">
        <v>187</v>
      </c>
      <c r="R16" s="542" t="s">
        <v>188</v>
      </c>
      <c r="S16" s="542" t="s">
        <v>188</v>
      </c>
      <c r="T16" s="542" t="s">
        <v>188</v>
      </c>
      <c r="U16" s="542" t="s">
        <v>189</v>
      </c>
      <c r="V16" s="546">
        <f>23000/4.17</f>
        <v>5515.58753</v>
      </c>
      <c r="W16" s="542" t="s">
        <v>16</v>
      </c>
      <c r="X16" s="550">
        <v>0.5</v>
      </c>
      <c r="Y16" s="546">
        <f>V16</f>
        <v>5515.58753</v>
      </c>
      <c r="Z16" s="547">
        <f t="shared" si="8"/>
        <v>11031.17506</v>
      </c>
      <c r="AA16" s="542"/>
      <c r="AB16" s="542"/>
      <c r="AC16" s="542"/>
      <c r="AD16" s="542" t="s">
        <v>15</v>
      </c>
      <c r="AE16" s="542">
        <v>0.7</v>
      </c>
      <c r="AF16" s="547">
        <f>Z16</f>
        <v>11031.17506</v>
      </c>
      <c r="AG16" s="542"/>
      <c r="AH16" s="542"/>
      <c r="AI16" s="549" t="s">
        <v>198</v>
      </c>
      <c r="AJ16" s="542"/>
      <c r="AK16" s="542"/>
      <c r="AL16" s="542"/>
    </row>
    <row r="18">
      <c r="I18" s="5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AL$16">
    <sortState ref="A2:AL16">
      <sortCondition descending="1" ref="H2:H16"/>
    </sortState>
  </autoFilter>
  <mergeCells count="4">
    <mergeCell ref="A1:V1"/>
    <mergeCell ref="W1:AC1"/>
    <mergeCell ref="AD1:AF1"/>
    <mergeCell ref="AG1:AL1"/>
  </mergeCells>
  <drawing r:id="rId1"/>
</worksheet>
</file>