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TIGER V1" sheetId="1" r:id="rId4"/>
    <sheet state="hidden" name=" TIGER V2" sheetId="2" r:id="rId5"/>
    <sheet state="hidden" name=" TIGER V3" sheetId="3" r:id="rId6"/>
    <sheet state="hidden" name="TIGER V5" sheetId="4" r:id="rId7"/>
    <sheet state="hidden" name="TIGER V6" sheetId="5" r:id="rId8"/>
    <sheet state="hidden" name=" TIGER V7" sheetId="6" r:id="rId9"/>
    <sheet state="hidden" name="TIGER V8" sheetId="7" r:id="rId10"/>
    <sheet state="hidden" name="TIGER V9 " sheetId="8" r:id="rId11"/>
    <sheet state="hidden" name="TIGER V10 " sheetId="9" r:id="rId12"/>
    <sheet state="hidden" name="Hoja 9" sheetId="10" r:id="rId13"/>
    <sheet state="hidden" name="Hoja 8" sheetId="11" r:id="rId14"/>
    <sheet state="hidden" name="Hoja 7" sheetId="12" r:id="rId15"/>
    <sheet state="hidden" name="Hoja 4" sheetId="13" r:id="rId16"/>
    <sheet state="hidden" name="DISTRIBUTION OF BUDGET PER MONT" sheetId="14" r:id="rId17"/>
    <sheet state="hidden" name="MATERIALS KTBO BRASIL" sheetId="15" r:id="rId18"/>
    <sheet state="hidden" name="materiales KIDS CORP " sheetId="16" r:id="rId19"/>
    <sheet state="hidden" name="EN DOLARES MEDIAPLAN " sheetId="17" r:id="rId20"/>
    <sheet state="visible" name="MEDIA PLAN" sheetId="18" r:id="rId21"/>
  </sheets>
  <definedNames>
    <definedName hidden="1" localSheetId="17" name="_xlnm._FilterDatabase">'MEDIA PLAN'!$A$11:$AL$19</definedName>
  </definedNames>
  <calcPr/>
  <extLst>
    <ext uri="GoogleSheetsCustomDataVersion1">
      <go:sheetsCustomData xmlns:go="http://customooxmlschemas.google.com/" r:id="rId22" roundtripDataSignature="AMtx7mg6UeDK5P9Zzl8VfdzI2yMktPmV7w=="/>
    </ext>
  </extLst>
</workbook>
</file>

<file path=xl/comments1.xml><?xml version="1.0" encoding="utf-8"?>
<comments xmlns:r="http://schemas.openxmlformats.org/officeDocument/2006/relationships" xmlns="http://schemas.openxmlformats.org/spreadsheetml/2006/main">
  <authors>
    <author/>
  </authors>
  <commentList>
    <comment authorId="0" ref="X6">
      <text>
        <t xml:space="preserve">======
ID#AAAAHSDxqj4
    (2020-11-18 22:57:16)
+grisel@ktbo.mx +rafaela@kontrabando.com.mx Hola Gris Rafa , ya le quite en unskipable d en medio pero el media rate en uno es $15 y otro $1.5 no podemos juntarlo :( , habrá forma de mantenerlo asi?
_Asignada a Grisel Urueta_
	-Adriana Gómez</t>
      </text>
    </comment>
    <comment authorId="0" ref="I14">
      <text>
        <t xml:space="preserve">======
ID#AAAAHSDxqj0
    (2020-11-18 22:57:16)
+alexandre@ktbo.com.br  ya corregí los nombres como pide Gris de primero Google y luego Youtube me apoyas a cambiarlo en la plataforma porfis , por otro lado Gris +grisel@ktbo.mx  el CPM-unskipable es porque el formato cambia y recuerdo que platicamos con +fer@ktbo.mx  que podíamos agregar cosas con un guión como hacía Mediacom , nos confirman si se puede porfis? +rafaela@kontrabando.com.mx
_Asignada a Alexandre Costa_
	-Adriana Gómez
Hola Adri, en el caso del formato, si no van a tener una linea separada de ese formato no vale la pena hacer la distinción en el plan, eso solo aplica para Programmatic, en Google ese dato lo podemos sacar de grupo de anuncio o del anuncio en si, depende de donde lo registren...
	-Grisel Urueta
de acuerdo Gris entonces lo unimos verdad?  en una sola linea?
	-Adriana Gómez</t>
      </text>
    </comment>
  </commentList>
  <extLst>
    <ext uri="GoogleSheetsCustomDataVersion1">
      <go:sheetsCustomData xmlns:go="http://customooxmlschemas.google.com/" r:id="rId1" roundtripDataSignature="AMtx7mjY9lCIm0zC6ihmy8yWphDZCa3UVw=="/>
    </ext>
  </extLst>
</comments>
</file>

<file path=xl/comments2.xml><?xml version="1.0" encoding="utf-8"?>
<comments xmlns:r="http://schemas.openxmlformats.org/officeDocument/2006/relationships" xmlns="http://schemas.openxmlformats.org/spreadsheetml/2006/main">
  <authors>
    <author/>
  </authors>
  <commentList>
    <comment authorId="0" ref="I16">
      <text>
        <t xml:space="preserve">======
ID#AAAAHSDxqj8
    (2020-11-18 22:57:16)
@adri@ktbo.mx ADri faltaba un "_" aquí. Lo añado.
	-Maria Fernanda Pérez</t>
      </text>
    </comment>
  </commentList>
  <extLst>
    <ext uri="GoogleSheetsCustomDataVersion1">
      <go:sheetsCustomData xmlns:go="http://customooxmlschemas.google.com/" r:id="rId1" roundtripDataSignature="AMtx7mgWHOWb6LBNi5jVx1rtFFxRcjR4zQ=="/>
    </ext>
  </extLst>
</comments>
</file>

<file path=xl/sharedStrings.xml><?xml version="1.0" encoding="utf-8"?>
<sst xmlns="http://schemas.openxmlformats.org/spreadsheetml/2006/main" count="2421" uniqueCount="364">
  <si>
    <t>Campaña</t>
  </si>
  <si>
    <t>TIGER</t>
  </si>
  <si>
    <t>Region</t>
  </si>
  <si>
    <t>RJ/PR/SP</t>
  </si>
  <si>
    <t>Budget  R$</t>
  </si>
  <si>
    <t>TARGET</t>
  </si>
  <si>
    <t xml:space="preserve">KIDS </t>
  </si>
  <si>
    <t>MILLENIAL PARENTS</t>
  </si>
  <si>
    <t>25-35</t>
  </si>
  <si>
    <t>LAUNCHING</t>
  </si>
  <si>
    <t>SUSTEIN</t>
  </si>
  <si>
    <t>KID DAY</t>
  </si>
  <si>
    <t>PotenciaL Reach</t>
  </si>
  <si>
    <t xml:space="preserve">Estimated Reach </t>
  </si>
  <si>
    <t>%</t>
  </si>
  <si>
    <t>7 MONTHS</t>
  </si>
  <si>
    <t>Benchmarks</t>
  </si>
  <si>
    <t>KPI´S</t>
  </si>
  <si>
    <t>ABRIL</t>
  </si>
  <si>
    <t>MAYO</t>
  </si>
  <si>
    <t>JUNIO</t>
  </si>
  <si>
    <t>JULIO</t>
  </si>
  <si>
    <t>AGOSTO</t>
  </si>
  <si>
    <t>SEPTIEMBRE</t>
  </si>
  <si>
    <t>OCTUBRE</t>
  </si>
  <si>
    <t>TOTAL</t>
  </si>
  <si>
    <t>CAMPAIGN OBJECTIVE</t>
  </si>
  <si>
    <t>% Por Objetivo</t>
  </si>
  <si>
    <t>OBJECTIVE PERCENTAJE</t>
  </si>
  <si>
    <t>Plataform</t>
  </si>
  <si>
    <t xml:space="preserve">% por plataform </t>
  </si>
  <si>
    <t xml:space="preserve">PLATFORM INVESTMENT </t>
  </si>
  <si>
    <t>Format</t>
  </si>
  <si>
    <t>Video Length</t>
  </si>
  <si>
    <t>PIECES PER MONTH</t>
  </si>
  <si>
    <t xml:space="preserve">Number of months </t>
  </si>
  <si>
    <t>TOTAL OF PIECES</t>
  </si>
  <si>
    <t>% por formato</t>
  </si>
  <si>
    <t>Monto por formato</t>
  </si>
  <si>
    <t xml:space="preserve">Objetivo de compra </t>
  </si>
  <si>
    <t>CPV</t>
  </si>
  <si>
    <t>CPE</t>
  </si>
  <si>
    <t>CPC</t>
  </si>
  <si>
    <t>CPM</t>
  </si>
  <si>
    <t>Video Views</t>
  </si>
  <si>
    <t>Interacciones</t>
  </si>
  <si>
    <t>Clics</t>
  </si>
  <si>
    <t>Impresiones</t>
  </si>
  <si>
    <t>W3</t>
  </si>
  <si>
    <t>W4</t>
  </si>
  <si>
    <t>W1</t>
  </si>
  <si>
    <t>W2</t>
  </si>
  <si>
    <t>YOUTUBE</t>
  </si>
  <si>
    <t>Launching</t>
  </si>
  <si>
    <t>DISPLAY</t>
  </si>
  <si>
    <t>Banner Launching Vanilla</t>
  </si>
  <si>
    <t>Estatico</t>
  </si>
  <si>
    <t>n/a</t>
  </si>
  <si>
    <t>RJ/SP/RS</t>
  </si>
  <si>
    <t>AWARENESS</t>
  </si>
  <si>
    <t>KIDS</t>
  </si>
  <si>
    <t>VIDEO UNSKIPABLE</t>
  </si>
  <si>
    <t>Pre Roll Launching Chocolate</t>
  </si>
  <si>
    <t>10s</t>
  </si>
  <si>
    <t>Pre Roll Launching Vanilla</t>
  </si>
  <si>
    <t>Consumer Moments</t>
  </si>
  <si>
    <t xml:space="preserve">Pre Roll Consumer Moment 1 </t>
  </si>
  <si>
    <t>Pre Roll Consumer Moment 2</t>
  </si>
  <si>
    <t>TVC TBD</t>
  </si>
  <si>
    <t>30S</t>
  </si>
  <si>
    <t>N/A</t>
  </si>
  <si>
    <t>HAKS</t>
  </si>
  <si>
    <t>Pre Roll How to eat your Cookie 1</t>
  </si>
  <si>
    <t>15s</t>
  </si>
  <si>
    <t>Pre Roll How to eat your Cookie 2</t>
  </si>
  <si>
    <t>KIDS CORP  AWESOME ADS (direccionará a retail o video)</t>
  </si>
  <si>
    <t xml:space="preserve">Launching </t>
  </si>
  <si>
    <t xml:space="preserve">Video (fullscreen) </t>
  </si>
  <si>
    <t xml:space="preserve">BRANDED VIDEO primero </t>
  </si>
  <si>
    <t>Consumer Moment</t>
  </si>
  <si>
    <t xml:space="preserve">Intersticial (full screen) </t>
  </si>
  <si>
    <t xml:space="preserve">MINI GAME </t>
  </si>
  <si>
    <t xml:space="preserve">Kids Corp produces It </t>
  </si>
  <si>
    <t xml:space="preserve">PRE ROLL </t>
  </si>
  <si>
    <t>PARENTS</t>
  </si>
  <si>
    <t>Facebook</t>
  </si>
  <si>
    <t>POST AD</t>
  </si>
  <si>
    <t xml:space="preserve">Post Ad Vanilla </t>
  </si>
  <si>
    <t>Awareness</t>
  </si>
  <si>
    <t>VIDEO</t>
  </si>
  <si>
    <t xml:space="preserve">Video Ad Launching Chocolate </t>
  </si>
  <si>
    <r>
      <t>Video Views (</t>
    </r>
    <r>
      <rPr/>
      <t>REACH&amp;FREQUENCY</t>
    </r>
    <r>
      <t>)</t>
    </r>
  </si>
  <si>
    <t>Video Ad launching Vanilla</t>
  </si>
  <si>
    <t xml:space="preserve">Video Ad Consumer Moment 1 </t>
  </si>
  <si>
    <r>
      <t>Video Views (</t>
    </r>
    <r>
      <rPr/>
      <t>REACH&amp;FREQUENCY</t>
    </r>
    <r>
      <t>)</t>
    </r>
  </si>
  <si>
    <t xml:space="preserve">Video Ad Consumer Moment 2 </t>
  </si>
  <si>
    <t>Video Views (REACH&amp;FREQUENCY)</t>
  </si>
  <si>
    <t xml:space="preserve">Facebook </t>
  </si>
  <si>
    <t>ECCOMMERCE</t>
  </si>
  <si>
    <t>POST</t>
  </si>
  <si>
    <t xml:space="preserve">Link ad (a retail) at the principal hours of consumption </t>
  </si>
  <si>
    <t>jpg/gif</t>
  </si>
  <si>
    <t>Clicks</t>
  </si>
  <si>
    <t>VERIZON</t>
  </si>
  <si>
    <t>BANNER</t>
  </si>
  <si>
    <t>Instagram</t>
  </si>
  <si>
    <t>STORIES</t>
  </si>
  <si>
    <t>Fun Storie Play with Your Kid</t>
  </si>
  <si>
    <t>GIF</t>
  </si>
  <si>
    <t>The time of your Cookie</t>
  </si>
  <si>
    <t>Youtube</t>
  </si>
  <si>
    <t>BUMPER</t>
  </si>
  <si>
    <t>BUMPERS Launching</t>
  </si>
  <si>
    <t>6S</t>
  </si>
  <si>
    <t>Reach</t>
  </si>
  <si>
    <t>Total</t>
  </si>
  <si>
    <t>T</t>
  </si>
  <si>
    <t>BUDGET</t>
  </si>
  <si>
    <t>APRIL</t>
  </si>
  <si>
    <t>Lanzamientp</t>
  </si>
  <si>
    <t>Abril-MAY</t>
  </si>
  <si>
    <t>CONSUMER MOMENTS</t>
  </si>
  <si>
    <t xml:space="preserve">mantenimiento </t>
  </si>
  <si>
    <t>JUNE</t>
  </si>
  <si>
    <t>HOW TO EAT YOUR COOKIE</t>
  </si>
  <si>
    <t>JULY</t>
  </si>
  <si>
    <t>THE TIME OF YOPUR COOKIE</t>
  </si>
  <si>
    <t xml:space="preserve">Engagement </t>
  </si>
  <si>
    <t>AUGUST</t>
  </si>
  <si>
    <t>Traffic a retail</t>
  </si>
  <si>
    <t xml:space="preserve">always on </t>
  </si>
  <si>
    <t>SEPTEMBER</t>
  </si>
  <si>
    <t>OCTOBER</t>
  </si>
  <si>
    <t>7 MESES</t>
  </si>
  <si>
    <t>6 MONTHS</t>
  </si>
  <si>
    <t>Facebook (Reach extender a Instagram)</t>
  </si>
  <si>
    <r>
      <t>Video Views (</t>
    </r>
    <r>
      <rPr/>
      <t>REACH&amp;FREQUENCY</t>
    </r>
    <r>
      <t>)</t>
    </r>
  </si>
  <si>
    <r>
      <t>Video Views (</t>
    </r>
    <r>
      <rPr/>
      <t>REACH&amp;FREQUENCY</t>
    </r>
    <r>
      <t>)</t>
    </r>
  </si>
  <si>
    <t>MAY</t>
  </si>
  <si>
    <t>6 MESES</t>
  </si>
  <si>
    <t>Video Pre Roll</t>
  </si>
  <si>
    <r>
      <t>Video Views (</t>
    </r>
    <r>
      <rPr/>
      <t>REACH&amp;FREQUENCY</t>
    </r>
    <r>
      <t>)</t>
    </r>
  </si>
  <si>
    <r>
      <t>Video Views (</t>
    </r>
    <r>
      <rPr/>
      <t>REACH&amp;FREQUENCY</t>
    </r>
    <r>
      <t>)</t>
    </r>
  </si>
  <si>
    <t>Video Ad</t>
  </si>
  <si>
    <t>RJ/SP/PR/SC/RS</t>
  </si>
  <si>
    <t>25-55</t>
  </si>
  <si>
    <t>Bajo el % pero en usuarios unicos aumentamos mas de 5M</t>
  </si>
  <si>
    <t>VS</t>
  </si>
  <si>
    <t>CPCV</t>
  </si>
  <si>
    <t>CLICK EN EL VIDEO</t>
  </si>
  <si>
    <t>DISPLAY GOOGLE</t>
  </si>
  <si>
    <t>VIDEO UNSKIPABLE (YOUTUBE)</t>
  </si>
  <si>
    <r>
      <t>Video Views (</t>
    </r>
    <r>
      <rPr/>
      <t>REACH&amp;FREQUENCY</t>
    </r>
    <r>
      <t>)</t>
    </r>
  </si>
  <si>
    <r>
      <t>Video Views (</t>
    </r>
    <r>
      <rPr/>
      <t>REACH&amp;FREQUENCY</t>
    </r>
    <r>
      <t>)</t>
    </r>
  </si>
  <si>
    <t>PROGRAMMATIC</t>
  </si>
  <si>
    <t>Programmatic</t>
  </si>
  <si>
    <t>BANNER (ECOMMERCE Q3</t>
  </si>
  <si>
    <t>target</t>
  </si>
  <si>
    <t>25-45</t>
  </si>
  <si>
    <t>ideal 50 = 60%</t>
  </si>
  <si>
    <t xml:space="preserve">Pre Roll Launching </t>
  </si>
  <si>
    <t>Minimum 6S</t>
  </si>
  <si>
    <t xml:space="preserve">Pre Roll Consumer Moment </t>
  </si>
  <si>
    <t>Reuse videos of launching and they made de Mini Game</t>
  </si>
  <si>
    <t xml:space="preserve">Video Ad Launching </t>
  </si>
  <si>
    <r>
      <t>Video Views (</t>
    </r>
    <r>
      <rPr/>
      <t>REACH&amp;FREQUENCY</t>
    </r>
    <r>
      <t>)</t>
    </r>
  </si>
  <si>
    <t xml:space="preserve">Video Ad Consumer Moment </t>
  </si>
  <si>
    <r>
      <t>Video Views (</t>
    </r>
    <r>
      <rPr/>
      <t>REACH&amp;FREQUENCY</t>
    </r>
    <r>
      <t>)</t>
    </r>
  </si>
  <si>
    <t>15S</t>
  </si>
  <si>
    <t>P04</t>
  </si>
  <si>
    <t>P05</t>
  </si>
  <si>
    <t>P06</t>
  </si>
  <si>
    <t>P07</t>
  </si>
  <si>
    <t>P08</t>
  </si>
  <si>
    <t>Digital Media Tatical</t>
  </si>
  <si>
    <t>R$ 166.844,0</t>
  </si>
  <si>
    <t>R$ 958.688,0</t>
  </si>
  <si>
    <t>R$ 564.268,3</t>
  </si>
  <si>
    <t>R$ 220.400,7</t>
  </si>
  <si>
    <t>SUR (Paraná, Santa</t>
  </si>
  <si>
    <t>Catarina y Rio Grande do Sul).</t>
  </si>
  <si>
    <t>Catarina y Rio Grande do Sul) + RJ y SPI</t>
  </si>
  <si>
    <t>PERIODO:</t>
  </si>
  <si>
    <t>del 20/05 hasta 31/08</t>
  </si>
  <si>
    <t>MONTHLY REACH</t>
  </si>
  <si>
    <t xml:space="preserve">Piezas aprobadas y hechas </t>
  </si>
  <si>
    <t>banner 300x250, 300x60</t>
  </si>
  <si>
    <t>Pre-roll</t>
  </si>
  <si>
    <t>Pre Roll</t>
  </si>
  <si>
    <t xml:space="preserve">4:5 post ad </t>
  </si>
  <si>
    <t>Video Ad Consumer Moment</t>
  </si>
  <si>
    <r>
      <t>Video Views (</t>
    </r>
    <r>
      <rPr/>
      <t>REACH&amp;FREQUENCY</t>
    </r>
    <r>
      <t>)</t>
    </r>
  </si>
  <si>
    <t>Video Ad Launching</t>
  </si>
  <si>
    <t>bumper</t>
  </si>
  <si>
    <r>
      <t>Video Views (</t>
    </r>
    <r>
      <rPr/>
      <t>REACH&amp;FREQUENCY</t>
    </r>
    <r>
      <t>)</t>
    </r>
  </si>
  <si>
    <t>Instagram stories</t>
  </si>
  <si>
    <t xml:space="preserve">NOVO BUDGET </t>
  </si>
  <si>
    <t xml:space="preserve">ESCENARIO 1 </t>
  </si>
  <si>
    <t>PRE ROLL</t>
  </si>
  <si>
    <r>
      <t>Video Views (</t>
    </r>
    <r>
      <rPr/>
      <t>REACH&amp;FREQUENCY</t>
    </r>
    <r>
      <t>)</t>
    </r>
  </si>
  <si>
    <r>
      <t>Video Views (</t>
    </r>
    <r>
      <rPr/>
      <t>REACH&amp;FREQUENCY</t>
    </r>
    <r>
      <t>)</t>
    </r>
  </si>
  <si>
    <t>Bumper</t>
  </si>
  <si>
    <t>mayo</t>
  </si>
  <si>
    <t>junio</t>
  </si>
  <si>
    <t>julio</t>
  </si>
  <si>
    <t>agosto</t>
  </si>
  <si>
    <t>25-50</t>
  </si>
  <si>
    <t>Potencial Reach</t>
  </si>
  <si>
    <t xml:space="preserve">INVESTMENT PER FASE </t>
  </si>
  <si>
    <t>FASE</t>
  </si>
  <si>
    <t xml:space="preserve">Region </t>
  </si>
  <si>
    <t xml:space="preserve">TIPO DE COMPRA </t>
  </si>
  <si>
    <t>PIECE</t>
  </si>
  <si>
    <t xml:space="preserve">PLACEMENTS </t>
  </si>
  <si>
    <t xml:space="preserve">GENERAL CAMPAIGN </t>
  </si>
  <si>
    <t>FB</t>
  </si>
  <si>
    <t>SUR (Paraná, Santa,Catarina y Rio Grande do Sul).</t>
  </si>
  <si>
    <t xml:space="preserve">Formato de reserva Reach&amp;frequency </t>
  </si>
  <si>
    <t xml:space="preserve">POST AD </t>
  </si>
  <si>
    <t xml:space="preserve">FB REACH EXTENDER IG AND AUDIENCE NETWORK </t>
  </si>
  <si>
    <t>SUR (Paraná, Santa,Catarina y Rio Grande do Sul)+ RJ y SPI</t>
  </si>
  <si>
    <t xml:space="preserve">YOUTUBE </t>
  </si>
  <si>
    <t xml:space="preserve">Pre Roll + companion banners (300x250 + 300x60) </t>
  </si>
  <si>
    <t>PRE ROLL + COMPANION BANNERS</t>
  </si>
  <si>
    <t xml:space="preserve">2 PRE ROLL </t>
  </si>
  <si>
    <t>You tube</t>
  </si>
  <si>
    <t xml:space="preserve">Consumer moments </t>
  </si>
  <si>
    <t xml:space="preserve">Youtube </t>
  </si>
  <si>
    <t xml:space="preserve">KIDS CORP (PROGRAMMATIC) </t>
  </si>
  <si>
    <t xml:space="preserve">Intersticial </t>
  </si>
  <si>
    <t>KIDS CORP</t>
  </si>
  <si>
    <t xml:space="preserve">CONSUMER MOMENT </t>
  </si>
  <si>
    <t>video</t>
  </si>
  <si>
    <t xml:space="preserve">VIX ( CONTENT) </t>
  </si>
  <si>
    <t xml:space="preserve">LAUNCHING </t>
  </si>
  <si>
    <t xml:space="preserve">VIDEO NOTA </t>
  </si>
  <si>
    <t>VIX</t>
  </si>
  <si>
    <t xml:space="preserve">FB EXTENDER IG </t>
  </si>
  <si>
    <t>Video views</t>
  </si>
  <si>
    <t>IG STORIES</t>
  </si>
  <si>
    <t>STIORIES</t>
  </si>
  <si>
    <t>Vide views</t>
  </si>
  <si>
    <t>IG</t>
  </si>
  <si>
    <t>VERIZON PROGRAMMATICA</t>
  </si>
  <si>
    <t>VIDEO BANNER</t>
  </si>
  <si>
    <t>TBD</t>
  </si>
  <si>
    <t>RAPPI</t>
  </si>
  <si>
    <t xml:space="preserve">ESTATTICO </t>
  </si>
  <si>
    <t xml:space="preserve">TOTAL </t>
  </si>
  <si>
    <t xml:space="preserve">JUNIO </t>
  </si>
  <si>
    <t xml:space="preserve">JULIO </t>
  </si>
  <si>
    <t xml:space="preserve">AGOSTO </t>
  </si>
  <si>
    <t>ESCENARIO 1</t>
  </si>
  <si>
    <t>ESCENARIO 2</t>
  </si>
  <si>
    <t>cdn</t>
  </si>
  <si>
    <t>CDN</t>
  </si>
  <si>
    <t>IMPRESIONSS</t>
  </si>
  <si>
    <t>VIEWS</t>
  </si>
  <si>
    <t>POSSIBLE</t>
  </si>
  <si>
    <t>BONUS</t>
  </si>
  <si>
    <t>MEDIA</t>
  </si>
  <si>
    <t>FB
(extender en IG)</t>
  </si>
  <si>
    <t>FB (extender Ig)</t>
  </si>
  <si>
    <t xml:space="preserve">GRAND total </t>
  </si>
  <si>
    <t>KTBO MEDIA</t>
  </si>
  <si>
    <t xml:space="preserve">CDN </t>
  </si>
  <si>
    <t>GENERAL</t>
  </si>
  <si>
    <t>TOTALES</t>
  </si>
  <si>
    <t xml:space="preserve">GOOGLE DISPLAY </t>
  </si>
  <si>
    <t>GOOGLE YOUTUBE</t>
  </si>
  <si>
    <t>KIDSCORP</t>
  </si>
  <si>
    <t>MILLENIAL AND PARENTS</t>
  </si>
  <si>
    <t>FACEBOOK E INSTAGRAM</t>
  </si>
  <si>
    <t>MATERIALES</t>
  </si>
  <si>
    <t xml:space="preserve">NUMBER OF PIECES PER MONTH </t>
  </si>
  <si>
    <t xml:space="preserve">APRIL </t>
  </si>
  <si>
    <t>1(static)</t>
  </si>
  <si>
    <t>Pre Roll launching</t>
  </si>
  <si>
    <t>This ones ktbo dont do it , Just share de renders</t>
  </si>
  <si>
    <t>1 (static)</t>
  </si>
  <si>
    <t>1 (stories)</t>
  </si>
  <si>
    <t xml:space="preserve">1 (statics) </t>
  </si>
  <si>
    <t xml:space="preserve">PIECES IN THE PLAN </t>
  </si>
  <si>
    <t>Stories IG</t>
  </si>
  <si>
    <t xml:space="preserve">TOTAL OF PIECES PER MONTH  TO PRODUCE IN KTBO </t>
  </si>
  <si>
    <t>STATIC</t>
  </si>
  <si>
    <t xml:space="preserve">BUDGET </t>
  </si>
  <si>
    <t>BRANDED VIDEO 1</t>
  </si>
  <si>
    <t>BRANDED VIDEO 2</t>
  </si>
  <si>
    <t>General Dimensions (Mandatory Fields)</t>
  </si>
  <si>
    <t>Buy Metrics (Mandatory Fields)</t>
  </si>
  <si>
    <t>KPI Metrics</t>
  </si>
  <si>
    <t>Additional Dimensions</t>
  </si>
  <si>
    <t>Agency</t>
  </si>
  <si>
    <t>Client</t>
  </si>
  <si>
    <t>Brand</t>
  </si>
  <si>
    <t>Country</t>
  </si>
  <si>
    <t>City</t>
  </si>
  <si>
    <t>Vendor</t>
  </si>
  <si>
    <t>Network / Site</t>
  </si>
  <si>
    <t>Campaign Initiative</t>
  </si>
  <si>
    <t>Temporality</t>
  </si>
  <si>
    <t>Goal</t>
  </si>
  <si>
    <t>KPI</t>
  </si>
  <si>
    <t>Start Date (DD/MM/YYYY)</t>
  </si>
  <si>
    <t>End Date (DD/MM/YYYY)</t>
  </si>
  <si>
    <t>URL</t>
  </si>
  <si>
    <t>Device</t>
  </si>
  <si>
    <t>Language</t>
  </si>
  <si>
    <t>Tracking Y/N</t>
  </si>
  <si>
    <t>Tag Y/N</t>
  </si>
  <si>
    <t>Accountability Y/N</t>
  </si>
  <si>
    <t>Currency</t>
  </si>
  <si>
    <t>Total Cost</t>
  </si>
  <si>
    <t>Buy Type</t>
  </si>
  <si>
    <t>Media Rate</t>
  </si>
  <si>
    <t>Media Cost</t>
  </si>
  <si>
    <t>Media Units</t>
  </si>
  <si>
    <t>Forecast Impressions</t>
  </si>
  <si>
    <t>Forecast Clicks</t>
  </si>
  <si>
    <t>Forecast Revenue</t>
  </si>
  <si>
    <t>KPI Cost Type</t>
  </si>
  <si>
    <t>KPI Rate</t>
  </si>
  <si>
    <t>KPI Units</t>
  </si>
  <si>
    <t>Section</t>
  </si>
  <si>
    <t>Placement</t>
  </si>
  <si>
    <t>Format Type</t>
  </si>
  <si>
    <t>Creative Size</t>
  </si>
  <si>
    <t>Deal Type</t>
  </si>
  <si>
    <t>PMP Name</t>
  </si>
  <si>
    <t>KTBO BR</t>
  </si>
  <si>
    <t>Kelloggs</t>
  </si>
  <si>
    <t>Sucrilhos</t>
  </si>
  <si>
    <t>MERCOSUR</t>
  </si>
  <si>
    <t>BR</t>
  </si>
  <si>
    <t>Sao Paulo</t>
  </si>
  <si>
    <t>KTBO_2020_BRA_Kelloggs_Sucrilhos_Seasonal_Tiger_Facebook_Facebook_Awareness_CPM_MorningBreakfast</t>
  </si>
  <si>
    <t>Season</t>
  </si>
  <si>
    <t>Impressions</t>
  </si>
  <si>
    <t>Mobile | Desk</t>
  </si>
  <si>
    <t>Portuguese</t>
  </si>
  <si>
    <t>No</t>
  </si>
  <si>
    <t>Reales</t>
  </si>
  <si>
    <t>PP | Video</t>
  </si>
  <si>
    <t>KTBO_2020_BRA_Kelloggs_Sucrilhos_Seasonal_Google_Youtube_Tiger_AffinityTopics_CPM_MorningBreakfast</t>
  </si>
  <si>
    <t>Banner</t>
  </si>
  <si>
    <t>KTBO_2020_BRA_Kelloggs_Sucrilhos_Seasonal_Google_Youtube_Tiger_AffinityTopics_CPV_MorningBreakfast</t>
  </si>
  <si>
    <t>Views</t>
  </si>
  <si>
    <t>Video</t>
  </si>
  <si>
    <t>Kids Corp</t>
  </si>
  <si>
    <t>KTBO_2020_BRA_Kelloggs_Sucrilhos_Seasonal_Tiger_KidsCorp-CPV_MorningBreakfast</t>
  </si>
  <si>
    <t>KTBO_2020_BRA_Kelloggs_Sucrilhos_Seasonal_Tiger_Facebook_Instagram_Awareness_CPM_MorningBreakfast</t>
  </si>
  <si>
    <t>Stories</t>
  </si>
  <si>
    <t>Verizon</t>
  </si>
  <si>
    <t>KTBO_2020_BRA_Kelloggs_Sucrilhos_Seasonal_Tiger_Verizon-CPM_MorningBreakfast</t>
  </si>
  <si>
    <t>Banners</t>
  </si>
  <si>
    <t>KTBO_2020_BRA_Kelloggs_Sucrilhos_Seasonal_Tiger_Verizon-CPV_MorningBreakfast</t>
  </si>
  <si>
    <t>Video Banner</t>
  </si>
  <si>
    <t>KTBO_2020_BRA_Kelloggs_Sucrilhos_Seasonal_Tiger_Verizon-CPC_MorningBreakfast</t>
  </si>
  <si>
    <t>CLICS</t>
  </si>
  <si>
    <t>clics</t>
  </si>
  <si>
    <t>Google</t>
  </si>
  <si>
    <t>Other</t>
  </si>
  <si>
    <t>Engagement</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</si>
</sst>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quot;$&quot;#,##0.00"/>
    <numFmt numFmtId="165" formatCode="&quot;$&quot;#,##0"/>
    <numFmt numFmtId="166" formatCode="dd/mm/yyyy"/>
  </numFmts>
  <fonts count="82">
    <font>
      <sz val="10.0"/>
      <color rgb="FF000000"/>
      <name val="Arial"/>
    </font>
    <font>
      <sz val="10.0"/>
      <color theme="1"/>
      <name val="Proxima Nova"/>
    </font>
    <font>
      <b/>
      <sz val="12.0"/>
      <color rgb="FFFFFFFF"/>
      <name val="Roboto Condensed"/>
    </font>
    <font>
      <sz val="12.0"/>
      <color rgb="FFFFFFFF"/>
      <name val="Oswald"/>
    </font>
    <font>
      <sz val="12.0"/>
      <color theme="1"/>
      <name val="Proxima Nova"/>
    </font>
    <font>
      <sz val="14.0"/>
      <color theme="1"/>
      <name val="Proxima Nova"/>
    </font>
    <font>
      <sz val="12.0"/>
      <color rgb="FF000000"/>
      <name val="Proxima Nova"/>
    </font>
    <font>
      <sz val="12.0"/>
      <color rgb="FFFFFFFF"/>
      <name val="Proxima Nova"/>
    </font>
    <font>
      <sz val="14.0"/>
      <color theme="1"/>
      <name val="Oswald"/>
    </font>
    <font>
      <sz val="14.0"/>
      <color rgb="FFFFFFFF"/>
      <name val="Oswald"/>
    </font>
    <font>
      <b/>
      <sz val="14.0"/>
      <color theme="1"/>
      <name val="Proxima Nova"/>
    </font>
    <font/>
    <font>
      <sz val="18.0"/>
      <color rgb="FFFFFFFF"/>
      <name val="Oswald"/>
    </font>
    <font>
      <sz val="18.0"/>
      <color theme="1"/>
      <name val="Proxima Nova"/>
    </font>
    <font>
      <sz val="14.0"/>
      <color theme="1"/>
      <name val="Arial"/>
    </font>
    <font>
      <sz val="24.0"/>
      <color theme="1"/>
      <name val="Proxima Nova"/>
    </font>
    <font>
      <sz val="21.0"/>
      <color theme="1"/>
      <name val="Proxima Nova"/>
    </font>
    <font>
      <sz val="22.0"/>
      <color theme="1"/>
      <name val="Proxima Nova"/>
    </font>
    <font>
      <sz val="14.0"/>
      <color rgb="FFFFFFFF"/>
      <name val="Arial"/>
    </font>
    <font>
      <sz val="18.0"/>
      <color rgb="FF000000"/>
      <name val="Proxima Nova"/>
    </font>
    <font>
      <sz val="14.0"/>
      <color rgb="FF000000"/>
      <name val="Proxima Nova"/>
    </font>
    <font>
      <sz val="14.0"/>
      <color rgb="FF000000"/>
      <name val="Arial"/>
    </font>
    <font>
      <b/>
      <sz val="18.0"/>
      <color theme="1"/>
      <name val="Proxima Nova"/>
    </font>
    <font>
      <b/>
      <sz val="12.0"/>
      <color theme="1"/>
      <name val="Oswald"/>
    </font>
    <font>
      <b/>
      <sz val="14.0"/>
      <color theme="1"/>
      <name val="Oswald"/>
    </font>
    <font>
      <color theme="1"/>
      <name val="Arial"/>
    </font>
    <font>
      <b/>
      <sz val="10.0"/>
      <color theme="1"/>
      <name val="Proxima Nova"/>
    </font>
    <font>
      <sz val="10.0"/>
      <color rgb="FFFFFFFF"/>
      <name val="Proxima Nova"/>
    </font>
    <font>
      <sz val="10.0"/>
      <color rgb="FF000000"/>
      <name val="Proxima Nova"/>
    </font>
    <font>
      <color rgb="FFFFFFFF"/>
      <name val="Arial"/>
    </font>
    <font>
      <b/>
      <sz val="10.0"/>
      <color rgb="FFFFFFFF"/>
      <name val="Proxima Nova"/>
    </font>
    <font>
      <sz val="14.0"/>
      <color rgb="FFFFFFFF"/>
      <name val="Proxima Nova"/>
    </font>
    <font>
      <sz val="18.0"/>
      <color theme="1"/>
      <name val="Arial"/>
    </font>
    <font>
      <sz val="18.0"/>
      <color rgb="FF000000"/>
      <name val="Arial"/>
    </font>
    <font>
      <b/>
      <sz val="18.0"/>
      <color theme="1"/>
      <name val="Oswald"/>
    </font>
    <font>
      <sz val="18.0"/>
      <color theme="1"/>
      <name val="Oswald"/>
    </font>
    <font>
      <sz val="12.0"/>
      <color rgb="FFFFFFFF"/>
      <name val="Arial"/>
    </font>
    <font>
      <b/>
      <sz val="14.0"/>
      <color theme="1"/>
      <name val="Arial"/>
    </font>
    <font>
      <b/>
      <sz val="12.0"/>
      <color theme="1"/>
      <name val="Proxima Nova"/>
    </font>
    <font>
      <color rgb="FF222222"/>
      <name val="Roboto"/>
    </font>
    <font>
      <b/>
      <sz val="12.0"/>
      <color rgb="FF000000"/>
      <name val="Roboto"/>
    </font>
    <font>
      <i/>
      <color rgb="FF000000"/>
      <name val="Roboto"/>
    </font>
    <font>
      <color rgb="FF000000"/>
      <name val="Roboto"/>
    </font>
    <font>
      <b/>
      <sz val="12.0"/>
      <color rgb="FFFFFFFF"/>
      <name val="Arial"/>
    </font>
    <font>
      <b/>
      <sz val="14.0"/>
      <color rgb="FF000000"/>
      <name val="Arial"/>
    </font>
    <font>
      <b/>
      <sz val="12.0"/>
      <color rgb="FF000000"/>
      <name val="Arial"/>
    </font>
    <font>
      <b/>
      <sz val="14.0"/>
      <color rgb="FF000000"/>
      <name val="Oswald"/>
    </font>
    <font>
      <b/>
      <sz val="24.0"/>
      <color rgb="FF000000"/>
      <name val="Proxima Nova"/>
    </font>
    <font>
      <sz val="12.0"/>
      <color rgb="FF000000"/>
      <name val="Arial"/>
    </font>
    <font>
      <b/>
      <sz val="18.0"/>
      <color rgb="FFFFFFFF"/>
      <name val="Arial"/>
    </font>
    <font>
      <b/>
      <sz val="18.0"/>
      <color rgb="FF000000"/>
      <name val="Arial"/>
    </font>
    <font>
      <b/>
      <sz val="18.0"/>
      <color rgb="FF000000"/>
      <name val="Oswald"/>
    </font>
    <font>
      <sz val="24.0"/>
      <color theme="1"/>
      <name val="Oswald"/>
    </font>
    <font>
      <sz val="24.0"/>
      <color theme="1"/>
      <name val="Arial"/>
    </font>
    <font>
      <sz val="8.0"/>
      <color theme="1"/>
      <name val="Arial"/>
    </font>
    <font>
      <sz val="18.0"/>
      <color rgb="FFFFFFFF"/>
      <name val="Arial"/>
    </font>
    <font>
      <sz val="11.0"/>
      <color theme="1"/>
      <name val="Arial"/>
    </font>
    <font>
      <sz val="7.0"/>
      <color theme="1"/>
      <name val="Arial"/>
    </font>
    <font>
      <b/>
      <sz val="14.0"/>
      <color rgb="FFFFFFFF"/>
      <name val="Arial"/>
    </font>
    <font>
      <sz val="15.0"/>
      <color rgb="FFFFFFFF"/>
      <name val="Arial"/>
    </font>
    <font>
      <b/>
      <sz val="15.0"/>
      <color rgb="FFFFFFFF"/>
      <name val="Arial"/>
    </font>
    <font>
      <b/>
      <sz val="18.0"/>
      <color theme="1"/>
      <name val="Arial"/>
    </font>
    <font>
      <b/>
      <sz val="24.0"/>
      <color theme="1"/>
      <name val="Arial"/>
    </font>
    <font>
      <b/>
      <color theme="1"/>
      <name val="Arial"/>
    </font>
    <font>
      <b/>
      <sz val="24.0"/>
      <color rgb="FF000000"/>
      <name val="Arial"/>
    </font>
    <font>
      <color rgb="FF000000"/>
      <name val="Arial"/>
    </font>
    <font>
      <sz val="12.0"/>
      <color theme="1"/>
      <name val="Arial"/>
    </font>
    <font>
      <sz val="13.0"/>
      <color rgb="FFFFFFFF"/>
      <name val="Arial"/>
    </font>
    <font>
      <sz val="11.0"/>
      <color rgb="FFFFFFFF"/>
      <name val="Arial"/>
    </font>
    <font>
      <sz val="11.0"/>
      <color rgb="FF000000"/>
      <name val="Arial"/>
    </font>
    <font>
      <b/>
      <color rgb="FF000000"/>
      <name val="Arial"/>
    </font>
    <font>
      <sz val="24.0"/>
      <color rgb="FFFFFFFF"/>
      <name val="Arial"/>
    </font>
    <font>
      <sz val="24.0"/>
      <color rgb="FF000000"/>
      <name val="Arial"/>
    </font>
    <font>
      <b/>
      <sz val="24.0"/>
      <color rgb="FFFFFFFF"/>
      <name val="Arial"/>
    </font>
    <font>
      <b/>
      <sz val="18.0"/>
      <color rgb="FFFFFFFF"/>
      <name val="Proxima Nova"/>
    </font>
    <font>
      <sz val="36.0"/>
      <color theme="1"/>
      <name val="Arial"/>
    </font>
    <font>
      <b/>
      <sz val="12.0"/>
      <color theme="1"/>
      <name val="Arial"/>
    </font>
    <font>
      <b/>
      <color rgb="FFFFFFFF"/>
      <name val="Calibri"/>
    </font>
    <font>
      <b/>
      <sz val="14.0"/>
      <color rgb="FFFFFFFF"/>
      <name val="Calibri"/>
    </font>
    <font>
      <b/>
      <sz val="11.0"/>
      <color rgb="FFFFFFFF"/>
      <name val="Calibri"/>
    </font>
    <font>
      <b/>
      <color rgb="FF000000"/>
      <name val="Roboto"/>
    </font>
    <font>
      <sz val="11.0"/>
      <color rgb="FF000000"/>
      <name val="Calibri"/>
    </font>
  </fonts>
  <fills count="33">
    <fill>
      <patternFill patternType="none"/>
    </fill>
    <fill>
      <patternFill patternType="lightGray"/>
    </fill>
    <fill>
      <patternFill patternType="solid">
        <fgColor rgb="FFCC0000"/>
        <bgColor rgb="FFCC0000"/>
      </patternFill>
    </fill>
    <fill>
      <patternFill patternType="solid">
        <fgColor rgb="FFFFFFFF"/>
        <bgColor rgb="FFFFFFFF"/>
      </patternFill>
    </fill>
    <fill>
      <patternFill patternType="solid">
        <fgColor rgb="FF14E6BF"/>
        <bgColor rgb="FF14E6BF"/>
      </patternFill>
    </fill>
    <fill>
      <patternFill patternType="solid">
        <fgColor rgb="FFFF00FF"/>
        <bgColor rgb="FFFF00FF"/>
      </patternFill>
    </fill>
    <fill>
      <patternFill patternType="solid">
        <fgColor rgb="FFFFFF00"/>
        <bgColor rgb="FFFFFF00"/>
      </patternFill>
    </fill>
    <fill>
      <patternFill patternType="solid">
        <fgColor rgb="FF999999"/>
        <bgColor rgb="FF999999"/>
      </patternFill>
    </fill>
    <fill>
      <patternFill patternType="solid">
        <fgColor rgb="FFEA9999"/>
        <bgColor rgb="FFEA9999"/>
      </patternFill>
    </fill>
    <fill>
      <patternFill patternType="solid">
        <fgColor rgb="FFEFEFEF"/>
        <bgColor rgb="FFEFEFEF"/>
      </patternFill>
    </fill>
    <fill>
      <patternFill patternType="solid">
        <fgColor rgb="FFCCCCCC"/>
        <bgColor rgb="FFCCCCCC"/>
      </patternFill>
    </fill>
    <fill>
      <patternFill patternType="solid">
        <fgColor rgb="FFFFE599"/>
        <bgColor rgb="FFFFE599"/>
      </patternFill>
    </fill>
    <fill>
      <patternFill patternType="solid">
        <fgColor rgb="FFB4A7D6"/>
        <bgColor rgb="FFB4A7D6"/>
      </patternFill>
    </fill>
    <fill>
      <patternFill patternType="solid">
        <fgColor rgb="FF000000"/>
        <bgColor rgb="FF000000"/>
      </patternFill>
    </fill>
    <fill>
      <patternFill patternType="solid">
        <fgColor rgb="FFEAD1DC"/>
        <bgColor rgb="FFEAD1DC"/>
      </patternFill>
    </fill>
    <fill>
      <patternFill patternType="solid">
        <fgColor rgb="FFB6D7A8"/>
        <bgColor rgb="FFB6D7A8"/>
      </patternFill>
    </fill>
    <fill>
      <patternFill patternType="solid">
        <fgColor rgb="FFB7B7B7"/>
        <bgColor rgb="FFB7B7B7"/>
      </patternFill>
    </fill>
    <fill>
      <patternFill patternType="solid">
        <fgColor rgb="FFFFF2CC"/>
        <bgColor rgb="FFFFF2CC"/>
      </patternFill>
    </fill>
    <fill>
      <patternFill patternType="solid">
        <fgColor rgb="FFD9E1F2"/>
        <bgColor rgb="FFD9E1F2"/>
      </patternFill>
    </fill>
    <fill>
      <patternFill patternType="solid">
        <fgColor rgb="FFEA4335"/>
        <bgColor rgb="FFEA4335"/>
      </patternFill>
    </fill>
    <fill>
      <patternFill patternType="solid">
        <fgColor rgb="FFFF6D01"/>
        <bgColor rgb="FFFF6D01"/>
      </patternFill>
    </fill>
    <fill>
      <patternFill patternType="solid">
        <fgColor rgb="FFD9D9D9"/>
        <bgColor rgb="FFD9D9D9"/>
      </patternFill>
    </fill>
    <fill>
      <patternFill patternType="solid">
        <fgColor rgb="FFFF9900"/>
        <bgColor rgb="FFFF9900"/>
      </patternFill>
    </fill>
    <fill>
      <patternFill patternType="solid">
        <fgColor rgb="FF002060"/>
        <bgColor rgb="FF002060"/>
      </patternFill>
    </fill>
    <fill>
      <patternFill patternType="solid">
        <fgColor rgb="FF073763"/>
        <bgColor rgb="FF073763"/>
      </patternFill>
    </fill>
    <fill>
      <patternFill patternType="solid">
        <fgColor rgb="FF1C4587"/>
        <bgColor rgb="FF1C4587"/>
      </patternFill>
    </fill>
    <fill>
      <patternFill patternType="solid">
        <fgColor rgb="FF0000FF"/>
        <bgColor rgb="FF0000FF"/>
      </patternFill>
    </fill>
    <fill>
      <patternFill patternType="solid">
        <fgColor rgb="FF00FF00"/>
        <bgColor rgb="FF00FF00"/>
      </patternFill>
    </fill>
    <fill>
      <patternFill patternType="solid">
        <fgColor rgb="FF0070C0"/>
        <bgColor rgb="FF0070C0"/>
      </patternFill>
    </fill>
    <fill>
      <patternFill patternType="solid">
        <fgColor rgb="FF00B0F0"/>
        <bgColor rgb="FF00B0F0"/>
      </patternFill>
    </fill>
    <fill>
      <patternFill patternType="solid">
        <fgColor rgb="FF7F7F7F"/>
        <bgColor rgb="FF7F7F7F"/>
      </patternFill>
    </fill>
    <fill>
      <patternFill patternType="solid">
        <fgColor rgb="FF00B050"/>
        <bgColor rgb="FF00B050"/>
      </patternFill>
    </fill>
    <fill>
      <patternFill patternType="solid">
        <fgColor rgb="FFFCE5CD"/>
        <bgColor rgb="FFFCE5CD"/>
      </patternFill>
    </fill>
  </fills>
  <borders count="54">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999999"/>
      </left>
      <right style="thin">
        <color rgb="FF999999"/>
      </right>
      <top style="thin">
        <color rgb="FF999999"/>
      </top>
      <bottom style="thin">
        <color rgb="FF999999"/>
      </bottom>
    </border>
    <border>
      <left style="thin">
        <color rgb="FF999999"/>
      </left>
      <right style="thin">
        <color rgb="FF999999"/>
      </right>
      <bottom style="thin">
        <color rgb="FF999999"/>
      </bottom>
    </border>
    <border>
      <left style="thin">
        <color rgb="FF999999"/>
      </left>
      <right style="thin">
        <color rgb="FF999999"/>
      </right>
      <top style="thin">
        <color rgb="FF999999"/>
      </top>
    </border>
    <border>
      <left style="thin">
        <color rgb="FF999999"/>
      </left>
      <right style="thin">
        <color rgb="FF999999"/>
      </right>
    </border>
    <border>
      <left style="thin">
        <color rgb="FF999999"/>
      </left>
      <top style="thin">
        <color rgb="FF999999"/>
      </top>
    </border>
    <border>
      <left style="thin">
        <color rgb="FF999999"/>
      </left>
      <bottom style="thin">
        <color rgb="FF999999"/>
      </bottom>
    </border>
    <border>
      <left style="thin">
        <color rgb="FF999999"/>
      </left>
      <top style="thin">
        <color rgb="FF999999"/>
      </top>
      <bottom style="thin">
        <color rgb="FF999999"/>
      </bottom>
    </border>
    <border>
      <left style="thin">
        <color rgb="FF999999"/>
      </left>
    </border>
    <border>
      <right style="thin">
        <color rgb="FF999999"/>
      </right>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999999"/>
      </right>
      <top style="thin">
        <color rgb="FF999999"/>
      </top>
      <bottom style="thin">
        <color rgb="FF999999"/>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D9D9D9"/>
      </top>
      <bottom style="thin">
        <color rgb="FF000000"/>
      </bottom>
    </border>
    <border>
      <left style="thin">
        <color rgb="FF000000"/>
      </left>
      <top style="thin">
        <color rgb="FFD9D9D9"/>
      </top>
      <bottom style="thin">
        <color rgb="FF000000"/>
      </bottom>
    </border>
    <border>
      <right style="thin">
        <color rgb="FF000000"/>
      </right>
      <top style="thin">
        <color rgb="FFD9D9D9"/>
      </top>
      <bottom style="thin">
        <color rgb="FF000000"/>
      </bottom>
    </border>
    <border>
      <left style="thin">
        <color rgb="FFD9D9D9"/>
      </left>
      <right style="thin">
        <color rgb="FF000000"/>
      </right>
      <top style="thin">
        <color rgb="FFD9D9D9"/>
      </top>
      <bottom style="thin">
        <color rgb="FF000000"/>
      </bottom>
    </border>
    <border>
      <left style="thin">
        <color rgb="FFD9D9D9"/>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999999"/>
      </right>
      <bottom style="thin">
        <color rgb="FF999999"/>
      </bottom>
    </border>
    <border>
      <right style="thin">
        <color rgb="FF999999"/>
      </right>
      <top style="thin">
        <color rgb="FF999999"/>
      </top>
    </border>
    <border>
      <left style="thin">
        <color rgb="FF666666"/>
      </left>
      <top style="thin">
        <color rgb="FF666666"/>
      </top>
    </border>
    <border>
      <right style="thin">
        <color rgb="FF666666"/>
      </right>
      <top style="thin">
        <color rgb="FF666666"/>
      </top>
    </border>
    <border>
      <left style="thin">
        <color rgb="FF666666"/>
      </left>
      <right style="thin">
        <color rgb="FF666666"/>
      </right>
      <top style="thin">
        <color rgb="FF666666"/>
      </top>
    </border>
    <border>
      <top style="thin">
        <color rgb="FF666666"/>
      </top>
    </border>
    <border>
      <left style="thin">
        <color rgb="FF666666"/>
      </left>
      <right style="thin">
        <color rgb="FF666666"/>
      </right>
      <top style="thin">
        <color rgb="FF666666"/>
      </top>
      <bottom style="thin">
        <color rgb="FF666666"/>
      </bottom>
    </border>
    <border>
      <left style="thin">
        <color rgb="FF666666"/>
      </left>
    </border>
    <border>
      <right style="thin">
        <color rgb="FF666666"/>
      </right>
    </border>
    <border>
      <left style="thin">
        <color rgb="FF666666"/>
      </left>
      <right style="thin">
        <color rgb="FF666666"/>
      </right>
    </border>
    <border>
      <left style="thin">
        <color rgb="FF666666"/>
      </left>
      <right style="thin">
        <color rgb="FF666666"/>
      </right>
      <bottom style="thin">
        <color rgb="FF666666"/>
      </bottom>
    </border>
    <border>
      <bottom style="thin">
        <color rgb="FF666666"/>
      </bottom>
    </border>
    <border>
      <right style="thin">
        <color rgb="FF666666"/>
      </right>
      <bottom style="thin">
        <color rgb="FF666666"/>
      </bottom>
    </border>
    <border>
      <right style="thin">
        <color rgb="FF666666"/>
      </right>
      <top style="thin">
        <color rgb="FF666666"/>
      </top>
      <bottom style="thin">
        <color rgb="FF666666"/>
      </bottom>
    </border>
    <border>
      <left style="thin">
        <color rgb="FF666666"/>
      </left>
      <bottom style="thin">
        <color rgb="FF666666"/>
      </bottom>
    </border>
    <border>
      <right/>
    </border>
    <border>
      <right style="thin">
        <color rgb="FFD9D9D9"/>
      </right>
    </border>
    <border>
      <left style="thin">
        <color rgb="FF000000"/>
      </left>
      <top style="thin">
        <color rgb="FF002B51"/>
      </top>
    </border>
    <border>
      <top style="thin">
        <color rgb="FF002B51"/>
      </top>
    </border>
    <border>
      <right style="thin">
        <color rgb="FF000000"/>
      </right>
      <top style="thin">
        <color rgb="FF002B51"/>
      </top>
    </border>
    <border>
      <left style="thin">
        <color rgb="FF000000"/>
      </left>
      <bottom style="thin">
        <color rgb="FF002B51"/>
      </bottom>
    </border>
    <border>
      <bottom style="thin">
        <color rgb="FF002B51"/>
      </bottom>
    </border>
    <border>
      <right style="thin">
        <color rgb="FF000000"/>
      </right>
      <bottom style="thin">
        <color rgb="FF002B51"/>
      </bottom>
    </border>
  </borders>
  <cellStyleXfs count="1">
    <xf borderId="0" fillId="0" fontId="0" numFmtId="0" applyAlignment="1" applyFont="1"/>
  </cellStyleXfs>
  <cellXfs count="554">
    <xf borderId="0" fillId="0" fontId="0" numFmtId="0" xfId="0" applyAlignment="1" applyFont="1">
      <alignment readingOrder="0" shrinkToFit="0" vertical="bottom" wrapText="0"/>
    </xf>
    <xf borderId="0" fillId="2" fontId="1" numFmtId="0" xfId="0" applyAlignment="1" applyFill="1" applyFont="1">
      <alignment horizontal="center" vertical="center"/>
    </xf>
    <xf borderId="0" fillId="2" fontId="2" numFmtId="0" xfId="0" applyAlignment="1" applyFont="1">
      <alignment horizontal="center" vertical="center"/>
    </xf>
    <xf borderId="0" fillId="0" fontId="1" numFmtId="0" xfId="0" applyAlignment="1" applyFont="1">
      <alignment vertical="center"/>
    </xf>
    <xf borderId="0" fillId="0" fontId="1" numFmtId="164" xfId="0" applyAlignment="1" applyFont="1" applyNumberFormat="1">
      <alignment vertical="center"/>
    </xf>
    <xf borderId="1" fillId="2" fontId="3" numFmtId="0" xfId="0" applyAlignment="1" applyBorder="1" applyFont="1">
      <alignment vertical="center"/>
    </xf>
    <xf borderId="1" fillId="0" fontId="4" numFmtId="165" xfId="0" applyAlignment="1" applyBorder="1" applyFont="1" applyNumberFormat="1">
      <alignment horizontal="center" vertical="center"/>
    </xf>
    <xf borderId="0" fillId="0" fontId="4" numFmtId="0" xfId="0" applyAlignment="1" applyFont="1">
      <alignment vertical="center"/>
    </xf>
    <xf borderId="0" fillId="3" fontId="4" numFmtId="0" xfId="0" applyAlignment="1" applyFill="1" applyFont="1">
      <alignment vertical="center"/>
    </xf>
    <xf borderId="0" fillId="0" fontId="5" numFmtId="0" xfId="0" applyAlignment="1" applyFont="1">
      <alignment vertical="center"/>
    </xf>
    <xf borderId="0" fillId="0" fontId="5" numFmtId="165" xfId="0" applyAlignment="1" applyFont="1" applyNumberFormat="1">
      <alignment vertical="center"/>
    </xf>
    <xf borderId="1" fillId="3" fontId="6" numFmtId="165" xfId="0" applyAlignment="1" applyBorder="1" applyFont="1" applyNumberFormat="1">
      <alignment horizontal="center" vertical="center"/>
    </xf>
    <xf borderId="0" fillId="3" fontId="7" numFmtId="0" xfId="0" applyAlignment="1" applyFont="1">
      <alignment horizontal="center" vertical="center"/>
    </xf>
    <xf borderId="0" fillId="0" fontId="5" numFmtId="3" xfId="0" applyAlignment="1" applyFont="1" applyNumberFormat="1">
      <alignment vertical="center"/>
    </xf>
    <xf borderId="0" fillId="3" fontId="4" numFmtId="9" xfId="0" applyAlignment="1" applyFont="1" applyNumberFormat="1">
      <alignment vertical="center"/>
    </xf>
    <xf borderId="0" fillId="0" fontId="5" numFmtId="4" xfId="0" applyAlignment="1" applyFont="1" applyNumberFormat="1">
      <alignment vertical="center"/>
    </xf>
    <xf borderId="0" fillId="3" fontId="8" numFmtId="0" xfId="0" applyAlignment="1" applyFont="1">
      <alignment horizontal="center" vertical="center"/>
    </xf>
    <xf borderId="1" fillId="0" fontId="4" numFmtId="4" xfId="0" applyAlignment="1" applyBorder="1" applyFont="1" applyNumberFormat="1">
      <alignment horizontal="center" vertical="center"/>
    </xf>
    <xf borderId="0" fillId="4" fontId="8" numFmtId="0" xfId="0" applyAlignment="1" applyFill="1" applyFont="1">
      <alignment horizontal="center" vertical="center"/>
    </xf>
    <xf borderId="0" fillId="5" fontId="8" numFmtId="0" xfId="0" applyAlignment="1" applyFill="1" applyFont="1">
      <alignment horizontal="center" vertical="center"/>
    </xf>
    <xf borderId="0" fillId="6" fontId="8" numFmtId="0" xfId="0" applyAlignment="1" applyFill="1" applyFont="1">
      <alignment horizontal="center" vertical="center"/>
    </xf>
    <xf borderId="1" fillId="0" fontId="4" numFmtId="0" xfId="0" applyAlignment="1" applyBorder="1" applyFont="1">
      <alignment vertical="center"/>
    </xf>
    <xf borderId="1" fillId="0" fontId="4" numFmtId="0" xfId="0" applyAlignment="1" applyBorder="1" applyFont="1">
      <alignment horizontal="center" vertical="center"/>
    </xf>
    <xf borderId="0" fillId="7" fontId="9" numFmtId="0" xfId="0" applyAlignment="1" applyFill="1" applyFont="1">
      <alignment horizontal="center" shrinkToFit="0" vertical="center" wrapText="1"/>
    </xf>
    <xf borderId="2" fillId="7" fontId="8" numFmtId="0" xfId="0" applyAlignment="1" applyBorder="1" applyFont="1">
      <alignment horizontal="center" vertical="center"/>
    </xf>
    <xf borderId="3" fillId="7" fontId="8" numFmtId="0" xfId="0" applyAlignment="1" applyBorder="1" applyFont="1">
      <alignment horizontal="center" vertical="center"/>
    </xf>
    <xf borderId="4" fillId="7" fontId="8" numFmtId="0" xfId="0" applyAlignment="1" applyBorder="1" applyFont="1">
      <alignment horizontal="center" vertical="center"/>
    </xf>
    <xf borderId="0" fillId="7" fontId="8" numFmtId="0" xfId="0" applyAlignment="1" applyFont="1">
      <alignment horizontal="center" vertical="center"/>
    </xf>
    <xf borderId="1" fillId="0" fontId="4" numFmtId="3" xfId="0" applyAlignment="1" applyBorder="1" applyFont="1" applyNumberFormat="1">
      <alignment vertical="center"/>
    </xf>
    <xf borderId="1" fillId="0" fontId="4" numFmtId="9" xfId="0" applyAlignment="1" applyBorder="1" applyFont="1" applyNumberFormat="1">
      <alignment vertical="center"/>
    </xf>
    <xf borderId="0" fillId="6" fontId="10" numFmtId="0" xfId="0" applyAlignment="1" applyFont="1">
      <alignment vertical="center"/>
    </xf>
    <xf borderId="5" fillId="7" fontId="8" numFmtId="0" xfId="0" applyAlignment="1" applyBorder="1" applyFont="1">
      <alignment horizontal="center" vertical="center"/>
    </xf>
    <xf borderId="6" fillId="0" fontId="11" numFmtId="0" xfId="0" applyBorder="1" applyFont="1"/>
    <xf borderId="7" fillId="2" fontId="12" numFmtId="0" xfId="0" applyAlignment="1" applyBorder="1" applyFont="1">
      <alignment horizontal="center" shrinkToFit="0" vertical="center" wrapText="1"/>
    </xf>
    <xf borderId="8" fillId="8" fontId="12" numFmtId="0" xfId="0" applyAlignment="1" applyBorder="1" applyFill="1" applyFont="1">
      <alignment horizontal="center" shrinkToFit="0" vertical="center" wrapText="1"/>
    </xf>
    <xf borderId="7" fillId="8" fontId="12" numFmtId="0" xfId="0" applyAlignment="1" applyBorder="1" applyFont="1">
      <alignment horizontal="center" shrinkToFit="0" vertical="center" wrapText="1"/>
    </xf>
    <xf borderId="0" fillId="8" fontId="12" numFmtId="0" xfId="0" applyAlignment="1" applyFont="1">
      <alignment horizontal="center" shrinkToFit="0" vertical="center" wrapText="1"/>
    </xf>
    <xf borderId="0" fillId="8" fontId="9" numFmtId="0" xfId="0" applyAlignment="1" applyFont="1">
      <alignment horizontal="center" shrinkToFit="0" vertical="center" wrapText="1"/>
    </xf>
    <xf borderId="5" fillId="8" fontId="8" numFmtId="0" xfId="0" applyAlignment="1" applyBorder="1" applyFont="1">
      <alignment horizontal="center" vertical="center"/>
    </xf>
    <xf borderId="0" fillId="8" fontId="8" numFmtId="0" xfId="0" applyAlignment="1" applyFont="1">
      <alignment horizontal="center" vertical="center"/>
    </xf>
    <xf borderId="6" fillId="8" fontId="8" numFmtId="0" xfId="0" applyAlignment="1" applyBorder="1" applyFont="1">
      <alignment horizontal="center" vertical="center"/>
    </xf>
    <xf borderId="7" fillId="0" fontId="13" numFmtId="0" xfId="0" applyAlignment="1" applyBorder="1" applyFont="1">
      <alignment horizontal="center" shrinkToFit="0" vertical="center" wrapText="1"/>
    </xf>
    <xf borderId="8" fillId="0" fontId="13" numFmtId="0" xfId="0" applyAlignment="1" applyBorder="1" applyFont="1">
      <alignment horizontal="center" shrinkToFit="0" vertical="center" wrapText="1"/>
    </xf>
    <xf borderId="8" fillId="0" fontId="13" numFmtId="0" xfId="0" applyAlignment="1" applyBorder="1" applyFont="1">
      <alignment horizontal="center" vertical="center"/>
    </xf>
    <xf borderId="8" fillId="0" fontId="13" numFmtId="9" xfId="0" applyAlignment="1" applyBorder="1" applyFont="1" applyNumberFormat="1">
      <alignment horizontal="center" vertical="center"/>
    </xf>
    <xf borderId="7" fillId="0" fontId="13" numFmtId="0" xfId="0" applyAlignment="1" applyBorder="1" applyFont="1">
      <alignment horizontal="center" vertical="center"/>
    </xf>
    <xf borderId="9" fillId="0" fontId="13" numFmtId="0" xfId="0" applyAlignment="1" applyBorder="1" applyFont="1">
      <alignment horizontal="center" vertical="center"/>
    </xf>
    <xf borderId="0" fillId="0" fontId="13" numFmtId="9" xfId="0" applyAlignment="1" applyFont="1" applyNumberFormat="1">
      <alignment horizontal="center" vertical="center"/>
    </xf>
    <xf borderId="9" fillId="0" fontId="13" numFmtId="165" xfId="0" applyAlignment="1" applyBorder="1" applyFont="1" applyNumberFormat="1">
      <alignment horizontal="center" vertical="center"/>
    </xf>
    <xf borderId="0" fillId="0" fontId="13" numFmtId="0" xfId="0" applyAlignment="1" applyFont="1">
      <alignment horizontal="center" vertical="center"/>
    </xf>
    <xf borderId="0" fillId="0" fontId="5" numFmtId="4" xfId="0" applyAlignment="1" applyFont="1" applyNumberFormat="1">
      <alignment horizontal="center" vertical="center"/>
    </xf>
    <xf borderId="7" fillId="0" fontId="5" numFmtId="3" xfId="0" applyAlignment="1" applyBorder="1" applyFont="1" applyNumberFormat="1">
      <alignment horizontal="center" vertical="center"/>
    </xf>
    <xf borderId="9" fillId="0" fontId="5" numFmtId="9" xfId="0" applyAlignment="1" applyBorder="1" applyFont="1" applyNumberFormat="1">
      <alignment horizontal="center" vertical="center"/>
    </xf>
    <xf borderId="9" fillId="0" fontId="5" numFmtId="165" xfId="0" applyAlignment="1" applyBorder="1" applyFont="1" applyNumberFormat="1">
      <alignment horizontal="center" vertical="center"/>
    </xf>
    <xf borderId="9" fillId="0" fontId="5" numFmtId="0" xfId="0" applyAlignment="1" applyBorder="1" applyFont="1">
      <alignment horizontal="center" vertical="center"/>
    </xf>
    <xf borderId="9" fillId="9" fontId="5" numFmtId="164" xfId="0" applyAlignment="1" applyBorder="1" applyFill="1" applyFont="1" applyNumberFormat="1">
      <alignment horizontal="center" vertical="center"/>
    </xf>
    <xf borderId="0" fillId="9" fontId="5" numFmtId="164" xfId="0" applyAlignment="1" applyFont="1" applyNumberFormat="1">
      <alignment horizontal="center" vertical="center"/>
    </xf>
    <xf borderId="9" fillId="0" fontId="5" numFmtId="164" xfId="0" applyAlignment="1" applyBorder="1" applyFont="1" applyNumberFormat="1">
      <alignment horizontal="center" vertical="center"/>
    </xf>
    <xf borderId="0" fillId="0" fontId="5" numFmtId="3" xfId="0" applyAlignment="1" applyFont="1" applyNumberFormat="1">
      <alignment horizontal="center" vertical="center"/>
    </xf>
    <xf borderId="5" fillId="4" fontId="14" numFmtId="165" xfId="0" applyAlignment="1" applyBorder="1" applyFont="1" applyNumberFormat="1">
      <alignment horizontal="center"/>
    </xf>
    <xf borderId="0" fillId="10" fontId="14" numFmtId="0" xfId="0" applyAlignment="1" applyFill="1" applyFont="1">
      <alignment horizontal="center"/>
    </xf>
    <xf borderId="5" fillId="10" fontId="14" numFmtId="0" xfId="0" applyAlignment="1" applyBorder="1" applyFont="1">
      <alignment horizontal="center"/>
    </xf>
    <xf borderId="6" fillId="10" fontId="14" numFmtId="0" xfId="0" applyAlignment="1" applyBorder="1" applyFont="1">
      <alignment horizontal="center"/>
    </xf>
    <xf borderId="0" fillId="10" fontId="14" numFmtId="165" xfId="0" applyAlignment="1" applyFont="1" applyNumberFormat="1">
      <alignment horizontal="center"/>
    </xf>
    <xf borderId="10" fillId="0" fontId="11" numFmtId="0" xfId="0" applyBorder="1" applyFont="1"/>
    <xf borderId="8" fillId="0" fontId="11" numFmtId="0" xfId="0" applyBorder="1" applyFont="1"/>
    <xf borderId="5" fillId="0" fontId="11" numFmtId="0" xfId="0" applyBorder="1" applyFont="1"/>
    <xf borderId="9" fillId="0" fontId="15" numFmtId="0" xfId="0" applyAlignment="1" applyBorder="1" applyFont="1">
      <alignment horizontal="center" shrinkToFit="0" vertical="center" wrapText="1"/>
    </xf>
    <xf borderId="9" fillId="0" fontId="16" numFmtId="0" xfId="0" applyAlignment="1" applyBorder="1" applyFont="1">
      <alignment horizontal="center" shrinkToFit="0" vertical="center" wrapText="1"/>
    </xf>
    <xf borderId="9" fillId="0" fontId="15" numFmtId="0" xfId="0" applyAlignment="1" applyBorder="1" applyFont="1">
      <alignment horizontal="center" vertical="center"/>
    </xf>
    <xf borderId="9" fillId="0" fontId="15" numFmtId="9" xfId="0" applyAlignment="1" applyBorder="1" applyFont="1" applyNumberFormat="1">
      <alignment horizontal="center" vertical="center"/>
    </xf>
    <xf borderId="9" fillId="0" fontId="17" numFmtId="165" xfId="0" applyAlignment="1" applyBorder="1" applyFont="1" applyNumberFormat="1">
      <alignment horizontal="center" vertical="center"/>
    </xf>
    <xf borderId="9" fillId="0" fontId="13" numFmtId="9" xfId="0" applyAlignment="1" applyBorder="1" applyFont="1" applyNumberFormat="1">
      <alignment horizontal="center" vertical="center"/>
    </xf>
    <xf borderId="7" fillId="0" fontId="5" numFmtId="4" xfId="0" applyAlignment="1" applyBorder="1" applyFont="1" applyNumberFormat="1">
      <alignment horizontal="center" vertical="center"/>
    </xf>
    <xf borderId="7" fillId="9" fontId="5" numFmtId="164" xfId="0" applyAlignment="1" applyBorder="1" applyFont="1" applyNumberFormat="1">
      <alignment horizontal="center" vertical="center"/>
    </xf>
    <xf borderId="9" fillId="0" fontId="5" numFmtId="3" xfId="0" applyAlignment="1" applyBorder="1" applyFont="1" applyNumberFormat="1">
      <alignment horizontal="center" vertical="center"/>
    </xf>
    <xf borderId="11" fillId="0" fontId="5" numFmtId="3" xfId="0" applyAlignment="1" applyBorder="1" applyFont="1" applyNumberFormat="1">
      <alignment horizontal="center" vertical="center"/>
    </xf>
    <xf borderId="0" fillId="4" fontId="14" numFmtId="165" xfId="0" applyAlignment="1" applyFont="1" applyNumberFormat="1">
      <alignment horizontal="center"/>
    </xf>
    <xf borderId="12" fillId="0" fontId="11" numFmtId="0" xfId="0" applyBorder="1" applyFont="1"/>
    <xf borderId="5" fillId="11" fontId="14" numFmtId="165" xfId="0" applyAlignment="1" applyBorder="1" applyFill="1" applyFont="1" applyNumberFormat="1">
      <alignment horizontal="center"/>
    </xf>
    <xf borderId="7" fillId="0" fontId="5" numFmtId="9" xfId="0" applyAlignment="1" applyBorder="1" applyFont="1" applyNumberFormat="1">
      <alignment horizontal="center" vertical="center"/>
    </xf>
    <xf borderId="7" fillId="0" fontId="5" numFmtId="165" xfId="0" applyAlignment="1" applyBorder="1" applyFont="1" applyNumberFormat="1">
      <alignment horizontal="center" vertical="center"/>
    </xf>
    <xf borderId="7" fillId="0" fontId="5" numFmtId="0" xfId="0" applyAlignment="1" applyBorder="1" applyFont="1">
      <alignment horizontal="center" vertical="center"/>
    </xf>
    <xf borderId="7" fillId="0" fontId="5" numFmtId="164" xfId="0" applyAlignment="1" applyBorder="1" applyFont="1" applyNumberFormat="1">
      <alignment horizontal="center" vertical="center"/>
    </xf>
    <xf borderId="13" fillId="0" fontId="5" numFmtId="3" xfId="0" applyAlignment="1" applyBorder="1" applyFont="1" applyNumberFormat="1">
      <alignment horizontal="center" vertical="center"/>
    </xf>
    <xf borderId="5" fillId="2" fontId="18" numFmtId="165" xfId="0" applyAlignment="1" applyBorder="1" applyFont="1" applyNumberFormat="1">
      <alignment horizontal="center"/>
    </xf>
    <xf borderId="5" fillId="12" fontId="14" numFmtId="165" xfId="0" applyAlignment="1" applyBorder="1" applyFill="1" applyFont="1" applyNumberFormat="1">
      <alignment horizontal="center"/>
    </xf>
    <xf borderId="10" fillId="13" fontId="13" numFmtId="0" xfId="0" applyAlignment="1" applyBorder="1" applyFill="1" applyFont="1">
      <alignment horizontal="center" vertical="center"/>
    </xf>
    <xf borderId="10" fillId="13" fontId="13" numFmtId="9" xfId="0" applyAlignment="1" applyBorder="1" applyFont="1" applyNumberFormat="1">
      <alignment horizontal="center" vertical="center"/>
    </xf>
    <xf borderId="7" fillId="13" fontId="13" numFmtId="0" xfId="0" applyAlignment="1" applyBorder="1" applyFont="1">
      <alignment horizontal="center" vertical="center"/>
    </xf>
    <xf borderId="7" fillId="13" fontId="5" numFmtId="9" xfId="0" applyAlignment="1" applyBorder="1" applyFont="1" applyNumberFormat="1">
      <alignment horizontal="center" vertical="center"/>
    </xf>
    <xf borderId="7" fillId="13" fontId="5" numFmtId="3" xfId="0" applyAlignment="1" applyBorder="1" applyFont="1" applyNumberFormat="1">
      <alignment horizontal="center" vertical="center"/>
    </xf>
    <xf borderId="7" fillId="13" fontId="5" numFmtId="165" xfId="0" applyAlignment="1" applyBorder="1" applyFont="1" applyNumberFormat="1">
      <alignment horizontal="center" vertical="center"/>
    </xf>
    <xf borderId="7" fillId="13" fontId="5" numFmtId="0" xfId="0" applyAlignment="1" applyBorder="1" applyFont="1">
      <alignment horizontal="center" vertical="center"/>
    </xf>
    <xf borderId="7" fillId="13" fontId="5" numFmtId="164" xfId="0" applyAlignment="1" applyBorder="1" applyFont="1" applyNumberFormat="1">
      <alignment horizontal="center" vertical="center"/>
    </xf>
    <xf borderId="13" fillId="13" fontId="5" numFmtId="3" xfId="0" applyAlignment="1" applyBorder="1" applyFont="1" applyNumberFormat="1">
      <alignment horizontal="center" vertical="center"/>
    </xf>
    <xf borderId="5" fillId="13" fontId="14" numFmtId="0" xfId="0" applyAlignment="1" applyBorder="1" applyFont="1">
      <alignment horizontal="center"/>
    </xf>
    <xf borderId="0" fillId="13" fontId="14" numFmtId="0" xfId="0" applyAlignment="1" applyFont="1">
      <alignment horizontal="center"/>
    </xf>
    <xf borderId="6" fillId="13" fontId="14" numFmtId="0" xfId="0" applyAlignment="1" applyBorder="1" applyFont="1">
      <alignment horizontal="center"/>
    </xf>
    <xf borderId="10" fillId="0" fontId="13" numFmtId="0" xfId="0" applyAlignment="1" applyBorder="1" applyFont="1">
      <alignment horizontal="center" shrinkToFit="0" vertical="center" wrapText="1"/>
    </xf>
    <xf borderId="10" fillId="0" fontId="13" numFmtId="9" xfId="0" applyAlignment="1" applyBorder="1" applyFont="1" applyNumberFormat="1">
      <alignment horizontal="center" vertical="center"/>
    </xf>
    <xf borderId="14" fillId="0" fontId="13" numFmtId="0" xfId="0" applyAlignment="1" applyBorder="1" applyFont="1">
      <alignment horizontal="center" vertical="center"/>
    </xf>
    <xf borderId="1" fillId="0" fontId="13" numFmtId="0" xfId="0" applyAlignment="1" applyBorder="1" applyFont="1">
      <alignment horizontal="center" vertical="center"/>
    </xf>
    <xf borderId="15" fillId="3" fontId="13" numFmtId="0" xfId="0" applyAlignment="1" applyBorder="1" applyFont="1">
      <alignment horizontal="center" vertical="center"/>
    </xf>
    <xf borderId="14" fillId="0" fontId="13" numFmtId="165" xfId="0" applyAlignment="1" applyBorder="1" applyFont="1" applyNumberFormat="1">
      <alignment horizontal="center" vertical="center"/>
    </xf>
    <xf borderId="16" fillId="0" fontId="13" numFmtId="0" xfId="0" applyAlignment="1" applyBorder="1" applyFont="1">
      <alignment horizontal="center" vertical="center"/>
    </xf>
    <xf borderId="15" fillId="0" fontId="13" numFmtId="0" xfId="0" applyAlignment="1" applyBorder="1" applyFont="1">
      <alignment horizontal="center" vertical="center"/>
    </xf>
    <xf borderId="0" fillId="11" fontId="14" numFmtId="165" xfId="0" applyAlignment="1" applyFont="1" applyNumberFormat="1">
      <alignment horizontal="center"/>
    </xf>
    <xf borderId="14" fillId="0" fontId="11" numFmtId="0" xfId="0" applyBorder="1" applyFont="1"/>
    <xf borderId="17" fillId="0" fontId="11" numFmtId="0" xfId="0" applyBorder="1" applyFont="1"/>
    <xf borderId="18" fillId="0" fontId="13" numFmtId="0" xfId="0" applyAlignment="1" applyBorder="1" applyFont="1">
      <alignment horizontal="center" vertical="center"/>
    </xf>
    <xf borderId="15" fillId="0" fontId="11" numFmtId="0" xfId="0" applyBorder="1" applyFont="1"/>
    <xf borderId="7" fillId="13" fontId="15" numFmtId="0" xfId="0" applyAlignment="1" applyBorder="1" applyFont="1">
      <alignment horizontal="center" vertical="center"/>
    </xf>
    <xf borderId="7" fillId="13" fontId="17" numFmtId="0" xfId="0" applyAlignment="1" applyBorder="1" applyFont="1">
      <alignment horizontal="center" vertical="center"/>
    </xf>
    <xf borderId="10" fillId="13" fontId="19" numFmtId="0" xfId="0" applyAlignment="1" applyBorder="1" applyFont="1">
      <alignment horizontal="center" vertical="center"/>
    </xf>
    <xf borderId="10" fillId="13" fontId="19" numFmtId="9" xfId="0" applyAlignment="1" applyBorder="1" applyFont="1" applyNumberFormat="1">
      <alignment horizontal="center" vertical="center"/>
    </xf>
    <xf borderId="7" fillId="13" fontId="19" numFmtId="0" xfId="0" applyAlignment="1" applyBorder="1" applyFont="1">
      <alignment horizontal="center" vertical="center"/>
    </xf>
    <xf borderId="7" fillId="13" fontId="20" numFmtId="9" xfId="0" applyAlignment="1" applyBorder="1" applyFont="1" applyNumberFormat="1">
      <alignment horizontal="center" vertical="center"/>
    </xf>
    <xf borderId="7" fillId="13" fontId="20" numFmtId="3" xfId="0" applyAlignment="1" applyBorder="1" applyFont="1" applyNumberFormat="1">
      <alignment horizontal="center" vertical="center"/>
    </xf>
    <xf borderId="7" fillId="13" fontId="20" numFmtId="165" xfId="0" applyAlignment="1" applyBorder="1" applyFont="1" applyNumberFormat="1">
      <alignment horizontal="center" vertical="center"/>
    </xf>
    <xf borderId="7" fillId="13" fontId="20" numFmtId="0" xfId="0" applyAlignment="1" applyBorder="1" applyFont="1">
      <alignment horizontal="center" vertical="center"/>
    </xf>
    <xf borderId="7" fillId="13" fontId="20" numFmtId="164" xfId="0" applyAlignment="1" applyBorder="1" applyFont="1" applyNumberFormat="1">
      <alignment horizontal="center" vertical="center"/>
    </xf>
    <xf borderId="13" fillId="13" fontId="20" numFmtId="3" xfId="0" applyAlignment="1" applyBorder="1" applyFont="1" applyNumberFormat="1">
      <alignment horizontal="center" vertical="center"/>
    </xf>
    <xf borderId="5" fillId="13" fontId="21" numFmtId="0" xfId="0" applyAlignment="1" applyBorder="1" applyFont="1">
      <alignment horizontal="center"/>
    </xf>
    <xf borderId="0" fillId="13" fontId="21" numFmtId="0" xfId="0" applyAlignment="1" applyFont="1">
      <alignment horizontal="center"/>
    </xf>
    <xf borderId="6" fillId="13" fontId="21" numFmtId="0" xfId="0" applyAlignment="1" applyBorder="1" applyFont="1">
      <alignment horizontal="center"/>
    </xf>
    <xf borderId="10" fillId="0" fontId="13" numFmtId="0" xfId="0" applyAlignment="1" applyBorder="1" applyFont="1">
      <alignment horizontal="center" vertical="center"/>
    </xf>
    <xf borderId="7" fillId="0" fontId="5" numFmtId="0" xfId="0" applyAlignment="1" applyBorder="1" applyFont="1">
      <alignment horizontal="center" shrinkToFit="0" vertical="center" wrapText="1"/>
    </xf>
    <xf borderId="6" fillId="4" fontId="14" numFmtId="165" xfId="0" applyAlignment="1" applyBorder="1" applyFont="1" applyNumberFormat="1">
      <alignment horizontal="center"/>
    </xf>
    <xf borderId="9" fillId="0" fontId="5" numFmtId="0" xfId="0" applyAlignment="1" applyBorder="1" applyFont="1">
      <alignment horizontal="center" shrinkToFit="0" vertical="center" wrapText="1"/>
    </xf>
    <xf borderId="19" fillId="0" fontId="13" numFmtId="9" xfId="0" applyAlignment="1" applyBorder="1" applyFont="1" applyNumberFormat="1">
      <alignment horizontal="center" vertical="center"/>
    </xf>
    <xf borderId="7" fillId="0" fontId="13" numFmtId="165" xfId="0" applyAlignment="1" applyBorder="1" applyFont="1" applyNumberFormat="1">
      <alignment horizontal="center" vertical="center"/>
    </xf>
    <xf borderId="7" fillId="6" fontId="22" numFmtId="0" xfId="0" applyAlignment="1" applyBorder="1" applyFont="1">
      <alignment horizontal="center" vertical="center"/>
    </xf>
    <xf borderId="7" fillId="9" fontId="5" numFmtId="3" xfId="0" applyAlignment="1" applyBorder="1" applyFont="1" applyNumberFormat="1">
      <alignment horizontal="center" vertical="center"/>
    </xf>
    <xf borderId="0" fillId="14" fontId="14" numFmtId="165" xfId="0" applyAlignment="1" applyFill="1" applyFont="1" applyNumberFormat="1">
      <alignment horizontal="center"/>
    </xf>
    <xf borderId="5" fillId="14" fontId="14" numFmtId="165" xfId="0" applyAlignment="1" applyBorder="1" applyFont="1" applyNumberFormat="1">
      <alignment horizontal="center"/>
    </xf>
    <xf borderId="7" fillId="0" fontId="13" numFmtId="9" xfId="0" applyAlignment="1" applyBorder="1" applyFont="1" applyNumberFormat="1">
      <alignment horizontal="center" vertical="center"/>
    </xf>
    <xf borderId="7" fillId="13" fontId="13" numFmtId="9" xfId="0" applyAlignment="1" applyBorder="1" applyFont="1" applyNumberFormat="1">
      <alignment horizontal="center" vertical="center"/>
    </xf>
    <xf borderId="7" fillId="13" fontId="13" numFmtId="165" xfId="0" applyAlignment="1" applyBorder="1" applyFont="1" applyNumberFormat="1">
      <alignment horizontal="center" vertical="center"/>
    </xf>
    <xf borderId="5" fillId="15" fontId="14" numFmtId="165" xfId="0" applyAlignment="1" applyBorder="1" applyFill="1" applyFont="1" applyNumberFormat="1">
      <alignment horizontal="center"/>
    </xf>
    <xf borderId="20" fillId="10" fontId="14" numFmtId="0" xfId="0" applyAlignment="1" applyBorder="1" applyFont="1">
      <alignment horizontal="center"/>
    </xf>
    <xf borderId="21" fillId="0" fontId="11" numFmtId="0" xfId="0" applyBorder="1" applyFont="1"/>
    <xf borderId="21" fillId="10" fontId="14" numFmtId="0" xfId="0" applyAlignment="1" applyBorder="1" applyFont="1">
      <alignment horizontal="center"/>
    </xf>
    <xf borderId="22" fillId="0" fontId="11" numFmtId="0" xfId="0" applyBorder="1" applyFont="1"/>
    <xf borderId="0" fillId="13" fontId="13" numFmtId="0" xfId="0" applyAlignment="1" applyFont="1">
      <alignment horizontal="center" vertical="center"/>
    </xf>
    <xf borderId="0" fillId="16" fontId="23" numFmtId="0" xfId="0" applyAlignment="1" applyFill="1" applyFont="1">
      <alignment horizontal="center" vertical="center"/>
    </xf>
    <xf borderId="0" fillId="16" fontId="23" numFmtId="165" xfId="0" applyAlignment="1" applyFont="1" applyNumberFormat="1">
      <alignment horizontal="center" vertical="center"/>
    </xf>
    <xf borderId="0" fillId="16" fontId="24" numFmtId="0" xfId="0" applyAlignment="1" applyFont="1">
      <alignment horizontal="center" vertical="center"/>
    </xf>
    <xf borderId="0" fillId="16" fontId="24" numFmtId="3" xfId="0" applyAlignment="1" applyFont="1" applyNumberFormat="1">
      <alignment horizontal="center" vertical="center"/>
    </xf>
    <xf borderId="0" fillId="16" fontId="24" numFmtId="165" xfId="0" applyAlignment="1" applyFont="1" applyNumberFormat="1">
      <alignment horizontal="center" vertical="center"/>
    </xf>
    <xf borderId="0" fillId="16" fontId="8" numFmtId="0" xfId="0" applyAlignment="1" applyFont="1">
      <alignment vertical="center"/>
    </xf>
    <xf borderId="0" fillId="16" fontId="8" numFmtId="3" xfId="0" applyAlignment="1" applyFont="1" applyNumberFormat="1">
      <alignment horizontal="center" vertical="center"/>
    </xf>
    <xf borderId="0" fillId="16" fontId="8" numFmtId="4" xfId="0" applyAlignment="1" applyFont="1" applyNumberFormat="1">
      <alignment horizontal="center" vertical="center"/>
    </xf>
    <xf borderId="0" fillId="0" fontId="1" numFmtId="3" xfId="0" applyAlignment="1" applyFont="1" applyNumberFormat="1">
      <alignment vertical="center"/>
    </xf>
    <xf borderId="0" fillId="0" fontId="1" numFmtId="165" xfId="0" applyAlignment="1" applyFont="1" applyNumberFormat="1">
      <alignment vertical="center"/>
    </xf>
    <xf borderId="0" fillId="0" fontId="25" numFmtId="0" xfId="0" applyAlignment="1" applyFont="1">
      <alignment vertical="center"/>
    </xf>
    <xf borderId="0" fillId="0" fontId="1" numFmtId="4" xfId="0" applyAlignment="1" applyFont="1" applyNumberFormat="1">
      <alignment vertical="center"/>
    </xf>
    <xf borderId="0" fillId="0" fontId="25" numFmtId="0" xfId="0" applyFont="1"/>
    <xf borderId="0" fillId="0" fontId="25" numFmtId="165" xfId="0" applyFont="1" applyNumberFormat="1"/>
    <xf borderId="0" fillId="0" fontId="25" numFmtId="3" xfId="0" applyAlignment="1" applyFont="1" applyNumberFormat="1">
      <alignment vertical="center"/>
    </xf>
    <xf borderId="0" fillId="0" fontId="26" numFmtId="165" xfId="0" applyAlignment="1" applyFont="1" applyNumberFormat="1">
      <alignment vertical="center"/>
    </xf>
    <xf borderId="9" fillId="0" fontId="13" numFmtId="0" xfId="0" applyAlignment="1" applyBorder="1" applyFont="1">
      <alignment horizontal="center" shrinkToFit="0" vertical="center" wrapText="1"/>
    </xf>
    <xf borderId="0" fillId="0" fontId="27" numFmtId="0" xfId="0" applyAlignment="1" applyFont="1">
      <alignment vertical="center"/>
    </xf>
    <xf borderId="0" fillId="0" fontId="28" numFmtId="0" xfId="0" applyAlignment="1" applyFont="1">
      <alignment vertical="center"/>
    </xf>
    <xf borderId="0" fillId="0" fontId="27" numFmtId="0" xfId="0" applyAlignment="1" applyFont="1">
      <alignment horizontal="center" vertical="center"/>
    </xf>
    <xf borderId="0" fillId="0" fontId="27" numFmtId="165" xfId="0" applyAlignment="1" applyFont="1" applyNumberFormat="1">
      <alignment horizontal="center" vertical="center"/>
    </xf>
    <xf borderId="0" fillId="0" fontId="27" numFmtId="165" xfId="0" applyAlignment="1" applyFont="1" applyNumberFormat="1">
      <alignment vertical="center"/>
    </xf>
    <xf borderId="0" fillId="0" fontId="28" numFmtId="165" xfId="0" applyAlignment="1" applyFont="1" applyNumberFormat="1">
      <alignment vertical="center"/>
    </xf>
    <xf borderId="0" fillId="0" fontId="29" numFmtId="0" xfId="0" applyFont="1"/>
    <xf borderId="0" fillId="0" fontId="30" numFmtId="165" xfId="0" applyAlignment="1" applyFont="1" applyNumberFormat="1">
      <alignment vertical="center"/>
    </xf>
    <xf borderId="1" fillId="2" fontId="9" numFmtId="0" xfId="0" applyAlignment="1" applyBorder="1" applyFont="1">
      <alignment vertical="center"/>
    </xf>
    <xf borderId="1" fillId="0" fontId="5" numFmtId="165" xfId="0" applyAlignment="1" applyBorder="1" applyFont="1" applyNumberFormat="1">
      <alignment horizontal="center" vertical="center"/>
    </xf>
    <xf borderId="0" fillId="0" fontId="14" numFmtId="0" xfId="0" applyFont="1"/>
    <xf borderId="0" fillId="3" fontId="5" numFmtId="0" xfId="0" applyAlignment="1" applyFont="1">
      <alignment vertical="center"/>
    </xf>
    <xf borderId="1" fillId="3" fontId="20" numFmtId="165" xfId="0" applyAlignment="1" applyBorder="1" applyFont="1" applyNumberFormat="1">
      <alignment horizontal="center" vertical="center"/>
    </xf>
    <xf borderId="0" fillId="3" fontId="31" numFmtId="0" xfId="0" applyAlignment="1" applyFont="1">
      <alignment horizontal="center" vertical="center"/>
    </xf>
    <xf borderId="0" fillId="3" fontId="5" numFmtId="9" xfId="0" applyAlignment="1" applyFont="1" applyNumberFormat="1">
      <alignment vertical="center"/>
    </xf>
    <xf borderId="1" fillId="17" fontId="5" numFmtId="4" xfId="0" applyAlignment="1" applyBorder="1" applyFill="1" applyFont="1" applyNumberFormat="1">
      <alignment horizontal="center" vertical="center"/>
    </xf>
    <xf borderId="1" fillId="0" fontId="5" numFmtId="4" xfId="0" applyAlignment="1" applyBorder="1" applyFont="1" applyNumberFormat="1">
      <alignment horizontal="center" vertical="center"/>
    </xf>
    <xf borderId="0" fillId="6" fontId="13" numFmtId="0" xfId="0" applyAlignment="1" applyFont="1">
      <alignment horizontal="center" shrinkToFit="0" vertical="center" wrapText="1"/>
    </xf>
    <xf borderId="1" fillId="0" fontId="5" numFmtId="0" xfId="0" applyAlignment="1" applyBorder="1" applyFont="1">
      <alignment vertical="center"/>
    </xf>
    <xf borderId="1" fillId="0" fontId="5" numFmtId="0" xfId="0" applyAlignment="1" applyBorder="1" applyFont="1">
      <alignment horizontal="center" vertical="center"/>
    </xf>
    <xf borderId="0" fillId="0" fontId="4" numFmtId="0" xfId="0" applyAlignment="1" applyFont="1">
      <alignment horizontal="center" vertical="center"/>
    </xf>
    <xf borderId="1" fillId="0" fontId="5" numFmtId="3" xfId="0" applyAlignment="1" applyBorder="1" applyFont="1" applyNumberFormat="1">
      <alignment vertical="center"/>
    </xf>
    <xf borderId="1" fillId="0" fontId="5" numFmtId="9" xfId="0" applyAlignment="1" applyBorder="1" applyFont="1" applyNumberFormat="1">
      <alignment vertical="center"/>
    </xf>
    <xf borderId="0" fillId="10" fontId="32" numFmtId="165" xfId="0" applyAlignment="1" applyFont="1" applyNumberFormat="1">
      <alignment horizontal="center"/>
    </xf>
    <xf borderId="0" fillId="13" fontId="32" numFmtId="0" xfId="0" applyAlignment="1" applyFont="1">
      <alignment horizontal="center"/>
    </xf>
    <xf borderId="0" fillId="13" fontId="33" numFmtId="0" xfId="0" applyAlignment="1" applyFont="1">
      <alignment horizontal="center"/>
    </xf>
    <xf borderId="0" fillId="10" fontId="32" numFmtId="0" xfId="0" applyAlignment="1" applyFont="1">
      <alignment horizontal="center"/>
    </xf>
    <xf borderId="9" fillId="9" fontId="5" numFmtId="3" xfId="0" applyAlignment="1" applyBorder="1" applyFont="1" applyNumberFormat="1">
      <alignment horizontal="center" vertical="center"/>
    </xf>
    <xf borderId="5" fillId="16" fontId="14" numFmtId="165" xfId="0" applyAlignment="1" applyBorder="1" applyFont="1" applyNumberFormat="1">
      <alignment horizontal="center"/>
    </xf>
    <xf borderId="18" fillId="0" fontId="11" numFmtId="0" xfId="0" applyBorder="1" applyFont="1"/>
    <xf borderId="8" fillId="6" fontId="13" numFmtId="0" xfId="0" applyAlignment="1" applyBorder="1" applyFont="1">
      <alignment horizontal="center" vertical="center"/>
    </xf>
    <xf borderId="7" fillId="6" fontId="5" numFmtId="0" xfId="0" applyAlignment="1" applyBorder="1" applyFont="1">
      <alignment horizontal="center" vertical="center"/>
    </xf>
    <xf borderId="13" fillId="9" fontId="5" numFmtId="164" xfId="0" applyAlignment="1" applyBorder="1" applyFont="1" applyNumberFormat="1">
      <alignment horizontal="center" vertical="center"/>
    </xf>
    <xf borderId="6" fillId="14" fontId="14" numFmtId="165" xfId="0" applyAlignment="1" applyBorder="1" applyFont="1" applyNumberFormat="1">
      <alignment horizontal="center"/>
    </xf>
    <xf borderId="0" fillId="16" fontId="34" numFmtId="0" xfId="0" applyAlignment="1" applyFont="1">
      <alignment horizontal="center" vertical="center"/>
    </xf>
    <xf borderId="0" fillId="16" fontId="34" numFmtId="165" xfId="0" applyAlignment="1" applyFont="1" applyNumberFormat="1">
      <alignment horizontal="center" vertical="center"/>
    </xf>
    <xf borderId="0" fillId="16" fontId="34" numFmtId="3" xfId="0" applyAlignment="1" applyFont="1" applyNumberFormat="1">
      <alignment horizontal="center" vertical="center"/>
    </xf>
    <xf borderId="0" fillId="16" fontId="35" numFmtId="0" xfId="0" applyAlignment="1" applyFont="1">
      <alignment vertical="center"/>
    </xf>
    <xf borderId="0" fillId="0" fontId="27" numFmtId="3" xfId="0" applyAlignment="1" applyFont="1" applyNumberFormat="1">
      <alignment vertical="center"/>
    </xf>
    <xf borderId="0" fillId="0" fontId="7" numFmtId="0" xfId="0" applyAlignment="1" applyFont="1">
      <alignment vertical="center"/>
    </xf>
    <xf borderId="0" fillId="0" fontId="7" numFmtId="0" xfId="0" applyAlignment="1" applyFont="1">
      <alignment horizontal="center" vertical="center"/>
    </xf>
    <xf borderId="0" fillId="0" fontId="7" numFmtId="165" xfId="0" applyAlignment="1" applyFont="1" applyNumberFormat="1">
      <alignment horizontal="center" vertical="center"/>
    </xf>
    <xf borderId="0" fillId="0" fontId="36" numFmtId="0" xfId="0" applyFont="1"/>
    <xf borderId="0" fillId="6" fontId="26" numFmtId="0" xfId="0" applyAlignment="1" applyFont="1">
      <alignment vertical="center"/>
    </xf>
    <xf borderId="0" fillId="6" fontId="37" numFmtId="0" xfId="0" applyFont="1"/>
    <xf borderId="0" fillId="6" fontId="38" numFmtId="0" xfId="0" applyAlignment="1" applyFont="1">
      <alignment vertical="center"/>
    </xf>
    <xf borderId="9" fillId="0" fontId="5" numFmtId="4" xfId="0" applyAlignment="1" applyBorder="1" applyFont="1" applyNumberFormat="1">
      <alignment horizontal="center" vertical="center"/>
    </xf>
    <xf borderId="9" fillId="0" fontId="5" numFmtId="3" xfId="0" applyAlignment="1" applyBorder="1" applyFont="1" applyNumberFormat="1">
      <alignment horizontal="center" shrinkToFit="0" vertical="center" wrapText="1"/>
    </xf>
    <xf borderId="0" fillId="18" fontId="39" numFmtId="0" xfId="0" applyAlignment="1" applyFill="1" applyFont="1">
      <alignment vertical="bottom"/>
    </xf>
    <xf borderId="23" fillId="18" fontId="40" numFmtId="0" xfId="0" applyAlignment="1" applyBorder="1" applyFont="1">
      <alignment horizontal="center" vertical="bottom"/>
    </xf>
    <xf borderId="24" fillId="18" fontId="40" numFmtId="0" xfId="0" applyAlignment="1" applyBorder="1" applyFont="1">
      <alignment horizontal="center" vertical="bottom"/>
    </xf>
    <xf borderId="25" fillId="0" fontId="11" numFmtId="0" xfId="0" applyBorder="1" applyFont="1"/>
    <xf borderId="26" fillId="18" fontId="40" numFmtId="0" xfId="0" applyAlignment="1" applyBorder="1" applyFont="1">
      <alignment horizontal="center" vertical="bottom"/>
    </xf>
    <xf borderId="0" fillId="18" fontId="41" numFmtId="0" xfId="0" applyAlignment="1" applyFont="1">
      <alignment vertical="bottom"/>
    </xf>
    <xf borderId="0" fillId="0" fontId="39" numFmtId="0" xfId="0" applyFont="1"/>
    <xf borderId="0" fillId="0" fontId="42" numFmtId="0" xfId="0" applyAlignment="1" applyFont="1">
      <alignment horizontal="center"/>
    </xf>
    <xf borderId="0" fillId="0" fontId="42" numFmtId="0" xfId="0" applyAlignment="1" applyFont="1">
      <alignment vertical="bottom"/>
    </xf>
    <xf borderId="27" fillId="0" fontId="42" numFmtId="0" xfId="0" applyAlignment="1" applyBorder="1" applyFont="1">
      <alignment vertical="bottom"/>
    </xf>
    <xf borderId="16" fillId="2" fontId="9" numFmtId="0" xfId="0" applyAlignment="1" applyBorder="1" applyFont="1">
      <alignment horizontal="center" shrinkToFit="0" wrapText="0"/>
    </xf>
    <xf borderId="16" fillId="0" fontId="21" numFmtId="165" xfId="0" applyAlignment="1" applyBorder="1" applyFont="1" applyNumberFormat="1">
      <alignment horizontal="center" shrinkToFit="0" wrapText="0"/>
    </xf>
    <xf borderId="0" fillId="19" fontId="43" numFmtId="0" xfId="0" applyAlignment="1" applyFill="1" applyFont="1">
      <alignment horizontal="center" shrinkToFit="0" wrapText="0"/>
    </xf>
    <xf borderId="0" fillId="20" fontId="43" numFmtId="0" xfId="0" applyAlignment="1" applyFill="1" applyFont="1">
      <alignment horizontal="center" shrinkToFit="0" wrapText="0"/>
    </xf>
    <xf borderId="0" fillId="19" fontId="43" numFmtId="0" xfId="0" applyAlignment="1" applyFont="1">
      <alignment horizontal="center" shrinkToFit="0" vertical="bottom" wrapText="0"/>
    </xf>
    <xf borderId="0" fillId="20" fontId="43" numFmtId="0" xfId="0" applyAlignment="1" applyFont="1">
      <alignment horizontal="center" shrinkToFit="0" vertical="bottom" wrapText="0"/>
    </xf>
    <xf borderId="1" fillId="2" fontId="9" numFmtId="0" xfId="0" applyAlignment="1" applyBorder="1" applyFont="1">
      <alignment shrinkToFit="0" wrapText="0"/>
    </xf>
    <xf borderId="1" fillId="3" fontId="21" numFmtId="165" xfId="0" applyAlignment="1" applyBorder="1" applyFont="1" applyNumberFormat="1">
      <alignment horizontal="center" shrinkToFit="0" wrapText="0"/>
    </xf>
    <xf borderId="0" fillId="6" fontId="44" numFmtId="0" xfId="0" applyAlignment="1" applyFont="1">
      <alignment shrinkToFit="0" wrapText="0"/>
    </xf>
    <xf borderId="0" fillId="6" fontId="45" numFmtId="0" xfId="0" applyAlignment="1" applyFont="1">
      <alignment shrinkToFit="0" vertical="bottom" wrapText="0"/>
    </xf>
    <xf borderId="0" fillId="6" fontId="46" numFmtId="0" xfId="0" applyAlignment="1" applyFont="1">
      <alignment horizontal="center" shrinkToFit="0" wrapText="0"/>
    </xf>
    <xf borderId="0" fillId="0" fontId="13" numFmtId="0" xfId="0" applyAlignment="1" applyFont="1">
      <alignment horizontal="center" shrinkToFit="0" vertical="center" wrapText="1"/>
    </xf>
    <xf borderId="28" fillId="7" fontId="8" numFmtId="0" xfId="0" applyAlignment="1" applyBorder="1" applyFont="1">
      <alignment horizontal="center" vertical="center"/>
    </xf>
    <xf borderId="29" fillId="0" fontId="11" numFmtId="0" xfId="0" applyBorder="1" applyFont="1"/>
    <xf borderId="30" fillId="0" fontId="11" numFmtId="0" xfId="0" applyBorder="1" applyFont="1"/>
    <xf borderId="0" fillId="10" fontId="9" numFmtId="0" xfId="0" applyAlignment="1" applyFont="1">
      <alignment horizontal="center" shrinkToFit="0" vertical="center" wrapText="1"/>
    </xf>
    <xf borderId="28" fillId="21" fontId="25" numFmtId="0" xfId="0" applyAlignment="1" applyBorder="1" applyFill="1" applyFont="1">
      <alignment horizontal="center"/>
    </xf>
    <xf borderId="29" fillId="21" fontId="25" numFmtId="0" xfId="0" applyAlignment="1" applyBorder="1" applyFont="1">
      <alignment horizontal="center"/>
    </xf>
    <xf borderId="28" fillId="21" fontId="25" numFmtId="9" xfId="0" applyAlignment="1" applyBorder="1" applyFont="1" applyNumberFormat="1">
      <alignment horizontal="center"/>
    </xf>
    <xf borderId="12" fillId="8" fontId="12" numFmtId="0" xfId="0" applyAlignment="1" applyBorder="1" applyFont="1">
      <alignment horizontal="center" shrinkToFit="0" vertical="center" wrapText="1"/>
    </xf>
    <xf borderId="31" fillId="0" fontId="11" numFmtId="0" xfId="0" applyBorder="1" applyFont="1"/>
    <xf borderId="11" fillId="0" fontId="16" numFmtId="0" xfId="0" applyAlignment="1" applyBorder="1" applyFont="1">
      <alignment horizontal="center" shrinkToFit="0" vertical="center" wrapText="1"/>
    </xf>
    <xf borderId="32" fillId="0" fontId="11" numFmtId="0" xfId="0" applyBorder="1" applyFont="1"/>
    <xf borderId="9" fillId="6" fontId="5" numFmtId="0" xfId="0" applyAlignment="1" applyBorder="1" applyFont="1">
      <alignment horizontal="center" vertical="center"/>
    </xf>
    <xf borderId="7" fillId="6" fontId="10" numFmtId="0" xfId="0" applyAlignment="1" applyBorder="1" applyFont="1">
      <alignment horizontal="center" vertical="center"/>
    </xf>
    <xf borderId="9" fillId="0" fontId="17" numFmtId="164" xfId="0" applyAlignment="1" applyBorder="1" applyFont="1" applyNumberFormat="1">
      <alignment horizontal="center" vertical="center"/>
    </xf>
    <xf borderId="9" fillId="0" fontId="13" numFmtId="164" xfId="0" applyAlignment="1" applyBorder="1" applyFont="1" applyNumberFormat="1">
      <alignment horizontal="center" vertical="center"/>
    </xf>
    <xf borderId="0" fillId="6" fontId="47" numFmtId="0" xfId="0" applyAlignment="1" applyFont="1">
      <alignment horizontal="center" vertical="center"/>
    </xf>
    <xf borderId="0" fillId="0" fontId="6" numFmtId="0" xfId="0" applyAlignment="1" applyFont="1">
      <alignment vertical="center"/>
    </xf>
    <xf borderId="0" fillId="0" fontId="48" numFmtId="0" xfId="0" applyFont="1"/>
    <xf borderId="0" fillId="0" fontId="6" numFmtId="165" xfId="0" applyAlignment="1" applyFont="1" applyNumberFormat="1">
      <alignment horizontal="center" vertical="center"/>
    </xf>
    <xf borderId="0" fillId="0" fontId="42" numFmtId="164" xfId="0" applyAlignment="1" applyFont="1" applyNumberFormat="1">
      <alignment horizontal="center"/>
    </xf>
    <xf borderId="0" fillId="0" fontId="42" numFmtId="164" xfId="0" applyAlignment="1" applyFont="1" applyNumberFormat="1">
      <alignment vertical="bottom"/>
    </xf>
    <xf borderId="27" fillId="0" fontId="42" numFmtId="164" xfId="0" applyAlignment="1" applyBorder="1" applyFont="1" applyNumberFormat="1">
      <alignment vertical="bottom"/>
    </xf>
    <xf borderId="0" fillId="0" fontId="28" numFmtId="164" xfId="0" applyAlignment="1" applyFont="1" applyNumberFormat="1">
      <alignment vertical="center"/>
    </xf>
    <xf borderId="0" fillId="6" fontId="15" numFmtId="0" xfId="0" applyAlignment="1" applyFont="1">
      <alignment vertical="center"/>
    </xf>
    <xf borderId="14" fillId="8" fontId="12" numFmtId="0" xfId="0" applyAlignment="1" applyBorder="1" applyFont="1">
      <alignment horizontal="center" shrinkToFit="0" vertical="center" wrapText="1"/>
    </xf>
    <xf borderId="10" fillId="8" fontId="12" numFmtId="0" xfId="0" applyAlignment="1" applyBorder="1" applyFont="1">
      <alignment horizontal="center" shrinkToFit="0" vertical="center" wrapText="1"/>
    </xf>
    <xf borderId="9" fillId="8" fontId="12" numFmtId="0" xfId="0" applyAlignment="1" applyBorder="1" applyFont="1">
      <alignment horizontal="center" shrinkToFit="0" vertical="center" wrapText="1"/>
    </xf>
    <xf borderId="33" fillId="0" fontId="16" numFmtId="0" xfId="0" applyAlignment="1" applyBorder="1" applyFont="1">
      <alignment horizontal="center" shrinkToFit="0" vertical="center" wrapText="1"/>
    </xf>
    <xf borderId="34" fillId="0" fontId="11" numFmtId="0" xfId="0" applyBorder="1" applyFont="1"/>
    <xf borderId="33" fillId="0" fontId="15" numFmtId="0" xfId="0" applyAlignment="1" applyBorder="1" applyFont="1">
      <alignment horizontal="center" vertical="center"/>
    </xf>
    <xf borderId="33" fillId="0" fontId="13" numFmtId="9" xfId="0" applyAlignment="1" applyBorder="1" applyFont="1" applyNumberFormat="1">
      <alignment horizontal="center" vertical="center"/>
    </xf>
    <xf borderId="35" fillId="0" fontId="13" numFmtId="0" xfId="0" applyAlignment="1" applyBorder="1" applyFont="1">
      <alignment horizontal="center" vertical="center"/>
    </xf>
    <xf borderId="36" fillId="0" fontId="13" numFmtId="0" xfId="0" applyAlignment="1" applyBorder="1" applyFont="1">
      <alignment horizontal="center" vertical="center"/>
    </xf>
    <xf borderId="35" fillId="0" fontId="13" numFmtId="9" xfId="0" applyAlignment="1" applyBorder="1" applyFont="1" applyNumberFormat="1">
      <alignment horizontal="center" vertical="center"/>
    </xf>
    <xf borderId="34" fillId="0" fontId="13" numFmtId="165" xfId="0" applyAlignment="1" applyBorder="1" applyFont="1" applyNumberFormat="1">
      <alignment horizontal="center" vertical="center"/>
    </xf>
    <xf borderId="35" fillId="0" fontId="5" numFmtId="4" xfId="0" applyAlignment="1" applyBorder="1" applyFont="1" applyNumberFormat="1">
      <alignment horizontal="center" vertical="center"/>
    </xf>
    <xf borderId="35" fillId="0" fontId="5" numFmtId="3" xfId="0" applyAlignment="1" applyBorder="1" applyFont="1" applyNumberFormat="1">
      <alignment horizontal="center" vertical="center"/>
    </xf>
    <xf borderId="35" fillId="6" fontId="5" numFmtId="0" xfId="0" applyAlignment="1" applyBorder="1" applyFont="1">
      <alignment horizontal="center" vertical="center"/>
    </xf>
    <xf borderId="35" fillId="0" fontId="5" numFmtId="9" xfId="0" applyAlignment="1" applyBorder="1" applyFont="1" applyNumberFormat="1">
      <alignment horizontal="center" vertical="center"/>
    </xf>
    <xf borderId="35" fillId="0" fontId="5" numFmtId="165" xfId="0" applyAlignment="1" applyBorder="1" applyFont="1" applyNumberFormat="1">
      <alignment horizontal="center" vertical="center"/>
    </xf>
    <xf borderId="35" fillId="0" fontId="5" numFmtId="0" xfId="0" applyAlignment="1" applyBorder="1" applyFont="1">
      <alignment horizontal="center" vertical="center"/>
    </xf>
    <xf borderId="35" fillId="9" fontId="5" numFmtId="164" xfId="0" applyAlignment="1" applyBorder="1" applyFont="1" applyNumberFormat="1">
      <alignment horizontal="center" vertical="center"/>
    </xf>
    <xf borderId="37" fillId="9" fontId="5" numFmtId="164" xfId="0" applyAlignment="1" applyBorder="1" applyFont="1" applyNumberFormat="1">
      <alignment horizontal="center" vertical="center"/>
    </xf>
    <xf borderId="35" fillId="0" fontId="5" numFmtId="164" xfId="0" applyAlignment="1" applyBorder="1" applyFont="1" applyNumberFormat="1">
      <alignment horizontal="center" vertical="center"/>
    </xf>
    <xf borderId="38" fillId="0" fontId="11" numFmtId="0" xfId="0" applyBorder="1" applyFont="1"/>
    <xf borderId="39" fillId="0" fontId="11" numFmtId="0" xfId="0" applyBorder="1" applyFont="1"/>
    <xf borderId="38" fillId="0" fontId="13" numFmtId="9" xfId="0" applyAlignment="1" applyBorder="1" applyFont="1" applyNumberFormat="1">
      <alignment horizontal="center" vertical="center"/>
    </xf>
    <xf borderId="40" fillId="0" fontId="13" numFmtId="0" xfId="0" applyAlignment="1" applyBorder="1" applyFont="1">
      <alignment horizontal="center" vertical="center"/>
    </xf>
    <xf borderId="40" fillId="0" fontId="13" numFmtId="9" xfId="0" applyAlignment="1" applyBorder="1" applyFont="1" applyNumberFormat="1">
      <alignment horizontal="center" vertical="center"/>
    </xf>
    <xf borderId="40" fillId="0" fontId="11" numFmtId="0" xfId="0" applyBorder="1" applyFont="1"/>
    <xf borderId="41" fillId="0" fontId="11" numFmtId="0" xfId="0" applyBorder="1" applyFont="1"/>
    <xf borderId="38" fillId="0" fontId="15" numFmtId="9" xfId="0" applyAlignment="1" applyBorder="1" applyFont="1" applyNumberFormat="1">
      <alignment horizontal="center" vertical="center"/>
    </xf>
    <xf borderId="40" fillId="0" fontId="17" numFmtId="165" xfId="0" applyAlignment="1" applyBorder="1" applyFont="1" applyNumberFormat="1">
      <alignment horizontal="center" vertical="center"/>
    </xf>
    <xf borderId="35" fillId="0" fontId="13" numFmtId="0" xfId="0" applyAlignment="1" applyBorder="1" applyFont="1">
      <alignment horizontal="center" shrinkToFit="0" vertical="center" wrapText="1"/>
    </xf>
    <xf borderId="42" fillId="0" fontId="11" numFmtId="0" xfId="0" applyBorder="1" applyFont="1"/>
    <xf borderId="43" fillId="0" fontId="11" numFmtId="0" xfId="0" applyBorder="1" applyFont="1"/>
    <xf borderId="44" fillId="13" fontId="13" numFmtId="0" xfId="0" applyAlignment="1" applyBorder="1" applyFont="1">
      <alignment horizontal="center" vertical="center"/>
    </xf>
    <xf borderId="40" fillId="13" fontId="13" numFmtId="9" xfId="0" applyAlignment="1" applyBorder="1" applyFont="1" applyNumberFormat="1">
      <alignment horizontal="center" vertical="center"/>
    </xf>
    <xf borderId="37" fillId="13" fontId="13" numFmtId="0" xfId="0" applyAlignment="1" applyBorder="1" applyFont="1">
      <alignment horizontal="center" vertical="center"/>
    </xf>
    <xf borderId="37" fillId="13" fontId="5" numFmtId="9" xfId="0" applyAlignment="1" applyBorder="1" applyFont="1" applyNumberFormat="1">
      <alignment horizontal="center" vertical="center"/>
    </xf>
    <xf borderId="37" fillId="13" fontId="5" numFmtId="3" xfId="0" applyAlignment="1" applyBorder="1" applyFont="1" applyNumberFormat="1">
      <alignment horizontal="center" vertical="center"/>
    </xf>
    <xf borderId="37" fillId="13" fontId="5" numFmtId="165" xfId="0" applyAlignment="1" applyBorder="1" applyFont="1" applyNumberFormat="1">
      <alignment horizontal="center" vertical="center"/>
    </xf>
    <xf borderId="37" fillId="13" fontId="5" numFmtId="0" xfId="0" applyAlignment="1" applyBorder="1" applyFont="1">
      <alignment horizontal="center" vertical="center"/>
    </xf>
    <xf borderId="37" fillId="13" fontId="5" numFmtId="164" xfId="0" applyAlignment="1" applyBorder="1" applyFont="1" applyNumberFormat="1">
      <alignment horizontal="center" vertical="center"/>
    </xf>
    <xf borderId="36" fillId="0" fontId="13" numFmtId="0" xfId="0" applyAlignment="1" applyBorder="1" applyFont="1">
      <alignment horizontal="center" shrinkToFit="0" vertical="center" wrapText="1"/>
    </xf>
    <xf borderId="35" fillId="0" fontId="5" numFmtId="3" xfId="0" applyAlignment="1" applyBorder="1" applyFont="1" applyNumberFormat="1">
      <alignment horizontal="center" shrinkToFit="0" vertical="center" wrapText="1"/>
    </xf>
    <xf borderId="37" fillId="0" fontId="5" numFmtId="9" xfId="0" applyAlignment="1" applyBorder="1" applyFont="1" applyNumberFormat="1">
      <alignment horizontal="center" vertical="center"/>
    </xf>
    <xf borderId="37" fillId="0" fontId="5" numFmtId="165" xfId="0" applyAlignment="1" applyBorder="1" applyFont="1" applyNumberFormat="1">
      <alignment horizontal="center" vertical="center"/>
    </xf>
    <xf borderId="37" fillId="0" fontId="5" numFmtId="0" xfId="0" applyAlignment="1" applyBorder="1" applyFont="1">
      <alignment horizontal="center" vertical="center"/>
    </xf>
    <xf borderId="37" fillId="0" fontId="5" numFmtId="164" xfId="0" applyAlignment="1" applyBorder="1" applyFont="1" applyNumberFormat="1">
      <alignment horizontal="center" vertical="center"/>
    </xf>
    <xf borderId="37" fillId="0" fontId="5" numFmtId="3" xfId="0" applyAlignment="1" applyBorder="1" applyFont="1" applyNumberFormat="1">
      <alignment horizontal="center" vertical="center"/>
    </xf>
    <xf borderId="37" fillId="6" fontId="5" numFmtId="0" xfId="0" applyAlignment="1" applyBorder="1" applyFont="1">
      <alignment horizontal="center" vertical="center"/>
    </xf>
    <xf borderId="45" fillId="0" fontId="11" numFmtId="0" xfId="0" applyBorder="1" applyFont="1"/>
    <xf borderId="41" fillId="0" fontId="13" numFmtId="9" xfId="0" applyAlignment="1" applyBorder="1" applyFont="1" applyNumberFormat="1">
      <alignment horizontal="center" vertical="center"/>
    </xf>
    <xf borderId="37" fillId="0" fontId="13" numFmtId="0" xfId="0" applyAlignment="1" applyBorder="1" applyFont="1">
      <alignment horizontal="center" vertical="center"/>
    </xf>
    <xf borderId="37" fillId="13" fontId="15" numFmtId="0" xfId="0" applyAlignment="1" applyBorder="1" applyFont="1">
      <alignment horizontal="center" vertical="center"/>
    </xf>
    <xf borderId="41" fillId="13" fontId="15" numFmtId="0" xfId="0" applyAlignment="1" applyBorder="1" applyFont="1">
      <alignment horizontal="center" vertical="center"/>
    </xf>
    <xf borderId="41" fillId="13" fontId="17" numFmtId="0" xfId="0" applyAlignment="1" applyBorder="1" applyFont="1">
      <alignment horizontal="center" vertical="center"/>
    </xf>
    <xf borderId="37" fillId="13" fontId="19" numFmtId="0" xfId="0" applyAlignment="1" applyBorder="1" applyFont="1">
      <alignment horizontal="center" vertical="center"/>
    </xf>
    <xf borderId="41" fillId="13" fontId="19" numFmtId="9" xfId="0" applyAlignment="1" applyBorder="1" applyFont="1" applyNumberFormat="1">
      <alignment horizontal="center" vertical="center"/>
    </xf>
    <xf borderId="37" fillId="13" fontId="20" numFmtId="9" xfId="0" applyAlignment="1" applyBorder="1" applyFont="1" applyNumberFormat="1">
      <alignment horizontal="center" vertical="center"/>
    </xf>
    <xf borderId="37" fillId="13" fontId="20" numFmtId="165" xfId="0" applyAlignment="1" applyBorder="1" applyFont="1" applyNumberFormat="1">
      <alignment horizontal="center" vertical="center"/>
    </xf>
    <xf borderId="37" fillId="13" fontId="20" numFmtId="0" xfId="0" applyAlignment="1" applyBorder="1" applyFont="1">
      <alignment horizontal="center" vertical="center"/>
    </xf>
    <xf borderId="37" fillId="13" fontId="20" numFmtId="164" xfId="0" applyAlignment="1" applyBorder="1" applyFont="1" applyNumberFormat="1">
      <alignment horizontal="center" vertical="center"/>
    </xf>
    <xf borderId="37" fillId="13" fontId="20" numFmtId="3" xfId="0" applyAlignment="1" applyBorder="1" applyFont="1" applyNumberFormat="1">
      <alignment horizontal="center" vertical="center"/>
    </xf>
    <xf borderId="35" fillId="0" fontId="15" numFmtId="0" xfId="0" applyAlignment="1" applyBorder="1" applyFont="1">
      <alignment horizontal="center" vertical="center"/>
    </xf>
    <xf borderId="35" fillId="0" fontId="15" numFmtId="9" xfId="0" applyAlignment="1" applyBorder="1" applyFont="1" applyNumberFormat="1">
      <alignment horizontal="center" vertical="center"/>
    </xf>
    <xf borderId="35" fillId="0" fontId="17" numFmtId="164" xfId="0" applyAlignment="1" applyBorder="1" applyFont="1" applyNumberFormat="1">
      <alignment horizontal="center" vertical="center"/>
    </xf>
    <xf borderId="35" fillId="0" fontId="13" numFmtId="164" xfId="0" applyAlignment="1" applyBorder="1" applyFont="1" applyNumberFormat="1">
      <alignment horizontal="center" vertical="center"/>
    </xf>
    <xf borderId="37" fillId="0" fontId="5" numFmtId="4" xfId="0" applyAlignment="1" applyBorder="1" applyFont="1" applyNumberFormat="1">
      <alignment horizontal="center" vertical="center"/>
    </xf>
    <xf borderId="37" fillId="6" fontId="5" numFmtId="4" xfId="0" applyAlignment="1" applyBorder="1" applyFont="1" applyNumberFormat="1">
      <alignment horizontal="center" vertical="center"/>
    </xf>
    <xf borderId="37" fillId="0" fontId="5" numFmtId="0" xfId="0" applyAlignment="1" applyBorder="1" applyFont="1">
      <alignment horizontal="center" shrinkToFit="0" vertical="center" wrapText="1"/>
    </xf>
    <xf borderId="35" fillId="0" fontId="5" numFmtId="0" xfId="0" applyAlignment="1" applyBorder="1" applyFont="1">
      <alignment horizontal="center" shrinkToFit="0" vertical="center" wrapText="1"/>
    </xf>
    <xf borderId="35" fillId="9" fontId="5" numFmtId="3" xfId="0" applyAlignment="1" applyBorder="1" applyFont="1" applyNumberFormat="1">
      <alignment horizontal="center" vertical="center"/>
    </xf>
    <xf borderId="37" fillId="6" fontId="13" numFmtId="0" xfId="0" applyAlignment="1" applyBorder="1" applyFont="1">
      <alignment horizontal="center" vertical="center"/>
    </xf>
    <xf borderId="37" fillId="9" fontId="5" numFmtId="3" xfId="0" applyAlignment="1" applyBorder="1" applyFont="1" applyNumberFormat="1">
      <alignment horizontal="center" vertical="center"/>
    </xf>
    <xf borderId="37" fillId="13" fontId="13" numFmtId="9" xfId="0" applyAlignment="1" applyBorder="1" applyFont="1" applyNumberFormat="1">
      <alignment horizontal="center" vertical="center"/>
    </xf>
    <xf borderId="37" fillId="13" fontId="13" numFmtId="165" xfId="0" applyAlignment="1" applyBorder="1" applyFont="1" applyNumberFormat="1">
      <alignment horizontal="center" vertical="center"/>
    </xf>
    <xf borderId="35" fillId="0" fontId="13" numFmtId="165" xfId="0" applyAlignment="1" applyBorder="1" applyFont="1" applyNumberFormat="1">
      <alignment horizontal="center" vertical="center"/>
    </xf>
    <xf borderId="37" fillId="0" fontId="13" numFmtId="9" xfId="0" applyAlignment="1" applyBorder="1" applyFont="1" applyNumberFormat="1">
      <alignment horizontal="center" vertical="center"/>
    </xf>
    <xf borderId="37" fillId="0" fontId="13" numFmtId="165" xfId="0" applyAlignment="1" applyBorder="1" applyFont="1" applyNumberFormat="1">
      <alignment horizontal="center" vertical="center"/>
    </xf>
    <xf borderId="0" fillId="0" fontId="30" numFmtId="0" xfId="0" applyAlignment="1" applyFont="1">
      <alignment vertical="center"/>
    </xf>
    <xf borderId="0" fillId="0" fontId="6" numFmtId="164" xfId="0" applyAlignment="1" applyFont="1" applyNumberFormat="1">
      <alignment vertical="center"/>
    </xf>
    <xf borderId="0" fillId="2" fontId="25" numFmtId="0" xfId="0" applyFont="1"/>
    <xf borderId="7" fillId="8" fontId="5" numFmtId="165" xfId="0" applyAlignment="1" applyBorder="1" applyFont="1" applyNumberFormat="1">
      <alignment horizontal="center" vertical="center"/>
    </xf>
    <xf borderId="13" fillId="8" fontId="5" numFmtId="4" xfId="0" applyAlignment="1" applyBorder="1" applyFont="1" applyNumberFormat="1">
      <alignment horizontal="center" vertical="center"/>
    </xf>
    <xf borderId="19" fillId="0" fontId="11" numFmtId="0" xfId="0" applyBorder="1" applyFont="1"/>
    <xf borderId="7" fillId="8" fontId="5" numFmtId="0" xfId="0" applyAlignment="1" applyBorder="1" applyFont="1">
      <alignment horizontal="center" vertical="center"/>
    </xf>
    <xf borderId="0" fillId="19" fontId="49" numFmtId="0" xfId="0" applyAlignment="1" applyFont="1">
      <alignment horizontal="center" shrinkToFit="0" wrapText="0"/>
    </xf>
    <xf borderId="0" fillId="20" fontId="49" numFmtId="0" xfId="0" applyAlignment="1" applyFont="1">
      <alignment horizontal="center" shrinkToFit="0" wrapText="0"/>
    </xf>
    <xf borderId="0" fillId="19" fontId="49" numFmtId="0" xfId="0" applyAlignment="1" applyFont="1">
      <alignment horizontal="center" shrinkToFit="0" vertical="bottom" wrapText="0"/>
    </xf>
    <xf borderId="0" fillId="20" fontId="49" numFmtId="0" xfId="0" applyAlignment="1" applyFont="1">
      <alignment horizontal="center" shrinkToFit="0" vertical="bottom" wrapText="0"/>
    </xf>
    <xf borderId="0" fillId="6" fontId="50" numFmtId="0" xfId="0" applyAlignment="1" applyFont="1">
      <alignment shrinkToFit="0" wrapText="0"/>
    </xf>
    <xf borderId="0" fillId="6" fontId="50" numFmtId="0" xfId="0" applyAlignment="1" applyFont="1">
      <alignment shrinkToFit="0" vertical="bottom" wrapText="0"/>
    </xf>
    <xf borderId="0" fillId="6" fontId="51" numFmtId="0" xfId="0" applyAlignment="1" applyFont="1">
      <alignment horizontal="center" shrinkToFit="0" wrapText="0"/>
    </xf>
    <xf borderId="0" fillId="4" fontId="52" numFmtId="0" xfId="0" applyAlignment="1" applyFont="1">
      <alignment horizontal="center" vertical="center"/>
    </xf>
    <xf borderId="0" fillId="5" fontId="52" numFmtId="0" xfId="0" applyAlignment="1" applyFont="1">
      <alignment horizontal="center" vertical="center"/>
    </xf>
    <xf borderId="0" fillId="0" fontId="25" numFmtId="3" xfId="0" applyFont="1" applyNumberFormat="1"/>
    <xf borderId="28" fillId="7" fontId="52" numFmtId="0" xfId="0" applyAlignment="1" applyBorder="1" applyFont="1">
      <alignment horizontal="center" vertical="center"/>
    </xf>
    <xf borderId="28" fillId="21" fontId="53" numFmtId="9" xfId="0" applyAlignment="1" applyBorder="1" applyFont="1" applyNumberFormat="1">
      <alignment horizontal="center"/>
    </xf>
    <xf borderId="29" fillId="21" fontId="53" numFmtId="9" xfId="0" applyAlignment="1" applyBorder="1" applyFont="1" applyNumberFormat="1">
      <alignment horizontal="center"/>
    </xf>
    <xf borderId="0" fillId="8" fontId="52" numFmtId="0" xfId="0" applyAlignment="1" applyFont="1">
      <alignment horizontal="center" vertical="center"/>
    </xf>
    <xf borderId="6" fillId="8" fontId="52" numFmtId="0" xfId="0" applyAlignment="1" applyBorder="1" applyFont="1">
      <alignment horizontal="center" vertical="center"/>
    </xf>
    <xf borderId="5" fillId="8" fontId="52" numFmtId="0" xfId="0" applyAlignment="1" applyBorder="1" applyFont="1">
      <alignment horizontal="center" vertical="center"/>
    </xf>
    <xf borderId="10" fillId="0" fontId="15" numFmtId="9" xfId="0" applyAlignment="1" applyBorder="1" applyFont="1" applyNumberFormat="1">
      <alignment horizontal="center" vertical="center"/>
    </xf>
    <xf borderId="11" fillId="0" fontId="17" numFmtId="165" xfId="0" applyAlignment="1" applyBorder="1" applyFont="1" applyNumberFormat="1">
      <alignment horizontal="center" vertical="center"/>
    </xf>
    <xf borderId="16" fillId="0" fontId="14" numFmtId="0" xfId="0" applyAlignment="1" applyBorder="1" applyFont="1">
      <alignment horizontal="center" vertical="center"/>
    </xf>
    <xf borderId="16" fillId="0" fontId="14" numFmtId="9" xfId="0" applyAlignment="1" applyBorder="1" applyFont="1" applyNumberFormat="1">
      <alignment horizontal="center" vertical="center"/>
    </xf>
    <xf borderId="16" fillId="0" fontId="14" numFmtId="165" xfId="0" applyAlignment="1" applyBorder="1" applyFont="1" applyNumberFormat="1">
      <alignment horizontal="center" vertical="center"/>
    </xf>
    <xf borderId="1" fillId="0" fontId="14" numFmtId="9" xfId="0" applyAlignment="1" applyBorder="1" applyFont="1" applyNumberFormat="1">
      <alignment horizontal="center" vertical="center"/>
    </xf>
    <xf borderId="1" fillId="0" fontId="14" numFmtId="0" xfId="0" applyAlignment="1" applyBorder="1" applyFont="1">
      <alignment horizontal="center" vertical="center"/>
    </xf>
    <xf borderId="1" fillId="0" fontId="14" numFmtId="165" xfId="0" applyAlignment="1" applyBorder="1" applyFont="1" applyNumberFormat="1">
      <alignment horizontal="center" vertical="center"/>
    </xf>
    <xf borderId="1" fillId="19" fontId="49" numFmtId="164" xfId="0" applyAlignment="1" applyBorder="1" applyFont="1" applyNumberFormat="1">
      <alignment horizontal="center" shrinkToFit="0" vertical="bottom" wrapText="1"/>
    </xf>
    <xf borderId="1" fillId="0" fontId="25" numFmtId="164" xfId="0" applyAlignment="1" applyBorder="1" applyFont="1" applyNumberFormat="1">
      <alignment horizontal="center" vertical="bottom"/>
    </xf>
    <xf borderId="1" fillId="0" fontId="25" numFmtId="3" xfId="0" applyAlignment="1" applyBorder="1" applyFont="1" applyNumberFormat="1">
      <alignment horizontal="center" vertical="bottom"/>
    </xf>
    <xf borderId="1" fillId="0" fontId="54" numFmtId="3" xfId="0" applyAlignment="1" applyBorder="1" applyFont="1" applyNumberFormat="1">
      <alignment horizontal="center" vertical="bottom"/>
    </xf>
    <xf borderId="1" fillId="0" fontId="25" numFmtId="165" xfId="0" applyAlignment="1" applyBorder="1" applyFont="1" applyNumberFormat="1">
      <alignment horizontal="center" vertical="bottom"/>
    </xf>
    <xf borderId="1" fillId="0" fontId="25" numFmtId="3" xfId="0" applyBorder="1" applyFont="1" applyNumberFormat="1"/>
    <xf borderId="0" fillId="19" fontId="55" numFmtId="165" xfId="0" applyAlignment="1" applyFont="1" applyNumberFormat="1">
      <alignment horizontal="center" shrinkToFit="0" wrapText="0"/>
    </xf>
    <xf borderId="0" fillId="0" fontId="56" numFmtId="0" xfId="0" applyFont="1"/>
    <xf borderId="0" fillId="0" fontId="32" numFmtId="0" xfId="0" applyFont="1"/>
    <xf borderId="1" fillId="22" fontId="49" numFmtId="164" xfId="0" applyAlignment="1" applyBorder="1" applyFill="1" applyFont="1" applyNumberFormat="1">
      <alignment horizontal="center" shrinkToFit="0" vertical="bottom" wrapText="1"/>
    </xf>
    <xf borderId="0" fillId="22" fontId="55" numFmtId="165" xfId="0" applyAlignment="1" applyFont="1" applyNumberFormat="1">
      <alignment horizontal="center"/>
    </xf>
    <xf borderId="0" fillId="19" fontId="49" numFmtId="164" xfId="0" applyAlignment="1" applyFont="1" applyNumberFormat="1">
      <alignment horizontal="center" shrinkToFit="0" vertical="bottom" wrapText="1"/>
    </xf>
    <xf borderId="15" fillId="0" fontId="25" numFmtId="164" xfId="0" applyAlignment="1" applyBorder="1" applyFont="1" applyNumberFormat="1">
      <alignment horizontal="center" vertical="bottom"/>
    </xf>
    <xf borderId="15" fillId="0" fontId="25" numFmtId="3" xfId="0" applyAlignment="1" applyBorder="1" applyFont="1" applyNumberFormat="1">
      <alignment horizontal="center" vertical="bottom"/>
    </xf>
    <xf borderId="15" fillId="0" fontId="57" numFmtId="3" xfId="0" applyAlignment="1" applyBorder="1" applyFont="1" applyNumberFormat="1">
      <alignment horizontal="center" shrinkToFit="0" vertical="bottom" wrapText="1"/>
    </xf>
    <xf borderId="0" fillId="0" fontId="25" numFmtId="165" xfId="0" applyAlignment="1" applyFont="1" applyNumberFormat="1">
      <alignment horizontal="center" vertical="bottom"/>
    </xf>
    <xf borderId="0" fillId="0" fontId="25" numFmtId="164" xfId="0" applyAlignment="1" applyFont="1" applyNumberFormat="1">
      <alignment horizontal="center" vertical="bottom"/>
    </xf>
    <xf borderId="15" fillId="0" fontId="25" numFmtId="165" xfId="0" applyAlignment="1" applyBorder="1" applyFont="1" applyNumberFormat="1">
      <alignment horizontal="center" vertical="bottom"/>
    </xf>
    <xf borderId="0" fillId="22" fontId="49" numFmtId="164" xfId="0" applyAlignment="1" applyFont="1" applyNumberFormat="1">
      <alignment horizontal="center" shrinkToFit="0" vertical="bottom" wrapText="1"/>
    </xf>
    <xf borderId="31" fillId="0" fontId="25" numFmtId="3" xfId="0" applyAlignment="1" applyBorder="1" applyFont="1" applyNumberFormat="1">
      <alignment horizontal="center" vertical="bottom"/>
    </xf>
    <xf borderId="0" fillId="0" fontId="25" numFmtId="164" xfId="0" applyAlignment="1" applyFont="1" applyNumberFormat="1">
      <alignment horizontal="center" vertical="center"/>
    </xf>
    <xf borderId="0" fillId="0" fontId="25" numFmtId="165" xfId="0" applyAlignment="1" applyFont="1" applyNumberFormat="1">
      <alignment horizontal="center" vertical="center"/>
    </xf>
    <xf borderId="0" fillId="3" fontId="55" numFmtId="165" xfId="0" applyAlignment="1" applyFont="1" applyNumberFormat="1">
      <alignment horizontal="center"/>
    </xf>
    <xf borderId="16" fillId="0" fontId="14" numFmtId="0" xfId="0" applyAlignment="1" applyBorder="1" applyFont="1">
      <alignment horizontal="center" shrinkToFit="0" vertical="center" wrapText="1"/>
    </xf>
    <xf borderId="0" fillId="22" fontId="55" numFmtId="165" xfId="0" applyAlignment="1" applyFont="1" applyNumberFormat="1">
      <alignment horizontal="center" shrinkToFit="0" wrapText="0"/>
    </xf>
    <xf borderId="0" fillId="22" fontId="58" numFmtId="164" xfId="0" applyAlignment="1" applyFont="1" applyNumberFormat="1">
      <alignment horizontal="center" shrinkToFit="0" vertical="bottom" wrapText="1"/>
    </xf>
    <xf borderId="15" fillId="13" fontId="14" numFmtId="0" xfId="0" applyAlignment="1" applyBorder="1" applyFont="1">
      <alignment horizontal="center" vertical="bottom"/>
    </xf>
    <xf borderId="15" fillId="13" fontId="14" numFmtId="9" xfId="0" applyAlignment="1" applyBorder="1" applyFont="1" applyNumberFormat="1">
      <alignment horizontal="center" vertical="bottom"/>
    </xf>
    <xf borderId="31" fillId="13" fontId="32" numFmtId="164" xfId="0" applyAlignment="1" applyBorder="1" applyFont="1" applyNumberFormat="1">
      <alignment horizontal="center" vertical="bottom"/>
    </xf>
    <xf borderId="15" fillId="13" fontId="25" numFmtId="164" xfId="0" applyAlignment="1" applyBorder="1" applyFont="1" applyNumberFormat="1">
      <alignment horizontal="center" vertical="bottom"/>
    </xf>
    <xf borderId="15" fillId="13" fontId="25" numFmtId="3" xfId="0" applyAlignment="1" applyBorder="1" applyFont="1" applyNumberFormat="1">
      <alignment horizontal="center" vertical="bottom"/>
    </xf>
    <xf borderId="15" fillId="13" fontId="25" numFmtId="0" xfId="0" applyAlignment="1" applyBorder="1" applyFont="1">
      <alignment vertical="bottom"/>
    </xf>
    <xf borderId="0" fillId="13" fontId="25" numFmtId="0" xfId="0" applyFont="1"/>
    <xf borderId="0" fillId="13" fontId="32" numFmtId="0" xfId="0" applyFont="1"/>
    <xf borderId="16" fillId="0" fontId="25" numFmtId="0" xfId="0" applyAlignment="1" applyBorder="1" applyFont="1">
      <alignment horizontal="center" vertical="center"/>
    </xf>
    <xf borderId="16" fillId="0" fontId="25" numFmtId="3" xfId="0" applyAlignment="1" applyBorder="1" applyFont="1" applyNumberFormat="1">
      <alignment horizontal="center" vertical="center"/>
    </xf>
    <xf borderId="16" fillId="0" fontId="25" numFmtId="165" xfId="0" applyAlignment="1" applyBorder="1" applyFont="1" applyNumberFormat="1">
      <alignment horizontal="center" vertical="center"/>
    </xf>
    <xf borderId="16" fillId="0" fontId="25" numFmtId="164" xfId="0" applyAlignment="1" applyBorder="1" applyFont="1" applyNumberFormat="1">
      <alignment horizontal="center" vertical="center"/>
    </xf>
    <xf borderId="0" fillId="19" fontId="49" numFmtId="0" xfId="0" applyAlignment="1" applyFont="1">
      <alignment horizontal="center"/>
    </xf>
    <xf borderId="1" fillId="0" fontId="25" numFmtId="0" xfId="0" applyAlignment="1" applyBorder="1" applyFont="1">
      <alignment horizontal="center" vertical="center"/>
    </xf>
    <xf borderId="1" fillId="0" fontId="25" numFmtId="164" xfId="0" applyAlignment="1" applyBorder="1" applyFont="1" applyNumberFormat="1">
      <alignment horizontal="center" vertical="center"/>
    </xf>
    <xf borderId="1" fillId="0" fontId="25" numFmtId="3" xfId="0" applyAlignment="1" applyBorder="1" applyFont="1" applyNumberFormat="1">
      <alignment horizontal="center" vertical="center"/>
    </xf>
    <xf borderId="0" fillId="22" fontId="59" numFmtId="0" xfId="0" applyAlignment="1" applyFont="1">
      <alignment shrinkToFit="0" wrapText="1"/>
    </xf>
    <xf borderId="0" fillId="22" fontId="60" numFmtId="164" xfId="0" applyAlignment="1" applyFont="1" applyNumberFormat="1">
      <alignment horizontal="center" shrinkToFit="0" vertical="bottom" wrapText="1"/>
    </xf>
    <xf borderId="0" fillId="0" fontId="55" numFmtId="165" xfId="0" applyAlignment="1" applyFont="1" applyNumberFormat="1">
      <alignment horizontal="center" shrinkToFit="0" wrapText="0"/>
    </xf>
    <xf borderId="0" fillId="16" fontId="14" numFmtId="0" xfId="0" applyFont="1"/>
    <xf borderId="0" fillId="16" fontId="25" numFmtId="0" xfId="0" applyFont="1"/>
    <xf borderId="0" fillId="16" fontId="49" numFmtId="165" xfId="0" applyAlignment="1" applyFont="1" applyNumberFormat="1">
      <alignment horizontal="center"/>
    </xf>
    <xf borderId="0" fillId="0" fontId="61" numFmtId="0" xfId="0" applyFont="1"/>
    <xf borderId="0" fillId="0" fontId="62" numFmtId="165" xfId="0" applyFont="1" applyNumberFormat="1"/>
    <xf borderId="0" fillId="0" fontId="63" numFmtId="0" xfId="0" applyFont="1"/>
    <xf borderId="0" fillId="0" fontId="63" numFmtId="165" xfId="0" applyFont="1" applyNumberFormat="1"/>
    <xf borderId="0" fillId="6" fontId="64" numFmtId="0" xfId="0" applyAlignment="1" applyFont="1">
      <alignment horizontal="center"/>
    </xf>
    <xf borderId="6" fillId="18" fontId="25" numFmtId="0" xfId="0" applyAlignment="1" applyBorder="1" applyFont="1">
      <alignment vertical="bottom"/>
    </xf>
    <xf borderId="22" fillId="18" fontId="40" numFmtId="0" xfId="0" applyAlignment="1" applyBorder="1" applyFont="1">
      <alignment horizontal="center" vertical="bottom"/>
    </xf>
    <xf borderId="21" fillId="18" fontId="40" numFmtId="0" xfId="0" applyAlignment="1" applyBorder="1" applyFont="1">
      <alignment horizontal="center" vertical="bottom"/>
    </xf>
    <xf borderId="46" fillId="18" fontId="41" numFmtId="0" xfId="0" applyAlignment="1" applyBorder="1" applyFont="1">
      <alignment shrinkToFit="0" vertical="bottom" wrapText="0"/>
    </xf>
    <xf borderId="0" fillId="0" fontId="25" numFmtId="0" xfId="0" applyAlignment="1" applyFont="1">
      <alignment vertical="bottom"/>
    </xf>
    <xf borderId="0" fillId="0" fontId="42" numFmtId="164" xfId="0" applyAlignment="1" applyFont="1" applyNumberFormat="1">
      <alignment horizontal="center" vertical="bottom"/>
    </xf>
    <xf borderId="47" fillId="0" fontId="42" numFmtId="164" xfId="0" applyAlignment="1" applyBorder="1" applyFont="1" applyNumberFormat="1">
      <alignment horizontal="right" vertical="bottom"/>
    </xf>
    <xf borderId="22" fillId="0" fontId="42" numFmtId="164" xfId="0" applyAlignment="1" applyBorder="1" applyFont="1" applyNumberFormat="1">
      <alignment horizontal="right" vertical="bottom"/>
    </xf>
    <xf borderId="0" fillId="0" fontId="42" numFmtId="164" xfId="0" applyAlignment="1" applyFont="1" applyNumberFormat="1">
      <alignment horizontal="right" vertical="bottom"/>
    </xf>
    <xf borderId="0" fillId="0" fontId="65" numFmtId="164" xfId="0" applyAlignment="1" applyFont="1" applyNumberFormat="1">
      <alignment horizontal="right"/>
    </xf>
    <xf borderId="0" fillId="0" fontId="25" numFmtId="4" xfId="0" applyFont="1" applyNumberFormat="1"/>
    <xf borderId="0" fillId="7" fontId="52" numFmtId="0" xfId="0" applyAlignment="1" applyFont="1">
      <alignment horizontal="center" vertical="center"/>
    </xf>
    <xf borderId="0" fillId="21" fontId="53" numFmtId="9" xfId="0" applyAlignment="1" applyFont="1" applyNumberFormat="1">
      <alignment horizontal="center"/>
    </xf>
    <xf borderId="0" fillId="0" fontId="32" numFmtId="10" xfId="0" applyFont="1" applyNumberFormat="1"/>
    <xf borderId="0" fillId="0" fontId="61" numFmtId="165" xfId="0" applyFont="1" applyNumberFormat="1"/>
    <xf borderId="0" fillId="0" fontId="56" numFmtId="3" xfId="0" applyFont="1" applyNumberFormat="1"/>
    <xf borderId="0" fillId="0" fontId="55" numFmtId="165" xfId="0" applyAlignment="1" applyFont="1" applyNumberFormat="1">
      <alignment horizontal="center"/>
    </xf>
    <xf borderId="11" fillId="0" fontId="16" numFmtId="165" xfId="0" applyAlignment="1" applyBorder="1" applyFont="1" applyNumberFormat="1">
      <alignment horizontal="center" vertical="center"/>
    </xf>
    <xf borderId="0" fillId="3" fontId="50" numFmtId="164" xfId="0" applyAlignment="1" applyFont="1" applyNumberFormat="1">
      <alignment horizontal="center" shrinkToFit="0" vertical="bottom" wrapText="1"/>
    </xf>
    <xf borderId="15" fillId="3" fontId="25" numFmtId="164" xfId="0" applyAlignment="1" applyBorder="1" applyFont="1" applyNumberFormat="1">
      <alignment horizontal="center" vertical="bottom"/>
    </xf>
    <xf borderId="15" fillId="3" fontId="25" numFmtId="3" xfId="0" applyAlignment="1" applyBorder="1" applyFont="1" applyNumberFormat="1">
      <alignment horizontal="center" vertical="bottom"/>
    </xf>
    <xf borderId="15" fillId="3" fontId="25" numFmtId="165" xfId="0" applyAlignment="1" applyBorder="1" applyFont="1" applyNumberFormat="1">
      <alignment horizontal="center" vertical="bottom"/>
    </xf>
    <xf borderId="0" fillId="3" fontId="25" numFmtId="164" xfId="0" applyAlignment="1" applyFont="1" applyNumberFormat="1">
      <alignment horizontal="center" vertical="bottom"/>
    </xf>
    <xf borderId="0" fillId="3" fontId="25" numFmtId="165" xfId="0" applyAlignment="1" applyFont="1" applyNumberFormat="1">
      <alignment horizontal="center" vertical="bottom"/>
    </xf>
    <xf borderId="0" fillId="3" fontId="56" numFmtId="3" xfId="0" applyFont="1" applyNumberFormat="1"/>
    <xf borderId="0" fillId="3" fontId="32" numFmtId="0" xfId="0" applyFont="1"/>
    <xf borderId="0" fillId="3" fontId="32" numFmtId="3" xfId="0" applyFont="1" applyNumberFormat="1"/>
    <xf borderId="0" fillId="3" fontId="33" numFmtId="165" xfId="0" applyAlignment="1" applyFont="1" applyNumberFormat="1">
      <alignment horizontal="center"/>
    </xf>
    <xf borderId="0" fillId="0" fontId="32" numFmtId="3" xfId="0" applyFont="1" applyNumberFormat="1"/>
    <xf borderId="0" fillId="22" fontId="55" numFmtId="165" xfId="0" applyFont="1" applyNumberFormat="1"/>
    <xf borderId="0" fillId="16" fontId="14" numFmtId="165" xfId="0" applyFont="1" applyNumberFormat="1"/>
    <xf borderId="0" fillId="16" fontId="61" numFmtId="165" xfId="0" applyFont="1" applyNumberFormat="1"/>
    <xf borderId="0" fillId="0" fontId="53" numFmtId="164" xfId="0" applyFont="1" applyNumberFormat="1"/>
    <xf borderId="0" fillId="0" fontId="32" numFmtId="165" xfId="0" applyFont="1" applyNumberFormat="1"/>
    <xf borderId="0" fillId="0" fontId="66" numFmtId="165" xfId="0" applyFont="1" applyNumberFormat="1"/>
    <xf borderId="0" fillId="0" fontId="53" numFmtId="0" xfId="0" applyFont="1"/>
    <xf borderId="0" fillId="0" fontId="53" numFmtId="165" xfId="0" applyFont="1" applyNumberFormat="1"/>
    <xf borderId="0" fillId="0" fontId="25" numFmtId="164" xfId="0" applyFont="1" applyNumberFormat="1"/>
    <xf borderId="0" fillId="0" fontId="66" numFmtId="0" xfId="0" applyFont="1"/>
    <xf borderId="0" fillId="0" fontId="66" numFmtId="164" xfId="0" applyFont="1" applyNumberFormat="1"/>
    <xf borderId="16" fillId="3" fontId="14" numFmtId="0" xfId="0" applyAlignment="1" applyBorder="1" applyFont="1">
      <alignment horizontal="center" vertical="center"/>
    </xf>
    <xf borderId="16" fillId="3" fontId="14" numFmtId="165" xfId="0" applyAlignment="1" applyBorder="1" applyFont="1" applyNumberFormat="1">
      <alignment horizontal="center" vertical="center"/>
    </xf>
    <xf borderId="0" fillId="23" fontId="58" numFmtId="165" xfId="0" applyAlignment="1" applyFill="1" applyFont="1" applyNumberFormat="1">
      <alignment horizontal="center" vertical="top"/>
    </xf>
    <xf borderId="0" fillId="23" fontId="58" numFmtId="0" xfId="0" applyAlignment="1" applyFont="1">
      <alignment horizontal="center" vertical="top"/>
    </xf>
    <xf borderId="0" fillId="0" fontId="21" numFmtId="165" xfId="0" applyAlignment="1" applyFont="1" applyNumberFormat="1">
      <alignment horizontal="left" vertical="top"/>
    </xf>
    <xf borderId="0" fillId="0" fontId="21" numFmtId="3" xfId="0" applyAlignment="1" applyFont="1" applyNumberFormat="1">
      <alignment horizontal="left" vertical="top"/>
    </xf>
    <xf borderId="0" fillId="0" fontId="32" numFmtId="0" xfId="0" applyAlignment="1" applyFont="1">
      <alignment vertical="top"/>
    </xf>
    <xf borderId="0" fillId="0" fontId="32" numFmtId="165" xfId="0" applyAlignment="1" applyFont="1" applyNumberFormat="1">
      <alignment vertical="top"/>
    </xf>
    <xf borderId="0" fillId="0" fontId="21" numFmtId="0" xfId="0" applyAlignment="1" applyFont="1">
      <alignment horizontal="left" vertical="top"/>
    </xf>
    <xf borderId="1" fillId="0" fontId="21" numFmtId="165" xfId="0" applyAlignment="1" applyBorder="1" applyFont="1" applyNumberFormat="1">
      <alignment horizontal="center" vertical="bottom"/>
    </xf>
    <xf borderId="0" fillId="0" fontId="66" numFmtId="3" xfId="0" applyFont="1" applyNumberFormat="1"/>
    <xf borderId="0" fillId="24" fontId="67" numFmtId="0" xfId="0" applyFill="1" applyFont="1"/>
    <xf borderId="0" fillId="24" fontId="68" numFmtId="165" xfId="0" applyAlignment="1" applyFont="1" applyNumberFormat="1">
      <alignment horizontal="center"/>
    </xf>
    <xf borderId="0" fillId="24" fontId="29" numFmtId="0" xfId="0" applyAlignment="1" applyFont="1">
      <alignment vertical="top"/>
    </xf>
    <xf borderId="0" fillId="25" fontId="67" numFmtId="0" xfId="0" applyFill="1" applyFont="1"/>
    <xf borderId="0" fillId="0" fontId="69" numFmtId="165" xfId="0" applyAlignment="1" applyFont="1" applyNumberFormat="1">
      <alignment horizontal="center"/>
    </xf>
    <xf borderId="0" fillId="0" fontId="25" numFmtId="0" xfId="0" applyAlignment="1" applyFont="1">
      <alignment vertical="top"/>
    </xf>
    <xf borderId="0" fillId="6" fontId="61" numFmtId="0" xfId="0" applyFont="1"/>
    <xf borderId="0" fillId="6" fontId="61" numFmtId="165" xfId="0" applyFont="1" applyNumberFormat="1"/>
    <xf borderId="0" fillId="6" fontId="63" numFmtId="0" xfId="0" applyFont="1"/>
    <xf borderId="0" fillId="5" fontId="55" numFmtId="0" xfId="0" applyFont="1"/>
    <xf borderId="0" fillId="5" fontId="55" numFmtId="165" xfId="0" applyFont="1" applyNumberFormat="1"/>
    <xf borderId="0" fillId="5" fontId="29" numFmtId="0" xfId="0" applyFont="1"/>
    <xf borderId="0" fillId="6" fontId="70" numFmtId="164" xfId="0" applyAlignment="1" applyFont="1" applyNumberFormat="1">
      <alignment horizontal="right"/>
    </xf>
    <xf borderId="0" fillId="19" fontId="71" numFmtId="165" xfId="0" applyAlignment="1" applyFont="1" applyNumberFormat="1">
      <alignment horizontal="center" shrinkToFit="0" wrapText="0"/>
    </xf>
    <xf borderId="0" fillId="0" fontId="53" numFmtId="10" xfId="0" applyFont="1" applyNumberFormat="1"/>
    <xf borderId="0" fillId="22" fontId="71" numFmtId="0" xfId="0" applyAlignment="1" applyFont="1">
      <alignment horizontal="center"/>
    </xf>
    <xf borderId="0" fillId="22" fontId="71" numFmtId="165" xfId="0" applyAlignment="1" applyFont="1" applyNumberFormat="1">
      <alignment horizontal="center"/>
    </xf>
    <xf borderId="0" fillId="0" fontId="71" numFmtId="165" xfId="0" applyAlignment="1" applyFont="1" applyNumberFormat="1">
      <alignment horizontal="center"/>
    </xf>
    <xf borderId="0" fillId="3" fontId="53" numFmtId="0" xfId="0" applyFont="1"/>
    <xf borderId="0" fillId="3" fontId="71" numFmtId="165" xfId="0" applyAlignment="1" applyFont="1" applyNumberFormat="1">
      <alignment horizontal="center"/>
    </xf>
    <xf borderId="0" fillId="3" fontId="53" numFmtId="3" xfId="0" applyFont="1" applyNumberFormat="1"/>
    <xf borderId="0" fillId="3" fontId="72" numFmtId="165" xfId="0" applyAlignment="1" applyFont="1" applyNumberFormat="1">
      <alignment horizontal="center"/>
    </xf>
    <xf borderId="0" fillId="0" fontId="53" numFmtId="3" xfId="0" applyFont="1" applyNumberFormat="1"/>
    <xf borderId="0" fillId="13" fontId="53" numFmtId="0" xfId="0" applyFont="1"/>
    <xf borderId="0" fillId="22" fontId="71" numFmtId="165" xfId="0" applyAlignment="1" applyFont="1" applyNumberFormat="1">
      <alignment horizontal="center" shrinkToFit="0" wrapText="0"/>
    </xf>
    <xf borderId="0" fillId="0" fontId="71" numFmtId="165" xfId="0" applyAlignment="1" applyFont="1" applyNumberFormat="1">
      <alignment horizontal="center" shrinkToFit="0" wrapText="0"/>
    </xf>
    <xf borderId="0" fillId="16" fontId="73" numFmtId="0" xfId="0" applyAlignment="1" applyFont="1">
      <alignment horizontal="center"/>
    </xf>
    <xf borderId="0" fillId="13" fontId="74" numFmtId="0" xfId="0" applyAlignment="1" applyFont="1">
      <alignment horizontal="center" vertical="center"/>
    </xf>
    <xf borderId="0" fillId="21" fontId="22" numFmtId="0" xfId="0" applyAlignment="1" applyFont="1">
      <alignment horizontal="center" vertical="center"/>
    </xf>
    <xf borderId="1" fillId="21" fontId="13" numFmtId="0" xfId="0" applyAlignment="1" applyBorder="1" applyFont="1">
      <alignment vertical="center"/>
    </xf>
    <xf borderId="1" fillId="21" fontId="13" numFmtId="165" xfId="0" applyAlignment="1" applyBorder="1" applyFont="1" applyNumberFormat="1">
      <alignment horizontal="center" vertical="center"/>
    </xf>
    <xf borderId="1" fillId="0" fontId="13" numFmtId="165" xfId="0" applyAlignment="1" applyBorder="1" applyFont="1" applyNumberFormat="1">
      <alignment vertical="center"/>
    </xf>
    <xf borderId="0" fillId="0" fontId="14" numFmtId="165" xfId="0" applyFont="1" applyNumberFormat="1"/>
    <xf borderId="0" fillId="21" fontId="25" numFmtId="0" xfId="0" applyFont="1"/>
    <xf borderId="1" fillId="21" fontId="25" numFmtId="0" xfId="0" applyBorder="1" applyFont="1"/>
    <xf borderId="1" fillId="13" fontId="13" numFmtId="165" xfId="0" applyAlignment="1" applyBorder="1" applyFont="1" applyNumberFormat="1">
      <alignment vertical="center"/>
    </xf>
    <xf borderId="0" fillId="21" fontId="22" numFmtId="165" xfId="0" applyAlignment="1" applyFont="1" applyNumberFormat="1">
      <alignment horizontal="center" shrinkToFit="0" vertical="center" wrapText="1"/>
    </xf>
    <xf borderId="0" fillId="13" fontId="13" numFmtId="165" xfId="0" applyAlignment="1" applyFont="1" applyNumberFormat="1">
      <alignment vertical="center"/>
    </xf>
    <xf borderId="0" fillId="0" fontId="13" numFmtId="165" xfId="0" applyAlignment="1" applyFont="1" applyNumberFormat="1">
      <alignment vertical="center"/>
    </xf>
    <xf borderId="0" fillId="6" fontId="37" numFmtId="0" xfId="0" applyAlignment="1" applyFont="1">
      <alignment horizontal="center"/>
    </xf>
    <xf borderId="0" fillId="26" fontId="55" numFmtId="0" xfId="0" applyAlignment="1" applyFill="1" applyFont="1">
      <alignment horizontal="center"/>
    </xf>
    <xf borderId="0" fillId="13" fontId="75" numFmtId="0" xfId="0" applyFont="1"/>
    <xf borderId="0" fillId="10" fontId="75" numFmtId="0" xfId="0" applyFont="1"/>
    <xf borderId="0" fillId="6" fontId="32" numFmtId="0" xfId="0" applyFont="1"/>
    <xf borderId="0" fillId="6" fontId="53" numFmtId="0" xfId="0" applyAlignment="1" applyFont="1">
      <alignment horizontal="center"/>
    </xf>
    <xf borderId="0" fillId="3" fontId="53" numFmtId="0" xfId="0" applyAlignment="1" applyFont="1">
      <alignment horizontal="center"/>
    </xf>
    <xf borderId="0" fillId="27" fontId="32" numFmtId="0" xfId="0" applyFill="1" applyFont="1"/>
    <xf borderId="0" fillId="27" fontId="53" numFmtId="0" xfId="0" applyAlignment="1" applyFont="1">
      <alignment horizontal="center"/>
    </xf>
    <xf borderId="0" fillId="0" fontId="76" numFmtId="0" xfId="0" applyAlignment="1" applyFont="1">
      <alignment shrinkToFit="0" wrapText="1"/>
    </xf>
    <xf borderId="0" fillId="0" fontId="53" numFmtId="0" xfId="0" applyAlignment="1" applyFont="1">
      <alignment horizontal="center"/>
    </xf>
    <xf borderId="0" fillId="0" fontId="32" numFmtId="165" xfId="0" applyAlignment="1" applyFont="1" applyNumberFormat="1">
      <alignment horizontal="center"/>
    </xf>
    <xf borderId="0" fillId="4" fontId="25" numFmtId="0" xfId="0" applyFont="1"/>
    <xf borderId="2" fillId="28" fontId="77" numFmtId="0" xfId="0" applyAlignment="1" applyBorder="1" applyFill="1" applyFont="1">
      <alignment horizontal="center"/>
    </xf>
    <xf borderId="3" fillId="0" fontId="11" numFmtId="0" xfId="0" applyBorder="1" applyFont="1"/>
    <xf borderId="4" fillId="0" fontId="11" numFmtId="0" xfId="0" applyBorder="1" applyFont="1"/>
    <xf borderId="2" fillId="29" fontId="77" numFmtId="0" xfId="0" applyAlignment="1" applyBorder="1" applyFill="1" applyFont="1">
      <alignment horizontal="center"/>
    </xf>
    <xf borderId="48" fillId="30" fontId="78" numFmtId="0" xfId="0" applyAlignment="1" applyBorder="1" applyFill="1" applyFont="1">
      <alignment horizontal="center"/>
    </xf>
    <xf borderId="49" fillId="0" fontId="11" numFmtId="0" xfId="0" applyBorder="1" applyFont="1"/>
    <xf borderId="50" fillId="0" fontId="11" numFmtId="0" xfId="0" applyBorder="1" applyFont="1"/>
    <xf borderId="2" fillId="13" fontId="78" numFmtId="0" xfId="0" applyAlignment="1" applyBorder="1" applyFont="1">
      <alignment horizontal="center"/>
    </xf>
    <xf borderId="20" fillId="0" fontId="11" numFmtId="0" xfId="0" applyBorder="1" applyFont="1"/>
    <xf borderId="51" fillId="0" fontId="11" numFmtId="0" xfId="0" applyBorder="1" applyFont="1"/>
    <xf borderId="52" fillId="0" fontId="11" numFmtId="0" xfId="0" applyBorder="1" applyFont="1"/>
    <xf borderId="53" fillId="0" fontId="11" numFmtId="0" xfId="0" applyBorder="1" applyFont="1"/>
    <xf borderId="1" fillId="28" fontId="77" numFmtId="0" xfId="0" applyAlignment="1" applyBorder="1" applyFont="1">
      <alignment horizontal="center"/>
    </xf>
    <xf borderId="1" fillId="31" fontId="77" numFmtId="0" xfId="0" applyAlignment="1" applyBorder="1" applyFill="1" applyFont="1">
      <alignment horizontal="center"/>
    </xf>
    <xf borderId="1" fillId="29" fontId="77" numFmtId="0" xfId="0" applyAlignment="1" applyBorder="1" applyFont="1">
      <alignment horizontal="center"/>
    </xf>
    <xf borderId="1" fillId="30" fontId="79" numFmtId="0" xfId="0" applyAlignment="1" applyBorder="1" applyFont="1">
      <alignment horizontal="center"/>
    </xf>
    <xf borderId="1" fillId="31" fontId="79" numFmtId="0" xfId="0" applyAlignment="1" applyBorder="1" applyFont="1">
      <alignment horizontal="center"/>
    </xf>
    <xf borderId="1" fillId="13" fontId="79" numFmtId="0" xfId="0" applyAlignment="1" applyBorder="1" applyFont="1">
      <alignment horizontal="center"/>
    </xf>
    <xf borderId="1" fillId="3" fontId="42" numFmtId="0" xfId="0" applyAlignment="1" applyBorder="1" applyFont="1">
      <alignment horizontal="center" shrinkToFit="0" wrapText="0"/>
    </xf>
    <xf borderId="1" fillId="3" fontId="80" numFmtId="0" xfId="0" applyAlignment="1" applyBorder="1" applyFont="1">
      <alignment horizontal="center"/>
    </xf>
    <xf borderId="1" fillId="0" fontId="42" numFmtId="0" xfId="0" applyAlignment="1" applyBorder="1" applyFont="1">
      <alignment horizontal="center" shrinkToFit="0" wrapText="0"/>
    </xf>
    <xf borderId="1" fillId="32" fontId="42" numFmtId="166" xfId="0" applyAlignment="1" applyBorder="1" applyFill="1" applyFont="1" applyNumberFormat="1">
      <alignment horizontal="center" shrinkToFit="0" wrapText="0"/>
    </xf>
    <xf borderId="1" fillId="3" fontId="42" numFmtId="0" xfId="0" applyAlignment="1" applyBorder="1" applyFont="1">
      <alignment horizontal="center"/>
    </xf>
    <xf borderId="1" fillId="32" fontId="42" numFmtId="164" xfId="0" applyAlignment="1" applyBorder="1" applyFont="1" applyNumberFormat="1">
      <alignment horizontal="center" shrinkToFit="0" wrapText="0"/>
    </xf>
    <xf borderId="1" fillId="3" fontId="42" numFmtId="164" xfId="0" applyAlignment="1" applyBorder="1" applyFont="1" applyNumberFormat="1">
      <alignment horizontal="center" shrinkToFit="0" wrapText="0"/>
    </xf>
    <xf borderId="1" fillId="3" fontId="42" numFmtId="3" xfId="0" applyAlignment="1" applyBorder="1" applyFont="1" applyNumberFormat="1">
      <alignment horizontal="center" shrinkToFit="0" wrapText="0"/>
    </xf>
    <xf borderId="1" fillId="32" fontId="42" numFmtId="3" xfId="0" applyAlignment="1" applyBorder="1" applyFont="1" applyNumberFormat="1">
      <alignment horizontal="center" shrinkToFit="0" wrapText="0"/>
    </xf>
    <xf borderId="1" fillId="0" fontId="81" numFmtId="0" xfId="0" applyAlignment="1" applyBorder="1" applyFont="1">
      <alignment horizontal="center" vertical="bottom"/>
    </xf>
    <xf borderId="0" fillId="3" fontId="77" numFmtId="0" xfId="0" applyAlignment="1" applyFont="1">
      <alignment horizontal="center"/>
    </xf>
    <xf borderId="0" fillId="3" fontId="78" numFmtId="0" xfId="0" applyAlignment="1" applyFont="1">
      <alignment horizontal="center"/>
    </xf>
    <xf borderId="2" fillId="3" fontId="77" numFmtId="0" xfId="0" applyAlignment="1" applyBorder="1" applyFont="1">
      <alignment horizontal="center"/>
    </xf>
    <xf borderId="48" fillId="3" fontId="78" numFmtId="0" xfId="0" applyAlignment="1" applyBorder="1" applyFont="1">
      <alignment horizontal="center"/>
    </xf>
    <xf borderId="2" fillId="3" fontId="78" numFmtId="0" xfId="0" applyAlignment="1" applyBorder="1" applyFont="1">
      <alignment horizontal="center"/>
    </xf>
    <xf borderId="1" fillId="22" fontId="42" numFmtId="166" xfId="0" applyAlignment="1" applyBorder="1" applyFont="1" applyNumberFormat="1">
      <alignment horizontal="center" shrinkToFit="0" wrapText="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customschemas.google.com/relationships/workbookmetadata" Target="metadata"/><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'TIGER V1'!$Z$45</c:f>
            </c:strRef>
          </c:tx>
          <c:spPr>
            <a:solidFill>
              <a:schemeClr val="accent1"/>
            </a:solidFill>
          </c:spPr>
          <c:cat>
            <c:strRef>
              <c:f>'TIGER V1'!$Y$46:$Y$52</c:f>
            </c:strRef>
          </c:cat>
          <c:val>
            <c:numRef>
              <c:f>'TIGER V1'!$Z$46:$Z$52</c:f>
              <c:numCache/>
            </c:numRef>
          </c:val>
        </c:ser>
        <c:ser>
          <c:idx val="1"/>
          <c:order val="1"/>
          <c:tx>
            <c:strRef>
              <c:f>'TIGER V1'!$AA$45</c:f>
            </c:strRef>
          </c:tx>
          <c:cat>
            <c:strRef>
              <c:f>'TIGER V1'!$Y$46:$Y$52</c:f>
            </c:strRef>
          </c:cat>
          <c:val>
            <c:numRef>
              <c:f>'TIGER V1'!$AA$46:$AA$52</c:f>
              <c:numCache/>
            </c:numRef>
          </c:val>
        </c:ser>
        <c:ser>
          <c:idx val="2"/>
          <c:order val="2"/>
          <c:tx>
            <c:strRef>
              <c:f>'TIGER V1'!$AB$45</c:f>
            </c:strRef>
          </c:tx>
          <c:cat>
            <c:strRef>
              <c:f>'TIGER V1'!$Y$46:$Y$52</c:f>
            </c:strRef>
          </c:cat>
          <c:val>
            <c:numRef>
              <c:f>'TIGER V1'!$AB$46:$AB$52</c:f>
              <c:numCache/>
            </c:numRef>
          </c:val>
        </c:ser>
        <c:axId val="1152189296"/>
        <c:axId val="1640194277"/>
      </c:barChart>
      <c:catAx>
        <c:axId val="115218929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FFFFFF"/>
                </a:solidFill>
                <a:latin typeface="+mn-lt"/>
              </a:defRPr>
            </a:pPr>
          </a:p>
        </c:txPr>
        <c:crossAx val="1640194277"/>
      </c:catAx>
      <c:valAx>
        <c:axId val="164019427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152189296"/>
      </c:valAx>
    </c:plotArea>
    <c:legend>
      <c:legendPos val="r"/>
      <c:overlay val="0"/>
      <c:txPr>
        <a:bodyPr/>
        <a:lstStyle/>
        <a:p>
          <a:pPr lvl="0">
            <a:defRPr b="0" i="0">
              <a:solidFill>
                <a:srgbClr val="1A1A1A"/>
              </a:solidFill>
              <a:latin typeface="+mn-lt"/>
            </a:defRPr>
          </a:pPr>
        </a:p>
      </c:txPr>
    </c:legend>
    <c:plotVisOnly val="1"/>
  </c:chart>
  <c:spPr>
    <a:solidFill>
      <a:srgbClr val="FFFFFF">
        <a:alpha val="0"/>
      </a:srgbClr>
    </a:solidFill>
  </c:spPr>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chemeClr val="accent1"/>
            </a:solidFill>
          </c:spPr>
          <c:cat>
            <c:strRef>
              <c:f>'TIGER V10 '!$Y$54:$Y$57</c:f>
            </c:strRef>
          </c:cat>
          <c:val>
            <c:numRef>
              <c:f>'TIGER V10 '!$Z$54:$Z$57</c:f>
              <c:numCache/>
            </c:numRef>
          </c:val>
        </c:ser>
        <c:axId val="87556556"/>
        <c:axId val="213449154"/>
      </c:barChart>
      <c:catAx>
        <c:axId val="8755655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213449154"/>
      </c:catAx>
      <c:valAx>
        <c:axId val="21344915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87556556"/>
      </c:valAx>
    </c:plotArea>
    <c:legend>
      <c:legendPos val="r"/>
      <c:overlay val="0"/>
      <c:txPr>
        <a:bodyPr/>
        <a:lstStyle/>
        <a:p>
          <a:pPr lvl="0">
            <a:defRPr b="0" i="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chemeClr val="accent1"/>
            </a:solidFill>
          </c:spPr>
          <c:cat>
            <c:strRef>
              <c:f>'TIGER V10 '!$Y$62:$Y$65</c:f>
            </c:strRef>
          </c:cat>
          <c:val>
            <c:numRef>
              <c:f>'TIGER V10 '!$Z$62:$Z$65</c:f>
              <c:numCache/>
            </c:numRef>
          </c:val>
        </c:ser>
        <c:axId val="1123603910"/>
        <c:axId val="1131069779"/>
      </c:barChart>
      <c:catAx>
        <c:axId val="112360391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1131069779"/>
      </c:catAx>
      <c:valAx>
        <c:axId val="113106977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123603910"/>
      </c:valAx>
    </c:plotArea>
    <c:legend>
      <c:legendPos val="r"/>
      <c:overlay val="0"/>
      <c:txPr>
        <a:bodyPr/>
        <a:lstStyle/>
        <a:p>
          <a:pPr lvl="0">
            <a:defRPr b="0" i="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 TIGER V2'!$Z$45</c:f>
            </c:strRef>
          </c:tx>
          <c:spPr>
            <a:solidFill>
              <a:schemeClr val="accent1"/>
            </a:solidFill>
          </c:spPr>
          <c:cat>
            <c:strRef>
              <c:f>' TIGER V2'!$Y$46:$Y$52</c:f>
            </c:strRef>
          </c:cat>
          <c:val>
            <c:numRef>
              <c:f>' TIGER V2'!$Z$46:$Z$52</c:f>
              <c:numCache/>
            </c:numRef>
          </c:val>
        </c:ser>
        <c:ser>
          <c:idx val="1"/>
          <c:order val="1"/>
          <c:tx>
            <c:strRef>
              <c:f>' TIGER V2'!$AA$45</c:f>
            </c:strRef>
          </c:tx>
          <c:cat>
            <c:strRef>
              <c:f>' TIGER V2'!$Y$46:$Y$52</c:f>
            </c:strRef>
          </c:cat>
          <c:val>
            <c:numRef>
              <c:f>' TIGER V2'!$AA$46:$AA$52</c:f>
              <c:numCache/>
            </c:numRef>
          </c:val>
        </c:ser>
        <c:ser>
          <c:idx val="2"/>
          <c:order val="2"/>
          <c:tx>
            <c:strRef>
              <c:f>' TIGER V2'!$AB$45</c:f>
            </c:strRef>
          </c:tx>
          <c:cat>
            <c:strRef>
              <c:f>' TIGER V2'!$Y$46:$Y$52</c:f>
            </c:strRef>
          </c:cat>
          <c:val>
            <c:numRef>
              <c:f>' TIGER V2'!$AB$46:$AB$52</c:f>
              <c:numCache/>
            </c:numRef>
          </c:val>
        </c:ser>
        <c:axId val="1585066463"/>
        <c:axId val="1484079911"/>
      </c:barChart>
      <c:catAx>
        <c:axId val="158506646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FFFFFF"/>
                </a:solidFill>
                <a:latin typeface="+mn-lt"/>
              </a:defRPr>
            </a:pPr>
          </a:p>
        </c:txPr>
        <c:crossAx val="1484079911"/>
      </c:catAx>
      <c:valAx>
        <c:axId val="148407991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585066463"/>
      </c:valAx>
    </c:plotArea>
    <c:legend>
      <c:legendPos val="r"/>
      <c:overlay val="0"/>
      <c:txPr>
        <a:bodyPr/>
        <a:lstStyle/>
        <a:p>
          <a:pPr lvl="0">
            <a:defRPr b="0" i="0">
              <a:solidFill>
                <a:srgbClr val="1A1A1A"/>
              </a:solidFill>
              <a:latin typeface="+mn-lt"/>
            </a:defRPr>
          </a:pPr>
        </a:p>
      </c:txPr>
    </c:legend>
    <c:plotVisOnly val="1"/>
  </c:chart>
  <c:spPr>
    <a:solidFill>
      <a:srgbClr val="FFFFFF">
        <a:alpha val="0"/>
      </a:srgbClr>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 TIGER V3'!$Z$45</c:f>
            </c:strRef>
          </c:tx>
          <c:spPr>
            <a:solidFill>
              <a:schemeClr val="accent1"/>
            </a:solidFill>
          </c:spPr>
          <c:cat>
            <c:strRef>
              <c:f>' TIGER V3'!$Y$46:$Y$52</c:f>
            </c:strRef>
          </c:cat>
          <c:val>
            <c:numRef>
              <c:f>' TIGER V3'!$Z$46:$Z$52</c:f>
              <c:numCache/>
            </c:numRef>
          </c:val>
        </c:ser>
        <c:ser>
          <c:idx val="1"/>
          <c:order val="1"/>
          <c:tx>
            <c:strRef>
              <c:f>' TIGER V3'!$AA$45</c:f>
            </c:strRef>
          </c:tx>
          <c:cat>
            <c:strRef>
              <c:f>' TIGER V3'!$Y$46:$Y$52</c:f>
            </c:strRef>
          </c:cat>
          <c:val>
            <c:numRef>
              <c:f>' TIGER V3'!$AA$46:$AA$52</c:f>
              <c:numCache/>
            </c:numRef>
          </c:val>
        </c:ser>
        <c:ser>
          <c:idx val="2"/>
          <c:order val="2"/>
          <c:tx>
            <c:strRef>
              <c:f>' TIGER V3'!$AB$45</c:f>
            </c:strRef>
          </c:tx>
          <c:cat>
            <c:strRef>
              <c:f>' TIGER V3'!$Y$46:$Y$52</c:f>
            </c:strRef>
          </c:cat>
          <c:val>
            <c:numRef>
              <c:f>' TIGER V3'!$AB$46:$AB$52</c:f>
              <c:numCache/>
            </c:numRef>
          </c:val>
        </c:ser>
        <c:axId val="543870990"/>
        <c:axId val="1915705592"/>
      </c:barChart>
      <c:catAx>
        <c:axId val="54387099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FFFFFF"/>
                </a:solidFill>
                <a:latin typeface="+mn-lt"/>
              </a:defRPr>
            </a:pPr>
          </a:p>
        </c:txPr>
        <c:crossAx val="1915705592"/>
      </c:catAx>
      <c:valAx>
        <c:axId val="191570559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543870990"/>
      </c:valAx>
    </c:plotArea>
    <c:legend>
      <c:legendPos val="r"/>
      <c:overlay val="0"/>
      <c:txPr>
        <a:bodyPr/>
        <a:lstStyle/>
        <a:p>
          <a:pPr lvl="0">
            <a:defRPr b="0" i="0">
              <a:solidFill>
                <a:srgbClr val="1A1A1A"/>
              </a:solidFill>
              <a:latin typeface="+mn-lt"/>
            </a:defRPr>
          </a:pPr>
        </a:p>
      </c:txPr>
    </c:legend>
    <c:plotVisOnly val="1"/>
  </c:chart>
  <c:spPr>
    <a:solidFill>
      <a:srgbClr val="FFFFFF">
        <a:alpha val="0"/>
      </a:srgbClr>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'TIGER V5'!$AA$46</c:f>
            </c:strRef>
          </c:tx>
          <c:spPr>
            <a:solidFill>
              <a:schemeClr val="accent1"/>
            </a:solidFill>
          </c:spPr>
          <c:cat>
            <c:strRef>
              <c:f>'TIGER V5'!$Z$47:$Z$53</c:f>
            </c:strRef>
          </c:cat>
          <c:val>
            <c:numRef>
              <c:f>'TIGER V5'!$AA$47:$AA$53</c:f>
              <c:numCache/>
            </c:numRef>
          </c:val>
        </c:ser>
        <c:ser>
          <c:idx val="1"/>
          <c:order val="1"/>
          <c:tx>
            <c:strRef>
              <c:f>'TIGER V5'!$AB$46</c:f>
            </c:strRef>
          </c:tx>
          <c:cat>
            <c:strRef>
              <c:f>'TIGER V5'!$Z$47:$Z$53</c:f>
            </c:strRef>
          </c:cat>
          <c:val>
            <c:numRef>
              <c:f>'TIGER V5'!$AB$47:$AB$53</c:f>
              <c:numCache/>
            </c:numRef>
          </c:val>
        </c:ser>
        <c:ser>
          <c:idx val="2"/>
          <c:order val="2"/>
          <c:tx>
            <c:strRef>
              <c:f>'TIGER V5'!$AC$46</c:f>
            </c:strRef>
          </c:tx>
          <c:cat>
            <c:strRef>
              <c:f>'TIGER V5'!$Z$47:$Z$53</c:f>
            </c:strRef>
          </c:cat>
          <c:val>
            <c:numRef>
              <c:f>'TIGER V5'!$AC$47:$AC$53</c:f>
              <c:numCache/>
            </c:numRef>
          </c:val>
        </c:ser>
        <c:axId val="1595571411"/>
        <c:axId val="1434459974"/>
      </c:barChart>
      <c:catAx>
        <c:axId val="159557141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FFFFFF"/>
                </a:solidFill>
                <a:latin typeface="+mn-lt"/>
              </a:defRPr>
            </a:pPr>
          </a:p>
        </c:txPr>
        <c:crossAx val="1434459974"/>
      </c:catAx>
      <c:valAx>
        <c:axId val="143445997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595571411"/>
      </c:valAx>
    </c:plotArea>
    <c:legend>
      <c:legendPos val="r"/>
      <c:overlay val="0"/>
      <c:txPr>
        <a:bodyPr/>
        <a:lstStyle/>
        <a:p>
          <a:pPr lvl="0">
            <a:defRPr b="0" i="0">
              <a:solidFill>
                <a:srgbClr val="1A1A1A"/>
              </a:solidFill>
              <a:latin typeface="+mn-lt"/>
            </a:defRPr>
          </a:pPr>
        </a:p>
      </c:txPr>
    </c:legend>
    <c:plotVisOnly val="1"/>
  </c:chart>
  <c:spPr>
    <a:solidFill>
      <a:srgbClr val="FFFFFF">
        <a:alpha val="0"/>
      </a:srgbClr>
    </a:solidFill>
  </c:spPr>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'TIGER V6'!$Y$46</c:f>
            </c:strRef>
          </c:tx>
          <c:spPr>
            <a:solidFill>
              <a:schemeClr val="accent1"/>
            </a:solidFill>
          </c:spPr>
          <c:cat>
            <c:strRef>
              <c:f>'TIGER V6'!$X$47:$X$53</c:f>
            </c:strRef>
          </c:cat>
          <c:val>
            <c:numRef>
              <c:f>'TIGER V6'!$Y$47:$Y$53</c:f>
              <c:numCache/>
            </c:numRef>
          </c:val>
        </c:ser>
        <c:ser>
          <c:idx val="1"/>
          <c:order val="1"/>
          <c:tx>
            <c:strRef>
              <c:f>'TIGER V6'!$Z$46</c:f>
            </c:strRef>
          </c:tx>
          <c:cat>
            <c:strRef>
              <c:f>'TIGER V6'!$X$47:$X$53</c:f>
            </c:strRef>
          </c:cat>
          <c:val>
            <c:numRef>
              <c:f>'TIGER V6'!$Z$47:$Z$53</c:f>
              <c:numCache/>
            </c:numRef>
          </c:val>
        </c:ser>
        <c:ser>
          <c:idx val="2"/>
          <c:order val="2"/>
          <c:tx>
            <c:strRef>
              <c:f>'TIGER V6'!$AA$46</c:f>
            </c:strRef>
          </c:tx>
          <c:cat>
            <c:strRef>
              <c:f>'TIGER V6'!$X$47:$X$53</c:f>
            </c:strRef>
          </c:cat>
          <c:val>
            <c:numRef>
              <c:f>'TIGER V6'!$AA$47:$AA$53</c:f>
              <c:numCache/>
            </c:numRef>
          </c:val>
        </c:ser>
        <c:axId val="357044959"/>
        <c:axId val="390549069"/>
      </c:barChart>
      <c:catAx>
        <c:axId val="35704495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FFFFFF"/>
                </a:solidFill>
                <a:latin typeface="+mn-lt"/>
              </a:defRPr>
            </a:pPr>
          </a:p>
        </c:txPr>
        <c:crossAx val="390549069"/>
      </c:catAx>
      <c:valAx>
        <c:axId val="39054906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357044959"/>
      </c:valAx>
    </c:plotArea>
    <c:legend>
      <c:legendPos val="r"/>
      <c:overlay val="0"/>
      <c:txPr>
        <a:bodyPr/>
        <a:lstStyle/>
        <a:p>
          <a:pPr lvl="0">
            <a:defRPr b="0" i="0">
              <a:solidFill>
                <a:srgbClr val="1A1A1A"/>
              </a:solidFill>
              <a:latin typeface="+mn-lt"/>
            </a:defRPr>
          </a:pPr>
        </a:p>
      </c:txPr>
    </c:legend>
    <c:plotVisOnly val="1"/>
  </c:chart>
  <c:spPr>
    <a:solidFill>
      <a:srgbClr val="FFFFFF">
        <a:alpha val="0"/>
      </a:srgbClr>
    </a:solidFill>
  </c:spPr>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 TIGER V7'!$Z$46</c:f>
            </c:strRef>
          </c:tx>
          <c:spPr>
            <a:solidFill>
              <a:schemeClr val="accent1"/>
            </a:solidFill>
          </c:spPr>
          <c:cat>
            <c:strRef>
              <c:f>' TIGER V7'!$Y$47:$Y$53</c:f>
            </c:strRef>
          </c:cat>
          <c:val>
            <c:numRef>
              <c:f>' TIGER V7'!$Z$47:$Z$53</c:f>
              <c:numCache/>
            </c:numRef>
          </c:val>
        </c:ser>
        <c:ser>
          <c:idx val="1"/>
          <c:order val="1"/>
          <c:tx>
            <c:strRef>
              <c:f>' TIGER V7'!$AA$46</c:f>
            </c:strRef>
          </c:tx>
          <c:cat>
            <c:strRef>
              <c:f>' TIGER V7'!$Y$47:$Y$53</c:f>
            </c:strRef>
          </c:cat>
          <c:val>
            <c:numRef>
              <c:f>' TIGER V7'!$AA$47:$AA$53</c:f>
              <c:numCache/>
            </c:numRef>
          </c:val>
        </c:ser>
        <c:ser>
          <c:idx val="2"/>
          <c:order val="2"/>
          <c:tx>
            <c:strRef>
              <c:f>' TIGER V7'!$AB$46</c:f>
            </c:strRef>
          </c:tx>
          <c:cat>
            <c:strRef>
              <c:f>' TIGER V7'!$Y$47:$Y$53</c:f>
            </c:strRef>
          </c:cat>
          <c:val>
            <c:numRef>
              <c:f>' TIGER V7'!$AB$47:$AB$53</c:f>
              <c:numCache/>
            </c:numRef>
          </c:val>
        </c:ser>
        <c:axId val="24440571"/>
        <c:axId val="1554740751"/>
      </c:barChart>
      <c:catAx>
        <c:axId val="2444057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FFFFFF"/>
                </a:solidFill>
                <a:latin typeface="+mn-lt"/>
              </a:defRPr>
            </a:pPr>
          </a:p>
        </c:txPr>
        <c:crossAx val="1554740751"/>
      </c:catAx>
      <c:valAx>
        <c:axId val="155474075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24440571"/>
      </c:valAx>
    </c:plotArea>
    <c:legend>
      <c:legendPos val="r"/>
      <c:overlay val="0"/>
      <c:txPr>
        <a:bodyPr/>
        <a:lstStyle/>
        <a:p>
          <a:pPr lvl="0">
            <a:defRPr b="0" i="0">
              <a:solidFill>
                <a:srgbClr val="1A1A1A"/>
              </a:solidFill>
              <a:latin typeface="+mn-lt"/>
            </a:defRPr>
          </a:pPr>
        </a:p>
      </c:txPr>
    </c:legend>
    <c:plotVisOnly val="1"/>
  </c:chart>
  <c:spPr>
    <a:solidFill>
      <a:srgbClr val="FFFFFF">
        <a:alpha val="0"/>
      </a:srgbClr>
    </a:solidFill>
  </c:spPr>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'TIGER V8'!$Z$41</c:f>
            </c:strRef>
          </c:tx>
          <c:spPr>
            <a:solidFill>
              <a:schemeClr val="accent1"/>
            </a:solidFill>
          </c:spPr>
          <c:cat>
            <c:strRef>
              <c:f>'TIGER V8'!$Y$42:$Y$48</c:f>
            </c:strRef>
          </c:cat>
          <c:val>
            <c:numRef>
              <c:f>'TIGER V8'!$Z$42:$Z$48</c:f>
              <c:numCache/>
            </c:numRef>
          </c:val>
        </c:ser>
        <c:ser>
          <c:idx val="1"/>
          <c:order val="1"/>
          <c:tx>
            <c:strRef>
              <c:f>'TIGER V8'!$AA$41</c:f>
            </c:strRef>
          </c:tx>
          <c:cat>
            <c:strRef>
              <c:f>'TIGER V8'!$Y$42:$Y$48</c:f>
            </c:strRef>
          </c:cat>
          <c:val>
            <c:numRef>
              <c:f>'TIGER V8'!$AA$42:$AA$48</c:f>
              <c:numCache/>
            </c:numRef>
          </c:val>
        </c:ser>
        <c:ser>
          <c:idx val="2"/>
          <c:order val="2"/>
          <c:tx>
            <c:strRef>
              <c:f>'TIGER V8'!$AB$41</c:f>
            </c:strRef>
          </c:tx>
          <c:cat>
            <c:strRef>
              <c:f>'TIGER V8'!$Y$42:$Y$48</c:f>
            </c:strRef>
          </c:cat>
          <c:val>
            <c:numRef>
              <c:f>'TIGER V8'!$AB$42:$AB$48</c:f>
              <c:numCache/>
            </c:numRef>
          </c:val>
        </c:ser>
        <c:axId val="2070618620"/>
        <c:axId val="292474940"/>
      </c:barChart>
      <c:catAx>
        <c:axId val="207061862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FFFFFF"/>
                </a:solidFill>
                <a:latin typeface="+mn-lt"/>
              </a:defRPr>
            </a:pPr>
          </a:p>
        </c:txPr>
        <c:crossAx val="292474940"/>
      </c:catAx>
      <c:valAx>
        <c:axId val="29247494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2070618620"/>
      </c:valAx>
    </c:plotArea>
    <c:legend>
      <c:legendPos val="r"/>
      <c:overlay val="0"/>
      <c:txPr>
        <a:bodyPr/>
        <a:lstStyle/>
        <a:p>
          <a:pPr lvl="0">
            <a:defRPr b="0" i="0">
              <a:solidFill>
                <a:srgbClr val="1A1A1A"/>
              </a:solidFill>
              <a:latin typeface="+mn-lt"/>
            </a:defRPr>
          </a:pPr>
        </a:p>
      </c:txPr>
    </c:legend>
    <c:plotVisOnly val="1"/>
  </c:chart>
  <c:spPr>
    <a:solidFill>
      <a:srgbClr val="FFFFFF">
        <a:alpha val="0"/>
      </a:srgbClr>
    </a:solidFill>
  </c:spPr>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chemeClr val="accent1"/>
            </a:solidFill>
          </c:spPr>
          <c:cat>
            <c:strRef>
              <c:f>'TIGER V8'!$X$52:$X$55</c:f>
            </c:strRef>
          </c:cat>
          <c:val>
            <c:numRef>
              <c:f>'TIGER V8'!$Y$52:$Y$55</c:f>
              <c:numCache/>
            </c:numRef>
          </c:val>
        </c:ser>
        <c:axId val="1045836240"/>
        <c:axId val="433022873"/>
      </c:barChart>
      <c:catAx>
        <c:axId val="104583624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433022873"/>
      </c:catAx>
      <c:valAx>
        <c:axId val="43302287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045836240"/>
      </c:valAx>
    </c:plotArea>
    <c:legend>
      <c:legendPos val="r"/>
      <c:overlay val="0"/>
      <c:txPr>
        <a:bodyPr/>
        <a:lstStyle/>
        <a:p>
          <a:pPr lvl="0">
            <a:defRPr b="0" i="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chemeClr val="accent1"/>
            </a:solidFill>
          </c:spPr>
          <c:cat>
            <c:strRef>
              <c:f>'TIGER V9 '!$Y$55:$Y$57</c:f>
            </c:strRef>
          </c:cat>
          <c:val>
            <c:numRef>
              <c:f>'TIGER V9 '!$Z$55:$Z$57</c:f>
              <c:numCache/>
            </c:numRef>
          </c:val>
        </c:ser>
        <c:axId val="1620694300"/>
        <c:axId val="2063744306"/>
      </c:barChart>
      <c:catAx>
        <c:axId val="162069430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2063744306"/>
      </c:catAx>
      <c:valAx>
        <c:axId val="206374430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620694300"/>
      </c:valAx>
    </c:plotArea>
    <c:legend>
      <c:legendPos val="r"/>
      <c:overlay val="0"/>
      <c:txPr>
        <a:bodyPr/>
        <a:lstStyle/>
        <a:p>
          <a:pPr lvl="0">
            <a:defRPr b="0" i="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 Id="rId2" Type="http://schemas.openxmlformats.org/officeDocument/2006/relationships/image" Target="../media/image2.png"/><Relationship Id="rId3" Type="http://schemas.openxmlformats.org/officeDocument/2006/relationships/image" Target="../media/image1.png"/><Relationship Id="rId4" Type="http://schemas.openxmlformats.org/officeDocument/2006/relationships/image" Target="../media/image3.png"/></Relationships>
</file>

<file path=xl/drawings/_rels/drawing9.xml.rels><?xml version="1.0" encoding="UTF-8" standalone="yes"?><Relationships xmlns="http://schemas.openxmlformats.org/package/2006/relationships"><Relationship Id="rId1" Type="http://schemas.openxmlformats.org/officeDocument/2006/relationships/chart" Target="../charts/chart10.xml"/><Relationship Id="rId2" Type="http://schemas.openxmlformats.org/officeDocument/2006/relationships/chart" Target="../charts/chart11.xml"/><Relationship Id="rId3" Type="http://schemas.openxmlformats.org/officeDocument/2006/relationships/image" Target="../media/image2.png"/><Relationship Id="rId4" Type="http://schemas.openxmlformats.org/officeDocument/2006/relationships/image" Target="../media/image1.png"/><Relationship Id="rId5"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30</xdr:col>
      <xdr:colOff>76200</xdr:colOff>
      <xdr:row>49</xdr:row>
      <xdr:rowOff>19050</xdr:rowOff>
    </xdr:from>
    <xdr:ext cx="5715000" cy="3533775"/>
    <xdr:graphicFrame>
      <xdr:nvGraphicFramePr>
        <xdr:cNvPr id="593824432"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30</xdr:col>
      <xdr:colOff>76200</xdr:colOff>
      <xdr:row>44</xdr:row>
      <xdr:rowOff>123825</xdr:rowOff>
    </xdr:from>
    <xdr:ext cx="7153275" cy="4419600"/>
    <xdr:graphicFrame>
      <xdr:nvGraphicFramePr>
        <xdr:cNvPr id="1246190443" name="Chart 2"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30</xdr:col>
      <xdr:colOff>76200</xdr:colOff>
      <xdr:row>44</xdr:row>
      <xdr:rowOff>123825</xdr:rowOff>
    </xdr:from>
    <xdr:ext cx="7153275" cy="4419600"/>
    <xdr:graphicFrame>
      <xdr:nvGraphicFramePr>
        <xdr:cNvPr id="729653071" name="Chart 3"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31</xdr:col>
      <xdr:colOff>76200</xdr:colOff>
      <xdr:row>45</xdr:row>
      <xdr:rowOff>123825</xdr:rowOff>
    </xdr:from>
    <xdr:ext cx="7153275" cy="4419600"/>
    <xdr:graphicFrame>
      <xdr:nvGraphicFramePr>
        <xdr:cNvPr id="610736331" name="Chart 4"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29</xdr:col>
      <xdr:colOff>76200</xdr:colOff>
      <xdr:row>45</xdr:row>
      <xdr:rowOff>123825</xdr:rowOff>
    </xdr:from>
    <xdr:ext cx="7153275" cy="4419600"/>
    <xdr:graphicFrame>
      <xdr:nvGraphicFramePr>
        <xdr:cNvPr id="466561637" name="Chart 5"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30</xdr:col>
      <xdr:colOff>76200</xdr:colOff>
      <xdr:row>45</xdr:row>
      <xdr:rowOff>123825</xdr:rowOff>
    </xdr:from>
    <xdr:ext cx="7153275" cy="4419600"/>
    <xdr:graphicFrame>
      <xdr:nvGraphicFramePr>
        <xdr:cNvPr id="537824806" name="Chart 6"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30</xdr:col>
      <xdr:colOff>76200</xdr:colOff>
      <xdr:row>40</xdr:row>
      <xdr:rowOff>123825</xdr:rowOff>
    </xdr:from>
    <xdr:ext cx="7153275" cy="4419600"/>
    <xdr:graphicFrame>
      <xdr:nvGraphicFramePr>
        <xdr:cNvPr id="553981821" name="Chart 7"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16</xdr:col>
      <xdr:colOff>619125</xdr:colOff>
      <xdr:row>46</xdr:row>
      <xdr:rowOff>38100</xdr:rowOff>
    </xdr:from>
    <xdr:ext cx="5715000" cy="3533775"/>
    <xdr:graphicFrame>
      <xdr:nvGraphicFramePr>
        <xdr:cNvPr id="1722267942" name="Chart 8" title="Gráfico"/>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27</xdr:col>
      <xdr:colOff>247650</xdr:colOff>
      <xdr:row>52</xdr:row>
      <xdr:rowOff>152400</xdr:rowOff>
    </xdr:from>
    <xdr:ext cx="9248775" cy="5724525"/>
    <xdr:graphicFrame>
      <xdr:nvGraphicFramePr>
        <xdr:cNvPr id="202284622" name="Chart 9"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752475</xdr:colOff>
      <xdr:row>1</xdr:row>
      <xdr:rowOff>66675</xdr:rowOff>
    </xdr:from>
    <xdr:ext cx="8848725" cy="1819275"/>
    <xdr:pic>
      <xdr:nvPicPr>
        <xdr:cNvPr id="0" name="image2.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647700</xdr:colOff>
      <xdr:row>1</xdr:row>
      <xdr:rowOff>19050</xdr:rowOff>
    </xdr:from>
    <xdr:ext cx="3829050" cy="2676525"/>
    <xdr:pic>
      <xdr:nvPicPr>
        <xdr:cNvPr id="0" name="image1.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15</xdr:col>
      <xdr:colOff>228600</xdr:colOff>
      <xdr:row>1</xdr:row>
      <xdr:rowOff>57150</xdr:rowOff>
    </xdr:from>
    <xdr:ext cx="3505200" cy="3067050"/>
    <xdr:pic>
      <xdr:nvPicPr>
        <xdr:cNvPr id="0" name="image3.png" title="Imagen"/>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26</xdr:col>
      <xdr:colOff>885825</xdr:colOff>
      <xdr:row>53</xdr:row>
      <xdr:rowOff>28575</xdr:rowOff>
    </xdr:from>
    <xdr:ext cx="5715000" cy="3533775"/>
    <xdr:graphicFrame>
      <xdr:nvGraphicFramePr>
        <xdr:cNvPr id="1631311177" name="Chart 10"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20</xdr:col>
      <xdr:colOff>733425</xdr:colOff>
      <xdr:row>66</xdr:row>
      <xdr:rowOff>180975</xdr:rowOff>
    </xdr:from>
    <xdr:ext cx="5715000" cy="3533775"/>
    <xdr:graphicFrame>
      <xdr:nvGraphicFramePr>
        <xdr:cNvPr id="845996064" name="Chart 11"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4</xdr:col>
      <xdr:colOff>752475</xdr:colOff>
      <xdr:row>1</xdr:row>
      <xdr:rowOff>66675</xdr:rowOff>
    </xdr:from>
    <xdr:ext cx="8848725" cy="1819275"/>
    <xdr:pic>
      <xdr:nvPicPr>
        <xdr:cNvPr id="0" name="image2.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12</xdr:col>
      <xdr:colOff>647700</xdr:colOff>
      <xdr:row>1</xdr:row>
      <xdr:rowOff>19050</xdr:rowOff>
    </xdr:from>
    <xdr:ext cx="3829050" cy="2676525"/>
    <xdr:pic>
      <xdr:nvPicPr>
        <xdr:cNvPr id="0" name="image1.png" title="Imagen"/>
        <xdr:cNvPicPr preferRelativeResize="0"/>
      </xdr:nvPicPr>
      <xdr:blipFill>
        <a:blip cstate="print" r:embed="rId4"/>
        <a:stretch>
          <a:fillRect/>
        </a:stretch>
      </xdr:blipFill>
      <xdr:spPr>
        <a:prstGeom prst="rect">
          <a:avLst/>
        </a:prstGeom>
        <a:noFill/>
      </xdr:spPr>
    </xdr:pic>
    <xdr:clientData fLocksWithSheet="0"/>
  </xdr:oneCellAnchor>
  <xdr:oneCellAnchor>
    <xdr:from>
      <xdr:col>15</xdr:col>
      <xdr:colOff>228600</xdr:colOff>
      <xdr:row>1</xdr:row>
      <xdr:rowOff>57150</xdr:rowOff>
    </xdr:from>
    <xdr:ext cx="3505200" cy="3067050"/>
    <xdr:pic>
      <xdr:nvPicPr>
        <xdr:cNvPr id="0" name="image3.png" title="Imagen"/>
        <xdr:cNvPicPr preferRelativeResize="0"/>
      </xdr:nvPicPr>
      <xdr:blipFill>
        <a:blip cstate="print" r:embed="rId5"/>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7.xml"/><Relationship Id="rId3" Type="http://schemas.openxmlformats.org/officeDocument/2006/relationships/vmlDrawing" Target="../drawings/vmlDrawing1.vml"/></Relationships>
</file>

<file path=xl/worksheets/_rels/sheet18.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8.xml"/><Relationship Id="rId3"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1" max="1" width="19.57"/>
    <col customWidth="1" min="2" max="3" width="23.86"/>
    <col customWidth="1" min="4" max="4" width="18.71"/>
    <col customWidth="1" min="5" max="5" width="20.43"/>
    <col customWidth="1" min="6" max="6" width="27.14"/>
    <col customWidth="1" min="8" max="8" width="17.29"/>
    <col customWidth="1" min="9" max="10" width="32.71"/>
    <col customWidth="1" min="11" max="11" width="61.86"/>
    <col customWidth="1" min="12" max="12" width="25.57"/>
    <col customWidth="1" min="18" max="18" width="25.86"/>
    <col customWidth="1" min="27" max="50" width="6.14"/>
    <col customWidth="1" min="51" max="51" width="18.14"/>
    <col customWidth="1" min="52" max="52" width="6.14"/>
  </cols>
  <sheetData>
    <row r="1" ht="49.5" customHeight="1">
      <c r="A1" s="1"/>
      <c r="B1" s="2"/>
      <c r="C1" s="2"/>
    </row>
    <row r="2" ht="15.75" customHeight="1">
      <c r="A2" s="3"/>
      <c r="B2" s="3"/>
      <c r="C2" s="3"/>
      <c r="D2" s="3"/>
      <c r="E2" s="3"/>
      <c r="F2" s="3"/>
      <c r="G2" s="3"/>
      <c r="H2" s="3"/>
      <c r="I2" s="3"/>
      <c r="J2" s="3"/>
      <c r="K2" s="3"/>
      <c r="L2" s="3"/>
      <c r="M2" s="3"/>
      <c r="N2" s="3"/>
      <c r="O2" s="4"/>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row>
    <row r="3" ht="15.75" customHeight="1">
      <c r="A3" s="5" t="s">
        <v>0</v>
      </c>
      <c r="B3" s="6" t="s">
        <v>1</v>
      </c>
      <c r="C3" s="7"/>
      <c r="E3" s="7"/>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row>
    <row r="4" ht="15.75" customHeight="1">
      <c r="A4" s="5" t="s">
        <v>2</v>
      </c>
      <c r="B4" s="6" t="s">
        <v>3</v>
      </c>
      <c r="C4" s="8"/>
      <c r="E4" s="8"/>
      <c r="F4" s="3"/>
      <c r="G4" s="3"/>
      <c r="H4" s="3"/>
      <c r="I4" s="3"/>
      <c r="J4" s="3"/>
      <c r="K4" s="3"/>
      <c r="L4" s="3"/>
      <c r="M4" s="3"/>
      <c r="N4" s="3"/>
      <c r="O4" s="3"/>
      <c r="P4" s="3"/>
      <c r="Q4" s="3"/>
      <c r="R4" s="3"/>
      <c r="S4" s="9"/>
      <c r="T4" s="9"/>
      <c r="U4" s="9"/>
      <c r="V4" s="10"/>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row>
    <row r="5" ht="15.75" customHeight="1">
      <c r="A5" s="5" t="s">
        <v>4</v>
      </c>
      <c r="B5" s="11">
        <v>2198126.0</v>
      </c>
      <c r="C5" s="12">
        <v>2198126.0</v>
      </c>
      <c r="E5" s="12"/>
      <c r="F5" s="3"/>
      <c r="G5" s="3"/>
      <c r="H5" s="3"/>
      <c r="I5" s="3"/>
      <c r="J5" s="3"/>
      <c r="K5" s="3"/>
      <c r="L5" s="3"/>
      <c r="M5" s="3"/>
      <c r="N5" s="3"/>
      <c r="O5" s="3"/>
      <c r="P5" s="3"/>
      <c r="Q5" s="3"/>
      <c r="R5" s="3"/>
      <c r="S5" s="9"/>
      <c r="T5" s="9"/>
      <c r="U5" s="9"/>
      <c r="V5" s="10"/>
      <c r="W5" s="13"/>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row>
    <row r="6" ht="15.75" customHeight="1">
      <c r="A6" s="5" t="s">
        <v>5</v>
      </c>
      <c r="B6" s="6" t="s">
        <v>6</v>
      </c>
      <c r="C6" s="14"/>
      <c r="E6" s="8"/>
      <c r="F6" s="3"/>
      <c r="G6" s="3"/>
      <c r="H6" s="3"/>
      <c r="I6" s="3"/>
      <c r="J6" s="3"/>
      <c r="K6" s="3"/>
      <c r="L6" s="3"/>
      <c r="M6" s="3"/>
      <c r="N6" s="3"/>
      <c r="O6" s="3"/>
      <c r="P6" s="3"/>
      <c r="Q6" s="3"/>
      <c r="R6" s="3"/>
      <c r="S6" s="9"/>
      <c r="T6" s="9"/>
      <c r="U6" s="15"/>
      <c r="V6" s="10"/>
      <c r="W6" s="10"/>
      <c r="X6" s="9"/>
      <c r="Y6" s="9"/>
      <c r="Z6" s="9"/>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row>
    <row r="7" ht="15.75" customHeight="1">
      <c r="A7" s="7"/>
      <c r="B7" s="6" t="s">
        <v>7</v>
      </c>
      <c r="C7" s="17" t="s">
        <v>8</v>
      </c>
      <c r="E7" s="7"/>
      <c r="F7" s="3"/>
      <c r="G7" s="3"/>
      <c r="H7" s="3"/>
      <c r="I7" s="3"/>
      <c r="J7" s="3"/>
      <c r="K7" s="3"/>
      <c r="L7" s="3"/>
      <c r="M7" s="3"/>
      <c r="N7" s="3"/>
      <c r="O7" s="3"/>
      <c r="P7" s="3"/>
      <c r="Q7" s="3"/>
      <c r="R7" s="3"/>
      <c r="S7" s="9"/>
      <c r="T7" s="9"/>
      <c r="U7" s="9"/>
      <c r="V7" s="9"/>
      <c r="W7" s="9"/>
      <c r="X7" s="9"/>
      <c r="Y7" s="9"/>
      <c r="Z7" s="9"/>
      <c r="AA7" s="18" t="s">
        <v>9</v>
      </c>
      <c r="AG7" s="19" t="s">
        <v>10</v>
      </c>
      <c r="AW7" s="20" t="s">
        <v>11</v>
      </c>
      <c r="AY7" s="16"/>
      <c r="AZ7" s="16"/>
    </row>
    <row r="8" ht="15.75" customHeight="1">
      <c r="A8" s="7"/>
      <c r="B8" s="21" t="s">
        <v>12</v>
      </c>
      <c r="C8" s="22" t="s">
        <v>13</v>
      </c>
      <c r="D8" s="22" t="s">
        <v>14</v>
      </c>
      <c r="E8" s="7"/>
      <c r="F8" s="7"/>
      <c r="G8" s="7"/>
      <c r="H8" s="7"/>
      <c r="I8" s="7"/>
      <c r="J8" s="7"/>
      <c r="K8" s="7"/>
      <c r="L8" s="9"/>
      <c r="M8" s="9"/>
      <c r="N8" s="9"/>
      <c r="O8" s="9"/>
      <c r="P8" s="9"/>
      <c r="Q8" s="9"/>
      <c r="R8" s="9"/>
      <c r="S8" s="23"/>
      <c r="T8" s="23"/>
      <c r="U8" s="23"/>
      <c r="V8" s="23"/>
      <c r="W8" s="23"/>
      <c r="X8" s="23"/>
      <c r="Y8" s="23"/>
      <c r="Z8" s="23"/>
      <c r="AA8" s="24"/>
      <c r="AB8" s="25"/>
      <c r="AC8" s="25"/>
      <c r="AD8" s="25"/>
      <c r="AE8" s="25"/>
      <c r="AF8" s="26"/>
      <c r="AG8" s="24"/>
      <c r="AH8" s="25"/>
      <c r="AI8" s="25"/>
      <c r="AJ8" s="26"/>
      <c r="AK8" s="24"/>
      <c r="AL8" s="25"/>
      <c r="AM8" s="25"/>
      <c r="AN8" s="26"/>
      <c r="AO8" s="24"/>
      <c r="AP8" s="25"/>
      <c r="AQ8" s="25"/>
      <c r="AR8" s="26"/>
      <c r="AS8" s="24"/>
      <c r="AT8" s="25"/>
      <c r="AU8" s="25"/>
      <c r="AV8" s="26"/>
      <c r="AW8" s="24"/>
      <c r="AX8" s="26"/>
      <c r="AY8" s="27"/>
      <c r="AZ8" s="27"/>
    </row>
    <row r="9" ht="15.75" customHeight="1">
      <c r="A9" s="7"/>
      <c r="B9" s="28">
        <v>1.6E7</v>
      </c>
      <c r="C9" s="28">
        <f>B9*D9</f>
        <v>10080000</v>
      </c>
      <c r="D9" s="29">
        <v>0.63</v>
      </c>
      <c r="E9" s="7"/>
      <c r="F9" s="7"/>
      <c r="G9" s="7"/>
      <c r="H9" s="7"/>
      <c r="I9" s="7"/>
      <c r="J9" s="7"/>
      <c r="K9" s="7"/>
      <c r="L9" s="9"/>
      <c r="M9" s="9"/>
      <c r="N9" s="30" t="s">
        <v>15</v>
      </c>
      <c r="O9" s="9"/>
      <c r="P9" s="9"/>
      <c r="Q9" s="9"/>
      <c r="R9" s="9"/>
      <c r="S9" s="23"/>
      <c r="T9" s="23"/>
      <c r="U9" s="23" t="s">
        <v>16</v>
      </c>
      <c r="V9" s="23"/>
      <c r="W9" s="23"/>
      <c r="X9" s="23"/>
      <c r="Y9" s="23" t="s">
        <v>17</v>
      </c>
      <c r="Z9" s="23"/>
      <c r="AA9" s="31" t="s">
        <v>18</v>
      </c>
      <c r="AC9" s="27" t="s">
        <v>19</v>
      </c>
      <c r="AF9" s="32"/>
      <c r="AG9" s="31" t="s">
        <v>20</v>
      </c>
      <c r="AJ9" s="32"/>
      <c r="AK9" s="31" t="s">
        <v>21</v>
      </c>
      <c r="AN9" s="32"/>
      <c r="AO9" s="31" t="s">
        <v>22</v>
      </c>
      <c r="AR9" s="32"/>
      <c r="AS9" s="31" t="s">
        <v>23</v>
      </c>
      <c r="AV9" s="32"/>
      <c r="AW9" s="31" t="s">
        <v>24</v>
      </c>
      <c r="AX9" s="32"/>
      <c r="AY9" s="27" t="s">
        <v>25</v>
      </c>
    </row>
    <row r="10" ht="15.75" customHeight="1">
      <c r="A10" s="33" t="s">
        <v>2</v>
      </c>
      <c r="B10" s="34" t="s">
        <v>26</v>
      </c>
      <c r="C10" s="34" t="s">
        <v>5</v>
      </c>
      <c r="D10" s="34" t="s">
        <v>27</v>
      </c>
      <c r="E10" s="35" t="s">
        <v>28</v>
      </c>
      <c r="F10" s="36" t="s">
        <v>29</v>
      </c>
      <c r="G10" s="36" t="s">
        <v>30</v>
      </c>
      <c r="H10" s="36" t="s">
        <v>31</v>
      </c>
      <c r="I10" s="36"/>
      <c r="J10" s="36"/>
      <c r="K10" s="36" t="s">
        <v>32</v>
      </c>
      <c r="L10" s="37" t="s">
        <v>33</v>
      </c>
      <c r="M10" s="37" t="s">
        <v>34</v>
      </c>
      <c r="N10" s="37" t="s">
        <v>35</v>
      </c>
      <c r="O10" s="37" t="s">
        <v>36</v>
      </c>
      <c r="P10" s="37" t="s">
        <v>37</v>
      </c>
      <c r="Q10" s="37" t="s">
        <v>38</v>
      </c>
      <c r="R10" s="37" t="s">
        <v>39</v>
      </c>
      <c r="S10" s="37" t="s">
        <v>40</v>
      </c>
      <c r="T10" s="37" t="s">
        <v>41</v>
      </c>
      <c r="U10" s="37" t="s">
        <v>42</v>
      </c>
      <c r="V10" s="37" t="s">
        <v>43</v>
      </c>
      <c r="W10" s="37" t="s">
        <v>44</v>
      </c>
      <c r="X10" s="37" t="s">
        <v>45</v>
      </c>
      <c r="Y10" s="37" t="s">
        <v>46</v>
      </c>
      <c r="Z10" s="37" t="s">
        <v>47</v>
      </c>
      <c r="AA10" s="38" t="s">
        <v>48</v>
      </c>
      <c r="AB10" s="39" t="s">
        <v>49</v>
      </c>
      <c r="AC10" s="39" t="s">
        <v>50</v>
      </c>
      <c r="AD10" s="39" t="s">
        <v>51</v>
      </c>
      <c r="AE10" s="39" t="s">
        <v>48</v>
      </c>
      <c r="AF10" s="40" t="s">
        <v>49</v>
      </c>
      <c r="AG10" s="38" t="s">
        <v>50</v>
      </c>
      <c r="AH10" s="39" t="s">
        <v>51</v>
      </c>
      <c r="AI10" s="39" t="s">
        <v>48</v>
      </c>
      <c r="AJ10" s="40" t="s">
        <v>49</v>
      </c>
      <c r="AK10" s="38" t="s">
        <v>50</v>
      </c>
      <c r="AL10" s="39" t="s">
        <v>51</v>
      </c>
      <c r="AM10" s="39" t="s">
        <v>48</v>
      </c>
      <c r="AN10" s="40" t="s">
        <v>49</v>
      </c>
      <c r="AO10" s="38" t="s">
        <v>50</v>
      </c>
      <c r="AP10" s="39" t="s">
        <v>51</v>
      </c>
      <c r="AQ10" s="39" t="s">
        <v>48</v>
      </c>
      <c r="AR10" s="40" t="s">
        <v>49</v>
      </c>
      <c r="AS10" s="38" t="s">
        <v>50</v>
      </c>
      <c r="AT10" s="39" t="s">
        <v>51</v>
      </c>
      <c r="AU10" s="39" t="s">
        <v>48</v>
      </c>
      <c r="AV10" s="40" t="s">
        <v>49</v>
      </c>
      <c r="AW10" s="38" t="s">
        <v>50</v>
      </c>
      <c r="AX10" s="40" t="s">
        <v>51</v>
      </c>
      <c r="AY10" s="39"/>
    </row>
    <row r="11" ht="15.75" customHeight="1">
      <c r="A11" s="41"/>
      <c r="B11" s="42"/>
      <c r="C11" s="43"/>
      <c r="D11" s="44"/>
      <c r="E11" s="45"/>
      <c r="F11" s="46" t="s">
        <v>52</v>
      </c>
      <c r="G11" s="47"/>
      <c r="H11" s="48">
        <f>E13*G13</f>
        <v>659437.8</v>
      </c>
      <c r="I11" s="46" t="s">
        <v>53</v>
      </c>
      <c r="J11" s="49" t="s">
        <v>54</v>
      </c>
      <c r="K11" s="46" t="s">
        <v>55</v>
      </c>
      <c r="L11" s="50" t="s">
        <v>56</v>
      </c>
      <c r="M11" s="51">
        <v>1.0</v>
      </c>
      <c r="N11" s="51">
        <v>1.0</v>
      </c>
      <c r="O11" s="51">
        <f t="shared" ref="O11:O16" si="1">M11*N11</f>
        <v>1</v>
      </c>
      <c r="P11" s="52">
        <v>0.05</v>
      </c>
      <c r="Q11" s="53">
        <f>H11*P11</f>
        <v>32971.89</v>
      </c>
      <c r="R11" s="54" t="s">
        <v>57</v>
      </c>
      <c r="S11" s="55"/>
      <c r="T11" s="56"/>
      <c r="U11" s="56"/>
      <c r="V11" s="57">
        <v>4.85</v>
      </c>
      <c r="W11" s="56"/>
      <c r="X11" s="56"/>
      <c r="Y11" s="56"/>
      <c r="Z11" s="58">
        <f>Q11*V11</f>
        <v>159913.6665</v>
      </c>
      <c r="AA11" s="59">
        <f>Q11</f>
        <v>32971.89</v>
      </c>
      <c r="AC11" s="60"/>
      <c r="AF11" s="32"/>
      <c r="AG11" s="61"/>
      <c r="AH11" s="60"/>
      <c r="AI11" s="60"/>
      <c r="AJ11" s="62"/>
      <c r="AK11" s="61"/>
      <c r="AL11" s="60"/>
      <c r="AM11" s="60"/>
      <c r="AN11" s="62"/>
      <c r="AO11" s="61"/>
      <c r="AP11" s="60"/>
      <c r="AQ11" s="60"/>
      <c r="AR11" s="62"/>
      <c r="AS11" s="61"/>
      <c r="AT11" s="60"/>
      <c r="AU11" s="60"/>
      <c r="AV11" s="62"/>
      <c r="AW11" s="61"/>
      <c r="AX11" s="62"/>
      <c r="AY11" s="63">
        <f>AA11</f>
        <v>32971.89</v>
      </c>
    </row>
    <row r="12" ht="15.75" customHeight="1">
      <c r="A12" s="41"/>
      <c r="B12" s="42"/>
      <c r="C12" s="43"/>
      <c r="D12" s="44"/>
      <c r="E12" s="45"/>
      <c r="F12" s="64"/>
      <c r="G12" s="47"/>
      <c r="H12" s="64"/>
      <c r="I12" s="64"/>
      <c r="K12" s="65"/>
      <c r="M12" s="51">
        <v>1.0</v>
      </c>
      <c r="N12" s="51">
        <v>1.0</v>
      </c>
      <c r="O12" s="51">
        <f t="shared" si="1"/>
        <v>1</v>
      </c>
      <c r="P12" s="65"/>
      <c r="Q12" s="65"/>
      <c r="R12" s="65"/>
      <c r="S12" s="65"/>
      <c r="T12" s="56"/>
      <c r="U12" s="56"/>
      <c r="V12" s="65"/>
      <c r="W12" s="56"/>
      <c r="X12" s="56"/>
      <c r="Y12" s="56"/>
      <c r="Z12" s="58"/>
      <c r="AA12" s="66"/>
      <c r="AC12" s="60"/>
      <c r="AF12" s="32"/>
      <c r="AG12" s="61"/>
      <c r="AH12" s="60"/>
      <c r="AI12" s="60"/>
      <c r="AJ12" s="62"/>
      <c r="AK12" s="61"/>
      <c r="AL12" s="60"/>
      <c r="AM12" s="60"/>
      <c r="AN12" s="62"/>
      <c r="AO12" s="61"/>
      <c r="AP12" s="60"/>
      <c r="AQ12" s="60"/>
      <c r="AR12" s="62"/>
      <c r="AS12" s="61"/>
      <c r="AT12" s="60"/>
      <c r="AU12" s="60"/>
      <c r="AV12" s="62"/>
      <c r="AW12" s="61"/>
      <c r="AX12" s="62"/>
    </row>
    <row r="13" ht="15.75" customHeight="1">
      <c r="A13" s="67" t="s">
        <v>58</v>
      </c>
      <c r="B13" s="68" t="s">
        <v>59</v>
      </c>
      <c r="C13" s="69" t="s">
        <v>60</v>
      </c>
      <c r="D13" s="70">
        <v>0.6</v>
      </c>
      <c r="E13" s="71">
        <f>B5*D13</f>
        <v>1318875.6</v>
      </c>
      <c r="F13" s="64"/>
      <c r="G13" s="72">
        <v>0.5</v>
      </c>
      <c r="H13" s="64"/>
      <c r="I13" s="64"/>
      <c r="J13" s="46" t="s">
        <v>61</v>
      </c>
      <c r="K13" s="45" t="s">
        <v>62</v>
      </c>
      <c r="L13" s="73" t="s">
        <v>63</v>
      </c>
      <c r="M13" s="51">
        <v>1.0</v>
      </c>
      <c r="N13" s="51">
        <v>2.0</v>
      </c>
      <c r="O13" s="51">
        <f t="shared" si="1"/>
        <v>2</v>
      </c>
      <c r="P13" s="52">
        <v>0.35</v>
      </c>
      <c r="Q13" s="53">
        <f>H11*P13</f>
        <v>230803.23</v>
      </c>
      <c r="R13" s="54" t="s">
        <v>44</v>
      </c>
      <c r="S13" s="57">
        <v>0.3</v>
      </c>
      <c r="T13" s="74"/>
      <c r="U13" s="74"/>
      <c r="V13" s="57">
        <v>4.85</v>
      </c>
      <c r="W13" s="75">
        <f>Q13/S13</f>
        <v>769344.1</v>
      </c>
      <c r="X13" s="74"/>
      <c r="Y13" s="74"/>
      <c r="Z13" s="76">
        <f>Q13/V13*1000</f>
        <v>47588294.85</v>
      </c>
      <c r="AA13" s="61"/>
      <c r="AC13" s="77">
        <v>230803.22999999995</v>
      </c>
      <c r="AF13" s="32"/>
      <c r="AG13" s="61"/>
      <c r="AJ13" s="32"/>
      <c r="AK13" s="61"/>
      <c r="AN13" s="32"/>
      <c r="AO13" s="61"/>
      <c r="AR13" s="32"/>
      <c r="AS13" s="61"/>
      <c r="AV13" s="32"/>
      <c r="AW13" s="61"/>
      <c r="AX13" s="32"/>
      <c r="AY13" s="63">
        <f>AC13</f>
        <v>230803.23</v>
      </c>
    </row>
    <row r="14" ht="15.75" customHeight="1">
      <c r="A14" s="64"/>
      <c r="B14" s="64"/>
      <c r="C14" s="64"/>
      <c r="D14" s="64"/>
      <c r="E14" s="64"/>
      <c r="F14" s="64"/>
      <c r="G14" s="64"/>
      <c r="H14" s="64"/>
      <c r="I14" s="65"/>
      <c r="J14" s="64"/>
      <c r="K14" s="45" t="s">
        <v>64</v>
      </c>
      <c r="L14" s="73" t="s">
        <v>63</v>
      </c>
      <c r="M14" s="51">
        <v>1.0</v>
      </c>
      <c r="N14" s="51">
        <v>2.0</v>
      </c>
      <c r="O14" s="51">
        <f t="shared" si="1"/>
        <v>2</v>
      </c>
      <c r="P14" s="65"/>
      <c r="Q14" s="65"/>
      <c r="R14" s="65"/>
      <c r="S14" s="65"/>
      <c r="T14" s="74"/>
      <c r="U14" s="74"/>
      <c r="V14" s="65"/>
      <c r="W14" s="65"/>
      <c r="X14" s="74"/>
      <c r="Y14" s="74"/>
      <c r="Z14" s="78"/>
      <c r="AA14" s="66"/>
      <c r="AF14" s="32"/>
      <c r="AG14" s="61"/>
      <c r="AJ14" s="32"/>
      <c r="AK14" s="61"/>
      <c r="AN14" s="32"/>
      <c r="AO14" s="61"/>
      <c r="AR14" s="32"/>
      <c r="AS14" s="61"/>
      <c r="AV14" s="32"/>
      <c r="AW14" s="61"/>
      <c r="AX14" s="32"/>
    </row>
    <row r="15" ht="15.75" customHeight="1">
      <c r="A15" s="64"/>
      <c r="B15" s="64"/>
      <c r="C15" s="64"/>
      <c r="D15" s="64"/>
      <c r="E15" s="64"/>
      <c r="F15" s="64"/>
      <c r="G15" s="64"/>
      <c r="H15" s="64"/>
      <c r="I15" s="46" t="s">
        <v>65</v>
      </c>
      <c r="J15" s="64"/>
      <c r="K15" s="45" t="s">
        <v>66</v>
      </c>
      <c r="L15" s="73" t="s">
        <v>63</v>
      </c>
      <c r="M15" s="51">
        <v>1.0</v>
      </c>
      <c r="N15" s="51">
        <v>4.0</v>
      </c>
      <c r="O15" s="51">
        <f t="shared" si="1"/>
        <v>4</v>
      </c>
      <c r="P15" s="52">
        <v>0.2</v>
      </c>
      <c r="Q15" s="53">
        <f>H11*P15</f>
        <v>131887.56</v>
      </c>
      <c r="R15" s="54" t="s">
        <v>44</v>
      </c>
      <c r="S15" s="57">
        <v>0.3</v>
      </c>
      <c r="T15" s="74"/>
      <c r="U15" s="74"/>
      <c r="V15" s="57">
        <v>4.85</v>
      </c>
      <c r="W15" s="75">
        <f>Q15/S15</f>
        <v>439625.2</v>
      </c>
      <c r="X15" s="74"/>
      <c r="Y15" s="74"/>
      <c r="Z15" s="76">
        <f>Q15/V15*1000</f>
        <v>27193311.34</v>
      </c>
      <c r="AA15" s="61"/>
      <c r="AB15" s="60"/>
      <c r="AC15" s="60"/>
      <c r="AF15" s="32"/>
      <c r="AG15" s="79">
        <f>Q15/4</f>
        <v>32971.89</v>
      </c>
      <c r="AJ15" s="32"/>
      <c r="AK15" s="79">
        <v>32971.89</v>
      </c>
      <c r="AN15" s="32"/>
      <c r="AO15" s="79">
        <v>32971.89</v>
      </c>
      <c r="AR15" s="32"/>
      <c r="AS15" s="79">
        <v>32971.89</v>
      </c>
      <c r="AV15" s="32"/>
      <c r="AW15" s="61"/>
      <c r="AX15" s="32"/>
      <c r="AY15" s="63">
        <f>AG15+AK15+AO15+AS15</f>
        <v>131887.56</v>
      </c>
    </row>
    <row r="16" ht="15.75" customHeight="1">
      <c r="A16" s="64"/>
      <c r="B16" s="64"/>
      <c r="C16" s="64"/>
      <c r="D16" s="64"/>
      <c r="E16" s="64"/>
      <c r="F16" s="64"/>
      <c r="G16" s="64"/>
      <c r="H16" s="64"/>
      <c r="I16" s="64"/>
      <c r="J16" s="64"/>
      <c r="K16" s="45" t="s">
        <v>67</v>
      </c>
      <c r="L16" s="73" t="s">
        <v>63</v>
      </c>
      <c r="M16" s="51">
        <v>1.0</v>
      </c>
      <c r="N16" s="51">
        <v>4.0</v>
      </c>
      <c r="O16" s="51">
        <f t="shared" si="1"/>
        <v>4</v>
      </c>
      <c r="P16" s="65"/>
      <c r="Q16" s="65"/>
      <c r="R16" s="65"/>
      <c r="S16" s="65"/>
      <c r="T16" s="74"/>
      <c r="U16" s="74"/>
      <c r="V16" s="65"/>
      <c r="W16" s="65"/>
      <c r="X16" s="74"/>
      <c r="Y16" s="74"/>
      <c r="Z16" s="78"/>
      <c r="AA16" s="61"/>
      <c r="AC16" s="60"/>
      <c r="AF16" s="32"/>
      <c r="AG16" s="66"/>
      <c r="AJ16" s="32"/>
      <c r="AK16" s="66"/>
      <c r="AN16" s="32"/>
      <c r="AO16" s="66"/>
      <c r="AR16" s="32"/>
      <c r="AS16" s="66"/>
      <c r="AV16" s="32"/>
      <c r="AW16" s="61"/>
      <c r="AX16" s="32"/>
    </row>
    <row r="17" ht="15.75" customHeight="1">
      <c r="A17" s="64"/>
      <c r="B17" s="64"/>
      <c r="C17" s="64"/>
      <c r="D17" s="64"/>
      <c r="E17" s="64"/>
      <c r="F17" s="64"/>
      <c r="G17" s="64"/>
      <c r="H17" s="64"/>
      <c r="I17" s="65"/>
      <c r="J17" s="64"/>
      <c r="K17" s="45" t="s">
        <v>68</v>
      </c>
      <c r="L17" s="73" t="s">
        <v>69</v>
      </c>
      <c r="M17" s="51" t="s">
        <v>70</v>
      </c>
      <c r="N17" s="51" t="s">
        <v>70</v>
      </c>
      <c r="O17" s="51" t="s">
        <v>70</v>
      </c>
      <c r="P17" s="80">
        <v>0.28</v>
      </c>
      <c r="Q17" s="81">
        <f>H11*P17</f>
        <v>184642.584</v>
      </c>
      <c r="R17" s="82" t="s">
        <v>44</v>
      </c>
      <c r="S17" s="83">
        <v>0.3</v>
      </c>
      <c r="T17" s="74"/>
      <c r="U17" s="74"/>
      <c r="V17" s="83">
        <v>4.85</v>
      </c>
      <c r="W17" s="51">
        <f t="shared" ref="W17:W18" si="2">Q17/S17</f>
        <v>615475.28</v>
      </c>
      <c r="X17" s="74"/>
      <c r="Y17" s="74"/>
      <c r="Z17" s="84">
        <f t="shared" ref="Z17:Z18" si="3">Q17/V17*1000</f>
        <v>38070635.88</v>
      </c>
      <c r="AA17" s="61"/>
      <c r="AC17" s="60"/>
      <c r="AF17" s="32"/>
      <c r="AG17" s="61"/>
      <c r="AJ17" s="32"/>
      <c r="AK17" s="85">
        <f>Q17/3</f>
        <v>61547.528</v>
      </c>
      <c r="AN17" s="32"/>
      <c r="AO17" s="85">
        <v>61547.528</v>
      </c>
      <c r="AR17" s="32"/>
      <c r="AS17" s="85">
        <v>61547.528</v>
      </c>
      <c r="AV17" s="32"/>
      <c r="AW17" s="61"/>
      <c r="AX17" s="32"/>
      <c r="AY17" s="63">
        <f>AK17+AO17+AS17</f>
        <v>184642.584</v>
      </c>
    </row>
    <row r="18" ht="15.75" customHeight="1">
      <c r="A18" s="64"/>
      <c r="B18" s="64"/>
      <c r="C18" s="64"/>
      <c r="D18" s="64"/>
      <c r="E18" s="64"/>
      <c r="F18" s="64"/>
      <c r="G18" s="64"/>
      <c r="H18" s="64"/>
      <c r="I18" s="46" t="s">
        <v>71</v>
      </c>
      <c r="J18" s="64"/>
      <c r="K18" s="45" t="s">
        <v>72</v>
      </c>
      <c r="L18" s="73" t="s">
        <v>73</v>
      </c>
      <c r="M18" s="51">
        <v>1.0</v>
      </c>
      <c r="N18" s="51">
        <v>2.0</v>
      </c>
      <c r="O18" s="51">
        <f t="shared" ref="O18:O19" si="4">M18*N18</f>
        <v>2</v>
      </c>
      <c r="P18" s="52">
        <v>0.12</v>
      </c>
      <c r="Q18" s="53">
        <f>H11*P18</f>
        <v>79132.536</v>
      </c>
      <c r="R18" s="54" t="s">
        <v>44</v>
      </c>
      <c r="S18" s="57">
        <v>0.3</v>
      </c>
      <c r="T18" s="74"/>
      <c r="U18" s="74"/>
      <c r="V18" s="57">
        <v>4.85</v>
      </c>
      <c r="W18" s="75">
        <f t="shared" si="2"/>
        <v>263775.12</v>
      </c>
      <c r="X18" s="74"/>
      <c r="Y18" s="74"/>
      <c r="Z18" s="76">
        <f t="shared" si="3"/>
        <v>16315986.8</v>
      </c>
      <c r="AA18" s="61"/>
      <c r="AC18" s="60"/>
      <c r="AF18" s="32"/>
      <c r="AG18" s="61"/>
      <c r="AJ18" s="32"/>
      <c r="AK18" s="86">
        <f>Q18/2</f>
        <v>39566.268</v>
      </c>
      <c r="AN18" s="32"/>
      <c r="AO18" s="61"/>
      <c r="AR18" s="32"/>
      <c r="AS18" s="61"/>
      <c r="AV18" s="32"/>
      <c r="AW18" s="86">
        <f>Q18/2</f>
        <v>39566.268</v>
      </c>
      <c r="AX18" s="32"/>
      <c r="AY18" s="63">
        <f>AK18+AW18</f>
        <v>79132.536</v>
      </c>
    </row>
    <row r="19" ht="15.75" customHeight="1">
      <c r="A19" s="64"/>
      <c r="B19" s="64"/>
      <c r="C19" s="64"/>
      <c r="D19" s="64"/>
      <c r="E19" s="64"/>
      <c r="F19" s="65"/>
      <c r="G19" s="65"/>
      <c r="H19" s="65"/>
      <c r="I19" s="65"/>
      <c r="J19" s="65"/>
      <c r="K19" s="45" t="s">
        <v>74</v>
      </c>
      <c r="L19" s="73" t="s">
        <v>73</v>
      </c>
      <c r="M19" s="51">
        <v>1.0</v>
      </c>
      <c r="N19" s="51">
        <v>2.0</v>
      </c>
      <c r="O19" s="51">
        <f t="shared" si="4"/>
        <v>2</v>
      </c>
      <c r="P19" s="65"/>
      <c r="Q19" s="65"/>
      <c r="R19" s="65"/>
      <c r="S19" s="65"/>
      <c r="T19" s="74"/>
      <c r="U19" s="74"/>
      <c r="V19" s="65"/>
      <c r="W19" s="65"/>
      <c r="X19" s="74"/>
      <c r="Y19" s="74"/>
      <c r="Z19" s="78"/>
      <c r="AA19" s="61"/>
      <c r="AC19" s="60"/>
      <c r="AF19" s="32"/>
      <c r="AG19" s="61"/>
      <c r="AJ19" s="32"/>
      <c r="AK19" s="66"/>
      <c r="AN19" s="32"/>
      <c r="AO19" s="61"/>
      <c r="AR19" s="32"/>
      <c r="AS19" s="61"/>
      <c r="AV19" s="32"/>
      <c r="AW19" s="66"/>
      <c r="AX19" s="32"/>
    </row>
    <row r="20" ht="6.75" customHeight="1">
      <c r="A20" s="64"/>
      <c r="B20" s="64"/>
      <c r="C20" s="64"/>
      <c r="D20" s="64"/>
      <c r="E20" s="64"/>
      <c r="F20" s="87"/>
      <c r="G20" s="88"/>
      <c r="H20" s="87"/>
      <c r="I20" s="87"/>
      <c r="J20" s="87"/>
      <c r="K20" s="89"/>
      <c r="L20" s="90"/>
      <c r="M20" s="91"/>
      <c r="N20" s="91"/>
      <c r="O20" s="91"/>
      <c r="P20" s="90"/>
      <c r="Q20" s="92"/>
      <c r="R20" s="93"/>
      <c r="S20" s="94"/>
      <c r="T20" s="94"/>
      <c r="U20" s="94"/>
      <c r="V20" s="94"/>
      <c r="W20" s="91"/>
      <c r="X20" s="94"/>
      <c r="Y20" s="94"/>
      <c r="Z20" s="95"/>
      <c r="AA20" s="96"/>
      <c r="AB20" s="97"/>
      <c r="AC20" s="97"/>
      <c r="AD20" s="97"/>
      <c r="AE20" s="97"/>
      <c r="AF20" s="98"/>
      <c r="AG20" s="96"/>
      <c r="AH20" s="97"/>
      <c r="AI20" s="97"/>
      <c r="AJ20" s="98"/>
      <c r="AK20" s="96"/>
      <c r="AL20" s="97"/>
      <c r="AM20" s="97"/>
      <c r="AN20" s="98"/>
      <c r="AO20" s="96"/>
      <c r="AP20" s="97"/>
      <c r="AQ20" s="97"/>
      <c r="AR20" s="98"/>
      <c r="AS20" s="96"/>
      <c r="AT20" s="97"/>
      <c r="AU20" s="97"/>
      <c r="AV20" s="98"/>
      <c r="AW20" s="96"/>
      <c r="AX20" s="98"/>
      <c r="AY20" s="97"/>
      <c r="AZ20" s="97"/>
    </row>
    <row r="21" ht="15.75" customHeight="1">
      <c r="A21" s="64"/>
      <c r="B21" s="64"/>
      <c r="C21" s="64"/>
      <c r="D21" s="64"/>
      <c r="E21" s="64"/>
      <c r="F21" s="99" t="s">
        <v>75</v>
      </c>
      <c r="G21" s="100"/>
      <c r="H21" s="101"/>
      <c r="I21" s="102" t="s">
        <v>76</v>
      </c>
      <c r="J21" s="103" t="s">
        <v>77</v>
      </c>
      <c r="K21" s="45" t="s">
        <v>78</v>
      </c>
      <c r="L21" s="73" t="s">
        <v>63</v>
      </c>
      <c r="M21" s="51">
        <v>2.0</v>
      </c>
      <c r="N21" s="51">
        <v>2.0</v>
      </c>
      <c r="O21" s="51">
        <f>M21*N21</f>
        <v>4</v>
      </c>
      <c r="P21" s="80">
        <v>0.22</v>
      </c>
      <c r="Q21" s="81">
        <f>H22*P21</f>
        <v>145076.316</v>
      </c>
      <c r="R21" s="82" t="s">
        <v>44</v>
      </c>
      <c r="S21" s="83">
        <v>0.34</v>
      </c>
      <c r="T21" s="74"/>
      <c r="U21" s="74"/>
      <c r="V21" s="83">
        <f t="shared" ref="V21:V24" si="5">189/4</f>
        <v>47.25</v>
      </c>
      <c r="W21" s="51">
        <f t="shared" ref="W21:W24" si="6">Q21/S21</f>
        <v>426695.0471</v>
      </c>
      <c r="X21" s="74"/>
      <c r="Y21" s="74"/>
      <c r="Z21" s="84">
        <f t="shared" ref="Z21:Z24" si="7">Q21/V21*1000</f>
        <v>3070398.222</v>
      </c>
      <c r="AA21" s="61"/>
      <c r="AC21" s="77">
        <v>145076.316</v>
      </c>
      <c r="AF21" s="32"/>
      <c r="AG21" s="61"/>
      <c r="AJ21" s="32"/>
      <c r="AK21" s="61"/>
      <c r="AN21" s="32"/>
      <c r="AO21" s="61"/>
      <c r="AR21" s="32"/>
      <c r="AS21" s="61"/>
      <c r="AV21" s="32"/>
      <c r="AW21" s="61"/>
      <c r="AX21" s="32"/>
      <c r="AY21" s="63">
        <f>AC21</f>
        <v>145076.316</v>
      </c>
    </row>
    <row r="22" ht="15.75" customHeight="1">
      <c r="A22" s="64"/>
      <c r="B22" s="64"/>
      <c r="C22" s="64"/>
      <c r="D22" s="64"/>
      <c r="E22" s="64"/>
      <c r="F22" s="64"/>
      <c r="G22" s="100"/>
      <c r="H22" s="104">
        <f>E13*G24</f>
        <v>659437.8</v>
      </c>
      <c r="I22" s="105" t="s">
        <v>79</v>
      </c>
      <c r="J22" s="106" t="s">
        <v>80</v>
      </c>
      <c r="K22" s="45" t="s">
        <v>81</v>
      </c>
      <c r="L22" s="82" t="s">
        <v>82</v>
      </c>
      <c r="M22" s="51" t="s">
        <v>70</v>
      </c>
      <c r="N22" s="51" t="s">
        <v>70</v>
      </c>
      <c r="O22" s="51" t="s">
        <v>70</v>
      </c>
      <c r="P22" s="80">
        <v>0.35</v>
      </c>
      <c r="Q22" s="81">
        <f>H22*P22</f>
        <v>230803.23</v>
      </c>
      <c r="R22" s="82" t="s">
        <v>44</v>
      </c>
      <c r="S22" s="83">
        <v>0.34</v>
      </c>
      <c r="T22" s="74"/>
      <c r="U22" s="74"/>
      <c r="V22" s="83">
        <f t="shared" si="5"/>
        <v>47.25</v>
      </c>
      <c r="W22" s="51">
        <f t="shared" si="6"/>
        <v>678833.0294</v>
      </c>
      <c r="X22" s="74"/>
      <c r="Y22" s="74"/>
      <c r="Z22" s="84">
        <f t="shared" si="7"/>
        <v>4884724.444</v>
      </c>
      <c r="AA22" s="61"/>
      <c r="AC22" s="107">
        <f>Q22/2</f>
        <v>115401.615</v>
      </c>
      <c r="AF22" s="32"/>
      <c r="AG22" s="79">
        <v>115401.61499999998</v>
      </c>
      <c r="AJ22" s="32"/>
      <c r="AK22" s="61"/>
      <c r="AN22" s="32"/>
      <c r="AO22" s="61"/>
      <c r="AR22" s="32"/>
      <c r="AS22" s="61"/>
      <c r="AV22" s="32"/>
      <c r="AW22" s="61"/>
      <c r="AX22" s="32"/>
      <c r="AY22" s="63">
        <f>AC22+AG22</f>
        <v>230803.23</v>
      </c>
    </row>
    <row r="23" ht="15.75" customHeight="1">
      <c r="A23" s="64"/>
      <c r="B23" s="64"/>
      <c r="C23" s="64"/>
      <c r="D23" s="64"/>
      <c r="E23" s="64"/>
      <c r="F23" s="64"/>
      <c r="G23" s="100"/>
      <c r="H23" s="108"/>
      <c r="I23" s="109"/>
      <c r="J23" s="106" t="s">
        <v>77</v>
      </c>
      <c r="K23" s="45" t="s">
        <v>83</v>
      </c>
      <c r="L23" s="73" t="s">
        <v>63</v>
      </c>
      <c r="M23" s="51">
        <v>3.0</v>
      </c>
      <c r="N23" s="51">
        <v>3.0</v>
      </c>
      <c r="O23" s="51">
        <f t="shared" ref="O23:O24" si="8">M23*N23</f>
        <v>9</v>
      </c>
      <c r="P23" s="80">
        <v>0.18</v>
      </c>
      <c r="Q23" s="81">
        <f>H22*P23</f>
        <v>118698.804</v>
      </c>
      <c r="R23" s="82" t="s">
        <v>44</v>
      </c>
      <c r="S23" s="83">
        <v>0.34</v>
      </c>
      <c r="T23" s="74"/>
      <c r="U23" s="74"/>
      <c r="V23" s="83">
        <f t="shared" si="5"/>
        <v>47.25</v>
      </c>
      <c r="W23" s="51">
        <f t="shared" si="6"/>
        <v>349114.1294</v>
      </c>
      <c r="X23" s="74"/>
      <c r="Y23" s="74"/>
      <c r="Z23" s="84">
        <f t="shared" si="7"/>
        <v>2512144</v>
      </c>
      <c r="AA23" s="61"/>
      <c r="AC23" s="60"/>
      <c r="AF23" s="32"/>
      <c r="AG23" s="61"/>
      <c r="AJ23" s="32"/>
      <c r="AK23" s="79">
        <f>Q23/3</f>
        <v>39566.268</v>
      </c>
      <c r="AN23" s="32"/>
      <c r="AO23" s="79">
        <v>39566.268</v>
      </c>
      <c r="AR23" s="32"/>
      <c r="AS23" s="79">
        <v>39566.268</v>
      </c>
      <c r="AV23" s="32"/>
      <c r="AW23" s="61"/>
      <c r="AX23" s="32"/>
      <c r="AY23" s="63">
        <f>AK23+AO23+AS23</f>
        <v>118698.804</v>
      </c>
    </row>
    <row r="24" ht="15.75" customHeight="1">
      <c r="A24" s="64"/>
      <c r="B24" s="64"/>
      <c r="C24" s="65"/>
      <c r="D24" s="65"/>
      <c r="E24" s="65"/>
      <c r="F24" s="64"/>
      <c r="G24" s="100">
        <v>0.5</v>
      </c>
      <c r="H24" s="108"/>
      <c r="I24" s="110" t="s">
        <v>53</v>
      </c>
      <c r="J24" s="111"/>
      <c r="K24" s="45" t="s">
        <v>78</v>
      </c>
      <c r="L24" s="73" t="s">
        <v>63</v>
      </c>
      <c r="M24" s="51">
        <v>2.0</v>
      </c>
      <c r="N24" s="51">
        <v>3.0</v>
      </c>
      <c r="O24" s="51">
        <f t="shared" si="8"/>
        <v>6</v>
      </c>
      <c r="P24" s="80">
        <v>0.25</v>
      </c>
      <c r="Q24" s="81">
        <f>H22*P24</f>
        <v>164859.45</v>
      </c>
      <c r="R24" s="82" t="s">
        <v>44</v>
      </c>
      <c r="S24" s="83">
        <v>0.34</v>
      </c>
      <c r="T24" s="74"/>
      <c r="U24" s="74"/>
      <c r="V24" s="83">
        <f t="shared" si="5"/>
        <v>47.25</v>
      </c>
      <c r="W24" s="51">
        <f t="shared" si="6"/>
        <v>484880.7353</v>
      </c>
      <c r="X24" s="74"/>
      <c r="Y24" s="74"/>
      <c r="Z24" s="84">
        <f t="shared" si="7"/>
        <v>3489088.889</v>
      </c>
      <c r="AA24" s="61"/>
      <c r="AC24" s="77">
        <v>164859.44999999998</v>
      </c>
      <c r="AF24" s="32"/>
      <c r="AG24" s="61"/>
      <c r="AH24" s="60"/>
      <c r="AI24" s="60"/>
      <c r="AJ24" s="62"/>
      <c r="AK24" s="61"/>
      <c r="AL24" s="60"/>
      <c r="AM24" s="60"/>
      <c r="AN24" s="62"/>
      <c r="AO24" s="61"/>
      <c r="AP24" s="60"/>
      <c r="AQ24" s="60"/>
      <c r="AR24" s="62"/>
      <c r="AS24" s="61"/>
      <c r="AT24" s="60"/>
      <c r="AU24" s="60"/>
      <c r="AV24" s="62"/>
      <c r="AW24" s="61"/>
      <c r="AX24" s="62"/>
      <c r="AY24" s="63">
        <f>AC24</f>
        <v>164859.45</v>
      </c>
    </row>
    <row r="25" ht="7.5" customHeight="1">
      <c r="A25" s="64"/>
      <c r="B25" s="64"/>
      <c r="C25" s="112"/>
      <c r="D25" s="112"/>
      <c r="E25" s="113"/>
      <c r="F25" s="114"/>
      <c r="G25" s="115"/>
      <c r="H25" s="114"/>
      <c r="I25" s="114"/>
      <c r="J25" s="114"/>
      <c r="K25" s="116"/>
      <c r="L25" s="117"/>
      <c r="M25" s="118"/>
      <c r="N25" s="118"/>
      <c r="O25" s="91"/>
      <c r="P25" s="117"/>
      <c r="Q25" s="119"/>
      <c r="R25" s="120"/>
      <c r="S25" s="121"/>
      <c r="T25" s="121"/>
      <c r="U25" s="121"/>
      <c r="V25" s="121"/>
      <c r="W25" s="118"/>
      <c r="X25" s="121"/>
      <c r="Y25" s="121"/>
      <c r="Z25" s="122"/>
      <c r="AA25" s="123"/>
      <c r="AB25" s="124"/>
      <c r="AC25" s="124"/>
      <c r="AD25" s="124"/>
      <c r="AE25" s="124"/>
      <c r="AF25" s="125"/>
      <c r="AG25" s="123"/>
      <c r="AH25" s="124"/>
      <c r="AI25" s="124"/>
      <c r="AJ25" s="125"/>
      <c r="AK25" s="123"/>
      <c r="AL25" s="124"/>
      <c r="AM25" s="124"/>
      <c r="AN25" s="125"/>
      <c r="AO25" s="123"/>
      <c r="AP25" s="124"/>
      <c r="AQ25" s="124"/>
      <c r="AR25" s="125"/>
      <c r="AS25" s="123"/>
      <c r="AT25" s="124"/>
      <c r="AU25" s="124"/>
      <c r="AV25" s="125"/>
      <c r="AW25" s="123"/>
      <c r="AX25" s="125"/>
      <c r="AY25" s="124"/>
      <c r="AZ25" s="124"/>
    </row>
    <row r="26" ht="15.75" customHeight="1">
      <c r="A26" s="64"/>
      <c r="B26" s="64"/>
      <c r="C26" s="69" t="s">
        <v>84</v>
      </c>
      <c r="D26" s="70">
        <v>0.4</v>
      </c>
      <c r="E26" s="71">
        <f>B5*D26</f>
        <v>879250.4</v>
      </c>
      <c r="F26" s="46" t="s">
        <v>85</v>
      </c>
      <c r="G26" s="72">
        <v>0.46</v>
      </c>
      <c r="H26" s="48">
        <f>E26*G26</f>
        <v>404455.184</v>
      </c>
      <c r="I26" s="46" t="s">
        <v>53</v>
      </c>
      <c r="J26" s="126" t="s">
        <v>86</v>
      </c>
      <c r="K26" s="45" t="s">
        <v>87</v>
      </c>
      <c r="L26" s="73" t="s">
        <v>56</v>
      </c>
      <c r="M26" s="51">
        <v>1.0</v>
      </c>
      <c r="N26" s="51">
        <v>1.0</v>
      </c>
      <c r="O26" s="51">
        <f t="shared" ref="O26:O30" si="9">M26*N26</f>
        <v>1</v>
      </c>
      <c r="P26" s="80">
        <v>0.05</v>
      </c>
      <c r="Q26" s="81">
        <f>H26*P26</f>
        <v>20222.7592</v>
      </c>
      <c r="R26" s="127" t="s">
        <v>88</v>
      </c>
      <c r="S26" s="74"/>
      <c r="T26" s="74"/>
      <c r="U26" s="74"/>
      <c r="V26" s="83">
        <v>2.5</v>
      </c>
      <c r="W26" s="74"/>
      <c r="X26" s="74"/>
      <c r="Y26" s="74"/>
      <c r="Z26" s="84">
        <f t="shared" ref="Z26:Z27" si="10">Q26/V26*1000</f>
        <v>8089103.68</v>
      </c>
      <c r="AA26" s="59">
        <f>Q26</f>
        <v>20222.7592</v>
      </c>
      <c r="AC26" s="77"/>
      <c r="AD26" s="77"/>
      <c r="AE26" s="77"/>
      <c r="AF26" s="128"/>
      <c r="AG26" s="61"/>
      <c r="AH26" s="60"/>
      <c r="AI26" s="60"/>
      <c r="AJ26" s="62"/>
      <c r="AK26" s="61"/>
      <c r="AL26" s="60"/>
      <c r="AM26" s="60"/>
      <c r="AN26" s="62"/>
      <c r="AO26" s="61"/>
      <c r="AP26" s="60"/>
      <c r="AQ26" s="60"/>
      <c r="AR26" s="62"/>
      <c r="AS26" s="61"/>
      <c r="AT26" s="60"/>
      <c r="AU26" s="60"/>
      <c r="AV26" s="62"/>
      <c r="AW26" s="61"/>
      <c r="AX26" s="62"/>
      <c r="AY26" s="63">
        <f>AA26</f>
        <v>20222.7592</v>
      </c>
      <c r="AZ26" s="60"/>
    </row>
    <row r="27" ht="15.75" customHeight="1">
      <c r="A27" s="64"/>
      <c r="B27" s="64"/>
      <c r="C27" s="64"/>
      <c r="D27" s="64"/>
      <c r="E27" s="64"/>
      <c r="F27" s="64"/>
      <c r="G27" s="64"/>
      <c r="H27" s="64"/>
      <c r="I27" s="64"/>
      <c r="J27" s="46" t="s">
        <v>89</v>
      </c>
      <c r="K27" s="45" t="s">
        <v>90</v>
      </c>
      <c r="L27" s="73" t="s">
        <v>63</v>
      </c>
      <c r="M27" s="51">
        <v>1.0</v>
      </c>
      <c r="N27" s="51">
        <v>2.0</v>
      </c>
      <c r="O27" s="51">
        <f t="shared" si="9"/>
        <v>2</v>
      </c>
      <c r="P27" s="52">
        <v>0.35</v>
      </c>
      <c r="Q27" s="53">
        <f>H26*P27</f>
        <v>141559.3144</v>
      </c>
      <c r="R27" s="129" t="s">
        <v>91</v>
      </c>
      <c r="S27" s="57">
        <v>0.5</v>
      </c>
      <c r="T27" s="74"/>
      <c r="U27" s="74"/>
      <c r="V27" s="57">
        <v>2.5</v>
      </c>
      <c r="W27" s="75">
        <f>Q27/S27</f>
        <v>283118.6288</v>
      </c>
      <c r="X27" s="74"/>
      <c r="Y27" s="74"/>
      <c r="Z27" s="76">
        <f t="shared" si="10"/>
        <v>56623725.76</v>
      </c>
      <c r="AA27" s="61"/>
      <c r="AC27" s="77">
        <f>Q27</f>
        <v>141559.3144</v>
      </c>
      <c r="AF27" s="32"/>
      <c r="AG27" s="61"/>
      <c r="AH27" s="60"/>
      <c r="AI27" s="60"/>
      <c r="AJ27" s="62"/>
      <c r="AK27" s="61"/>
      <c r="AL27" s="60"/>
      <c r="AM27" s="60"/>
      <c r="AN27" s="62"/>
      <c r="AO27" s="61"/>
      <c r="AP27" s="60"/>
      <c r="AQ27" s="60"/>
      <c r="AR27" s="62"/>
      <c r="AS27" s="61"/>
      <c r="AT27" s="60"/>
      <c r="AU27" s="60"/>
      <c r="AV27" s="62"/>
      <c r="AW27" s="61"/>
      <c r="AX27" s="62"/>
      <c r="AY27" s="63">
        <f>AC27</f>
        <v>141559.3144</v>
      </c>
    </row>
    <row r="28" ht="15.75" customHeight="1">
      <c r="A28" s="64"/>
      <c r="B28" s="64"/>
      <c r="C28" s="64"/>
      <c r="D28" s="64"/>
      <c r="E28" s="64"/>
      <c r="F28" s="64"/>
      <c r="G28" s="64"/>
      <c r="H28" s="64"/>
      <c r="I28" s="65"/>
      <c r="J28" s="64"/>
      <c r="K28" s="45" t="s">
        <v>92</v>
      </c>
      <c r="L28" s="73" t="s">
        <v>63</v>
      </c>
      <c r="M28" s="51">
        <v>1.0</v>
      </c>
      <c r="N28" s="51">
        <v>2.0</v>
      </c>
      <c r="O28" s="51">
        <f t="shared" si="9"/>
        <v>2</v>
      </c>
      <c r="P28" s="65"/>
      <c r="Q28" s="65"/>
      <c r="R28" s="65"/>
      <c r="S28" s="65"/>
      <c r="T28" s="74"/>
      <c r="U28" s="74"/>
      <c r="V28" s="65"/>
      <c r="W28" s="65"/>
      <c r="X28" s="74"/>
      <c r="Y28" s="74"/>
      <c r="Z28" s="78"/>
      <c r="AA28" s="66"/>
      <c r="AF28" s="32"/>
      <c r="AG28" s="61"/>
      <c r="AH28" s="60"/>
      <c r="AI28" s="60"/>
      <c r="AJ28" s="62"/>
      <c r="AK28" s="61"/>
      <c r="AL28" s="60"/>
      <c r="AM28" s="60"/>
      <c r="AN28" s="62"/>
      <c r="AO28" s="61"/>
      <c r="AP28" s="60"/>
      <c r="AQ28" s="60"/>
      <c r="AR28" s="62"/>
      <c r="AS28" s="61"/>
      <c r="AT28" s="60"/>
      <c r="AU28" s="60"/>
      <c r="AV28" s="62"/>
      <c r="AW28" s="61"/>
      <c r="AX28" s="62"/>
    </row>
    <row r="29" ht="15.75" customHeight="1">
      <c r="A29" s="64"/>
      <c r="B29" s="64"/>
      <c r="C29" s="64"/>
      <c r="D29" s="64"/>
      <c r="E29" s="64"/>
      <c r="F29" s="64"/>
      <c r="G29" s="64"/>
      <c r="H29" s="64"/>
      <c r="I29" s="46" t="s">
        <v>65</v>
      </c>
      <c r="J29" s="64"/>
      <c r="K29" s="45" t="s">
        <v>93</v>
      </c>
      <c r="L29" s="73" t="s">
        <v>63</v>
      </c>
      <c r="M29" s="51">
        <v>1.0</v>
      </c>
      <c r="N29" s="51">
        <v>4.0</v>
      </c>
      <c r="O29" s="51">
        <f t="shared" si="9"/>
        <v>4</v>
      </c>
      <c r="P29" s="52">
        <v>0.3</v>
      </c>
      <c r="Q29" s="53">
        <f>H26*P29</f>
        <v>121336.5552</v>
      </c>
      <c r="R29" s="129" t="s">
        <v>94</v>
      </c>
      <c r="S29" s="57">
        <v>0.5</v>
      </c>
      <c r="T29" s="74"/>
      <c r="U29" s="74"/>
      <c r="V29" s="57">
        <v>2.5</v>
      </c>
      <c r="W29" s="75">
        <f>Q29/S29</f>
        <v>242673.1104</v>
      </c>
      <c r="X29" s="74"/>
      <c r="Y29" s="74"/>
      <c r="Z29" s="76">
        <f>Q29/V29*1000</f>
        <v>48534622.08</v>
      </c>
      <c r="AA29" s="61"/>
      <c r="AB29" s="60"/>
      <c r="AC29" s="60"/>
      <c r="AD29" s="60"/>
      <c r="AE29" s="60"/>
      <c r="AF29" s="62"/>
      <c r="AG29" s="79">
        <f>Q29/4</f>
        <v>30334.1388</v>
      </c>
      <c r="AJ29" s="32"/>
      <c r="AK29" s="79">
        <v>30334.1388</v>
      </c>
      <c r="AN29" s="32"/>
      <c r="AO29" s="79">
        <v>30334.1388</v>
      </c>
      <c r="AR29" s="32"/>
      <c r="AS29" s="79">
        <v>30334.1388</v>
      </c>
      <c r="AV29" s="32"/>
      <c r="AW29" s="61"/>
      <c r="AX29" s="62"/>
      <c r="AY29" s="63">
        <f>AG29+AK29+AO29+AS29</f>
        <v>121336.5552</v>
      </c>
    </row>
    <row r="30" ht="15.75" customHeight="1">
      <c r="A30" s="64"/>
      <c r="B30" s="64"/>
      <c r="C30" s="64"/>
      <c r="D30" s="64"/>
      <c r="E30" s="64"/>
      <c r="F30" s="64"/>
      <c r="G30" s="64"/>
      <c r="H30" s="64"/>
      <c r="I30" s="64"/>
      <c r="J30" s="64"/>
      <c r="K30" s="45" t="s">
        <v>95</v>
      </c>
      <c r="L30" s="73" t="s">
        <v>63</v>
      </c>
      <c r="M30" s="51">
        <v>1.0</v>
      </c>
      <c r="N30" s="51">
        <v>4.0</v>
      </c>
      <c r="O30" s="51">
        <f t="shared" si="9"/>
        <v>4</v>
      </c>
      <c r="P30" s="65"/>
      <c r="Q30" s="65"/>
      <c r="R30" s="65"/>
      <c r="S30" s="65"/>
      <c r="T30" s="74"/>
      <c r="U30" s="74"/>
      <c r="V30" s="65"/>
      <c r="W30" s="65"/>
      <c r="X30" s="74"/>
      <c r="Y30" s="74"/>
      <c r="Z30" s="78"/>
      <c r="AA30" s="61"/>
      <c r="AB30" s="60"/>
      <c r="AC30" s="60"/>
      <c r="AD30" s="60"/>
      <c r="AE30" s="60"/>
      <c r="AF30" s="62"/>
      <c r="AG30" s="66"/>
      <c r="AJ30" s="32"/>
      <c r="AK30" s="66"/>
      <c r="AN30" s="32"/>
      <c r="AO30" s="66"/>
      <c r="AR30" s="32"/>
      <c r="AS30" s="66"/>
      <c r="AV30" s="32"/>
      <c r="AW30" s="61"/>
      <c r="AX30" s="62"/>
    </row>
    <row r="31" ht="15.75" customHeight="1">
      <c r="A31" s="64"/>
      <c r="B31" s="64"/>
      <c r="C31" s="64"/>
      <c r="D31" s="64"/>
      <c r="E31" s="64"/>
      <c r="F31" s="64"/>
      <c r="G31" s="65"/>
      <c r="H31" s="65"/>
      <c r="I31" s="65"/>
      <c r="J31" s="64"/>
      <c r="K31" s="45" t="s">
        <v>68</v>
      </c>
      <c r="L31" s="73" t="s">
        <v>69</v>
      </c>
      <c r="M31" s="51" t="s">
        <v>70</v>
      </c>
      <c r="N31" s="51" t="s">
        <v>70</v>
      </c>
      <c r="O31" s="51" t="s">
        <v>70</v>
      </c>
      <c r="P31" s="80">
        <v>0.3</v>
      </c>
      <c r="Q31" s="81">
        <f>H26*P31</f>
        <v>121336.5552</v>
      </c>
      <c r="R31" s="127" t="s">
        <v>96</v>
      </c>
      <c r="S31" s="83">
        <v>0.5</v>
      </c>
      <c r="T31" s="74"/>
      <c r="U31" s="74"/>
      <c r="V31" s="83">
        <v>2.5</v>
      </c>
      <c r="W31" s="51">
        <f>Q31/S31</f>
        <v>242673.1104</v>
      </c>
      <c r="X31" s="74"/>
      <c r="Y31" s="74"/>
      <c r="Z31" s="84">
        <f>Q31/V31*1000</f>
        <v>48534622.08</v>
      </c>
      <c r="AA31" s="61"/>
      <c r="AB31" s="60"/>
      <c r="AC31" s="60"/>
      <c r="AD31" s="60"/>
      <c r="AE31" s="60"/>
      <c r="AF31" s="62"/>
      <c r="AG31" s="61"/>
      <c r="AH31" s="60"/>
      <c r="AI31" s="60"/>
      <c r="AJ31" s="62"/>
      <c r="AK31" s="85">
        <f>Q31/3</f>
        <v>40445.5184</v>
      </c>
      <c r="AN31" s="32"/>
      <c r="AO31" s="85">
        <v>40445.5184</v>
      </c>
      <c r="AR31" s="32"/>
      <c r="AS31" s="85">
        <v>40445.5184</v>
      </c>
      <c r="AV31" s="32"/>
      <c r="AW31" s="61"/>
      <c r="AX31" s="62"/>
      <c r="AY31" s="63">
        <f>AK31+AO31+AS31</f>
        <v>121336.5552</v>
      </c>
    </row>
    <row r="32" ht="15.75" customHeight="1">
      <c r="A32" s="64"/>
      <c r="B32" s="64"/>
      <c r="C32" s="64"/>
      <c r="D32" s="64"/>
      <c r="E32" s="64"/>
      <c r="F32" s="102" t="s">
        <v>97</v>
      </c>
      <c r="G32" s="130">
        <v>0.2</v>
      </c>
      <c r="H32" s="131">
        <f>E26*G32</f>
        <v>175850.08</v>
      </c>
      <c r="I32" s="132" t="s">
        <v>98</v>
      </c>
      <c r="J32" s="43" t="s">
        <v>99</v>
      </c>
      <c r="K32" s="45" t="s">
        <v>100</v>
      </c>
      <c r="L32" s="82" t="s">
        <v>101</v>
      </c>
      <c r="M32" s="51">
        <v>1.0</v>
      </c>
      <c r="N32" s="51">
        <v>5.0</v>
      </c>
      <c r="O32" s="51">
        <f t="shared" ref="O32:O33" si="11">M32*N32</f>
        <v>5</v>
      </c>
      <c r="P32" s="80">
        <v>1.0</v>
      </c>
      <c r="Q32" s="81">
        <f t="shared" ref="Q32:Q33" si="12">H32*P32</f>
        <v>175850.08</v>
      </c>
      <c r="R32" s="82" t="s">
        <v>102</v>
      </c>
      <c r="S32" s="74"/>
      <c r="T32" s="74"/>
      <c r="U32" s="83">
        <v>1.2</v>
      </c>
      <c r="V32" s="74"/>
      <c r="W32" s="133"/>
      <c r="X32" s="74"/>
      <c r="Y32" s="51">
        <f t="shared" ref="Y32:Y33" si="13">Q32/U32</f>
        <v>146541.7333</v>
      </c>
      <c r="Z32" s="74"/>
      <c r="AA32" s="61"/>
      <c r="AC32" s="134">
        <f>Q32/5</f>
        <v>35170.016</v>
      </c>
      <c r="AF32" s="32"/>
      <c r="AG32" s="135">
        <v>35170.016</v>
      </c>
      <c r="AJ32" s="32"/>
      <c r="AK32" s="135">
        <v>35170.016</v>
      </c>
      <c r="AN32" s="32"/>
      <c r="AO32" s="135">
        <v>35170.016</v>
      </c>
      <c r="AR32" s="32"/>
      <c r="AS32" s="135">
        <v>35170.016</v>
      </c>
      <c r="AV32" s="32"/>
      <c r="AW32" s="61"/>
      <c r="AX32" s="62"/>
      <c r="AY32" s="63">
        <f>AC32+AG32+AK32+AO32+AS32</f>
        <v>175850.08</v>
      </c>
    </row>
    <row r="33" ht="15.75" customHeight="1">
      <c r="A33" s="64"/>
      <c r="B33" s="64"/>
      <c r="C33" s="64"/>
      <c r="D33" s="64"/>
      <c r="E33" s="64"/>
      <c r="F33" s="43" t="s">
        <v>103</v>
      </c>
      <c r="G33" s="136">
        <v>0.08</v>
      </c>
      <c r="H33" s="131">
        <f>E26*G33</f>
        <v>70340.032</v>
      </c>
      <c r="I33" s="132" t="s">
        <v>98</v>
      </c>
      <c r="J33" s="45" t="s">
        <v>104</v>
      </c>
      <c r="K33" s="45" t="s">
        <v>104</v>
      </c>
      <c r="L33" s="82" t="s">
        <v>101</v>
      </c>
      <c r="M33" s="51">
        <v>1.0</v>
      </c>
      <c r="N33" s="51">
        <v>5.0</v>
      </c>
      <c r="O33" s="51">
        <f t="shared" si="11"/>
        <v>5</v>
      </c>
      <c r="P33" s="80">
        <v>1.0</v>
      </c>
      <c r="Q33" s="81">
        <f t="shared" si="12"/>
        <v>70340.032</v>
      </c>
      <c r="R33" s="82" t="s">
        <v>102</v>
      </c>
      <c r="S33" s="74"/>
      <c r="T33" s="74"/>
      <c r="U33" s="83">
        <v>0.45</v>
      </c>
      <c r="V33" s="74"/>
      <c r="W33" s="133"/>
      <c r="X33" s="74"/>
      <c r="Y33" s="51">
        <f t="shared" si="13"/>
        <v>156311.1822</v>
      </c>
      <c r="Z33" s="74"/>
      <c r="AA33" s="61"/>
      <c r="AB33" s="60"/>
      <c r="AC33" s="134">
        <f>Q33/3</f>
        <v>23446.67733</v>
      </c>
      <c r="AF33" s="32"/>
      <c r="AG33" s="135">
        <v>23446.677333333337</v>
      </c>
      <c r="AJ33" s="32"/>
      <c r="AK33" s="135">
        <v>23446.677333333337</v>
      </c>
      <c r="AN33" s="32"/>
      <c r="AO33" s="61"/>
      <c r="AP33" s="60"/>
      <c r="AQ33" s="60"/>
      <c r="AR33" s="62"/>
      <c r="AS33" s="61"/>
      <c r="AT33" s="60"/>
      <c r="AU33" s="60"/>
      <c r="AV33" s="62"/>
      <c r="AW33" s="61"/>
      <c r="AX33" s="62"/>
      <c r="AY33" s="63">
        <f>AG33+AK33+AC33</f>
        <v>70340.032</v>
      </c>
      <c r="AZ33" s="60"/>
    </row>
    <row r="34" ht="10.5" customHeight="1">
      <c r="A34" s="64"/>
      <c r="B34" s="64"/>
      <c r="C34" s="64"/>
      <c r="D34" s="64"/>
      <c r="E34" s="64"/>
      <c r="F34" s="89"/>
      <c r="G34" s="137"/>
      <c r="H34" s="138"/>
      <c r="I34" s="89"/>
      <c r="J34" s="89"/>
      <c r="K34" s="89"/>
      <c r="L34" s="93"/>
      <c r="M34" s="91"/>
      <c r="N34" s="91"/>
      <c r="O34" s="91"/>
      <c r="P34" s="90"/>
      <c r="Q34" s="92"/>
      <c r="R34" s="93"/>
      <c r="S34" s="94"/>
      <c r="T34" s="94"/>
      <c r="U34" s="94"/>
      <c r="V34" s="94"/>
      <c r="W34" s="91"/>
      <c r="X34" s="94"/>
      <c r="Y34" s="94"/>
      <c r="Z34" s="95"/>
      <c r="AA34" s="96"/>
      <c r="AB34" s="97"/>
      <c r="AC34" s="97"/>
      <c r="AD34" s="97"/>
      <c r="AE34" s="97"/>
      <c r="AF34" s="98"/>
      <c r="AG34" s="96"/>
      <c r="AH34" s="97"/>
      <c r="AI34" s="97"/>
      <c r="AJ34" s="98"/>
      <c r="AK34" s="96"/>
      <c r="AL34" s="97"/>
      <c r="AM34" s="97"/>
      <c r="AN34" s="98"/>
      <c r="AO34" s="96"/>
      <c r="AP34" s="97"/>
      <c r="AQ34" s="97"/>
      <c r="AR34" s="98"/>
      <c r="AS34" s="96"/>
      <c r="AT34" s="97"/>
      <c r="AU34" s="97"/>
      <c r="AV34" s="98"/>
      <c r="AW34" s="96"/>
      <c r="AX34" s="98"/>
      <c r="AY34" s="97"/>
      <c r="AZ34" s="97"/>
    </row>
    <row r="35" ht="15.75" customHeight="1">
      <c r="A35" s="64"/>
      <c r="B35" s="64"/>
      <c r="C35" s="64"/>
      <c r="D35" s="64"/>
      <c r="E35" s="64"/>
      <c r="F35" s="46" t="s">
        <v>105</v>
      </c>
      <c r="G35" s="72">
        <v>0.06</v>
      </c>
      <c r="H35" s="48">
        <f>E26*G35</f>
        <v>52755.024</v>
      </c>
      <c r="I35" s="46" t="s">
        <v>71</v>
      </c>
      <c r="J35" s="46" t="s">
        <v>106</v>
      </c>
      <c r="K35" s="45" t="s">
        <v>107</v>
      </c>
      <c r="L35" s="82" t="s">
        <v>108</v>
      </c>
      <c r="M35" s="51">
        <v>2.0</v>
      </c>
      <c r="N35" s="51">
        <v>3.0</v>
      </c>
      <c r="O35" s="51">
        <f t="shared" ref="O35:O37" si="14">M35*N35</f>
        <v>6</v>
      </c>
      <c r="P35" s="52">
        <v>1.0</v>
      </c>
      <c r="Q35" s="53">
        <f>H35*P35</f>
        <v>52755.024</v>
      </c>
      <c r="R35" s="54" t="s">
        <v>59</v>
      </c>
      <c r="S35" s="74"/>
      <c r="T35" s="74"/>
      <c r="U35" s="74"/>
      <c r="V35" s="57">
        <f>45/18.77</f>
        <v>2.397442728</v>
      </c>
      <c r="W35" s="133"/>
      <c r="X35" s="74"/>
      <c r="Y35" s="74"/>
      <c r="Z35" s="76">
        <f>Q35/V35*1000</f>
        <v>22004706.68</v>
      </c>
      <c r="AA35" s="61"/>
      <c r="AC35" s="60"/>
      <c r="AF35" s="32"/>
      <c r="AG35" s="61"/>
      <c r="AJ35" s="32"/>
      <c r="AK35" s="139">
        <f>Q35/2</f>
        <v>26377.512</v>
      </c>
      <c r="AN35" s="32"/>
      <c r="AO35" s="61"/>
      <c r="AR35" s="32"/>
      <c r="AS35" s="61"/>
      <c r="AV35" s="32"/>
      <c r="AW35" s="139">
        <f>Q35/2</f>
        <v>26377.512</v>
      </c>
      <c r="AX35" s="32"/>
      <c r="AY35" s="63">
        <f>AK35+AW35</f>
        <v>52755.024</v>
      </c>
    </row>
    <row r="36" ht="15.75" customHeight="1">
      <c r="A36" s="64"/>
      <c r="B36" s="64"/>
      <c r="C36" s="64"/>
      <c r="D36" s="64"/>
      <c r="E36" s="64"/>
      <c r="F36" s="64"/>
      <c r="G36" s="64"/>
      <c r="H36" s="64"/>
      <c r="I36" s="64"/>
      <c r="J36" s="64"/>
      <c r="K36" s="45" t="s">
        <v>107</v>
      </c>
      <c r="L36" s="82" t="s">
        <v>108</v>
      </c>
      <c r="M36" s="51">
        <v>2.0</v>
      </c>
      <c r="N36" s="51">
        <v>3.0</v>
      </c>
      <c r="O36" s="51">
        <f t="shared" si="14"/>
        <v>6</v>
      </c>
      <c r="P36" s="64"/>
      <c r="Q36" s="64"/>
      <c r="R36" s="64"/>
      <c r="S36" s="74"/>
      <c r="T36" s="74"/>
      <c r="U36" s="74"/>
      <c r="V36" s="64"/>
      <c r="W36" s="133"/>
      <c r="X36" s="74"/>
      <c r="Y36" s="74"/>
      <c r="Z36" s="108"/>
      <c r="AA36" s="61"/>
      <c r="AC36" s="60"/>
      <c r="AF36" s="32"/>
      <c r="AG36" s="61"/>
      <c r="AJ36" s="32"/>
      <c r="AK36" s="66"/>
      <c r="AN36" s="32"/>
      <c r="AO36" s="61"/>
      <c r="AR36" s="32"/>
      <c r="AS36" s="61"/>
      <c r="AV36" s="32"/>
      <c r="AW36" s="66"/>
      <c r="AX36" s="32"/>
    </row>
    <row r="37" ht="15.75" customHeight="1">
      <c r="A37" s="64"/>
      <c r="B37" s="64"/>
      <c r="C37" s="64"/>
      <c r="D37" s="64"/>
      <c r="E37" s="64"/>
      <c r="F37" s="65"/>
      <c r="G37" s="65"/>
      <c r="H37" s="65"/>
      <c r="I37" s="65"/>
      <c r="J37" s="65"/>
      <c r="K37" s="45" t="s">
        <v>109</v>
      </c>
      <c r="L37" s="82" t="s">
        <v>108</v>
      </c>
      <c r="M37" s="51">
        <v>2.0</v>
      </c>
      <c r="N37" s="51">
        <v>3.0</v>
      </c>
      <c r="O37" s="51">
        <f t="shared" si="14"/>
        <v>6</v>
      </c>
      <c r="P37" s="65"/>
      <c r="Q37" s="65"/>
      <c r="R37" s="65"/>
      <c r="S37" s="74"/>
      <c r="T37" s="74"/>
      <c r="U37" s="74"/>
      <c r="V37" s="65"/>
      <c r="W37" s="133"/>
      <c r="X37" s="74"/>
      <c r="Y37" s="74"/>
      <c r="Z37" s="78"/>
      <c r="AA37" s="140"/>
      <c r="AB37" s="141"/>
      <c r="AC37" s="142"/>
      <c r="AD37" s="141"/>
      <c r="AE37" s="141"/>
      <c r="AF37" s="143"/>
      <c r="AG37" s="61"/>
      <c r="AJ37" s="32"/>
      <c r="AK37" s="66"/>
      <c r="AN37" s="32"/>
      <c r="AO37" s="61"/>
      <c r="AR37" s="32"/>
      <c r="AS37" s="61"/>
      <c r="AV37" s="32"/>
      <c r="AW37" s="66"/>
      <c r="AX37" s="32"/>
    </row>
    <row r="38" ht="12.0" customHeight="1">
      <c r="A38" s="64"/>
      <c r="B38" s="64"/>
      <c r="C38" s="64"/>
      <c r="D38" s="64"/>
      <c r="E38" s="64"/>
      <c r="F38" s="89"/>
      <c r="G38" s="137"/>
      <c r="H38" s="138"/>
      <c r="I38" s="144"/>
      <c r="J38" s="89"/>
      <c r="K38" s="89"/>
      <c r="L38" s="93"/>
      <c r="M38" s="91"/>
      <c r="N38" s="91"/>
      <c r="O38" s="91"/>
      <c r="P38" s="90"/>
      <c r="Q38" s="92"/>
      <c r="R38" s="93"/>
      <c r="S38" s="94"/>
      <c r="T38" s="94"/>
      <c r="U38" s="94"/>
      <c r="V38" s="94"/>
      <c r="W38" s="91"/>
      <c r="X38" s="94"/>
      <c r="Y38" s="91"/>
      <c r="Z38" s="91"/>
      <c r="AA38" s="97"/>
      <c r="AB38" s="97"/>
      <c r="AC38" s="97"/>
      <c r="AD38" s="97"/>
      <c r="AE38" s="97"/>
      <c r="AF38" s="97"/>
      <c r="AG38" s="96"/>
      <c r="AH38" s="97"/>
      <c r="AI38" s="97"/>
      <c r="AJ38" s="98"/>
      <c r="AK38" s="96"/>
      <c r="AL38" s="97"/>
      <c r="AM38" s="97"/>
      <c r="AN38" s="98"/>
      <c r="AO38" s="96"/>
      <c r="AP38" s="97"/>
      <c r="AQ38" s="97"/>
      <c r="AR38" s="98"/>
      <c r="AS38" s="96"/>
      <c r="AT38" s="97"/>
      <c r="AU38" s="97"/>
      <c r="AV38" s="98"/>
      <c r="AW38" s="96"/>
      <c r="AX38" s="98"/>
      <c r="AY38" s="97"/>
      <c r="AZ38" s="97"/>
    </row>
    <row r="39" ht="15.75" customHeight="1">
      <c r="A39" s="65"/>
      <c r="B39" s="65"/>
      <c r="C39" s="65"/>
      <c r="D39" s="65"/>
      <c r="E39" s="65"/>
      <c r="F39" s="45" t="s">
        <v>110</v>
      </c>
      <c r="G39" s="136">
        <v>0.2</v>
      </c>
      <c r="H39" s="131">
        <f>E26*G39</f>
        <v>175850.08</v>
      </c>
      <c r="I39" s="102" t="s">
        <v>76</v>
      </c>
      <c r="J39" s="45" t="s">
        <v>111</v>
      </c>
      <c r="K39" s="45" t="s">
        <v>112</v>
      </c>
      <c r="L39" s="82" t="s">
        <v>113</v>
      </c>
      <c r="M39" s="51">
        <v>2.0</v>
      </c>
      <c r="N39" s="51">
        <v>2.0</v>
      </c>
      <c r="O39" s="51">
        <f>M39*N39</f>
        <v>4</v>
      </c>
      <c r="P39" s="80">
        <v>1.0</v>
      </c>
      <c r="Q39" s="81">
        <f>H39*P39</f>
        <v>175850.08</v>
      </c>
      <c r="R39" s="82" t="s">
        <v>114</v>
      </c>
      <c r="S39" s="74"/>
      <c r="T39" s="74"/>
      <c r="U39" s="74"/>
      <c r="V39" s="83">
        <v>4.85</v>
      </c>
      <c r="W39" s="133"/>
      <c r="X39" s="74"/>
      <c r="Y39" s="74"/>
      <c r="Z39" s="51">
        <f>Q39/V39*1000</f>
        <v>36257748.45</v>
      </c>
      <c r="AA39" s="77">
        <f>Q39</f>
        <v>175850.08</v>
      </c>
      <c r="AG39" s="140"/>
      <c r="AH39" s="141"/>
      <c r="AI39" s="141"/>
      <c r="AJ39" s="143"/>
      <c r="AK39" s="140"/>
      <c r="AL39" s="141"/>
      <c r="AM39" s="141"/>
      <c r="AN39" s="143"/>
      <c r="AO39" s="140"/>
      <c r="AP39" s="141"/>
      <c r="AQ39" s="141"/>
      <c r="AR39" s="143"/>
      <c r="AS39" s="140"/>
      <c r="AT39" s="141"/>
      <c r="AU39" s="141"/>
      <c r="AV39" s="143"/>
      <c r="AW39" s="140"/>
      <c r="AX39" s="143"/>
      <c r="AY39" s="63">
        <f>AA39</f>
        <v>175850.08</v>
      </c>
    </row>
    <row r="40" ht="15.75" customHeight="1">
      <c r="A40" s="145" t="s">
        <v>115</v>
      </c>
      <c r="B40" s="145"/>
      <c r="C40" s="145"/>
      <c r="D40" s="145"/>
      <c r="E40" s="146">
        <f>SUM(E13:E39)</f>
        <v>2198126</v>
      </c>
      <c r="F40" s="145"/>
      <c r="G40" s="145"/>
      <c r="H40" s="145"/>
      <c r="I40" s="145"/>
      <c r="J40" s="145"/>
      <c r="K40" s="145"/>
      <c r="L40" s="147"/>
      <c r="M40" s="147"/>
      <c r="N40" s="147"/>
      <c r="O40" s="148">
        <f>O13+O14+O15+O16+O18+O19+O21+O23+O24+O27+O28+O29+O30+O32+O35+O36+O37+O39</f>
        <v>74</v>
      </c>
      <c r="P40" s="147"/>
      <c r="Q40" s="149">
        <f>SUM(Q13:Q39)+Q11</f>
        <v>2198126</v>
      </c>
      <c r="R40" s="147"/>
      <c r="S40" s="150"/>
      <c r="T40" s="150"/>
      <c r="U40" s="150"/>
      <c r="V40" s="150"/>
      <c r="W40" s="151">
        <f>W13+W15+W17+W18+W27+W29+W31</f>
        <v>2856684.55</v>
      </c>
      <c r="X40" s="152"/>
      <c r="Y40" s="151">
        <f>Y32+Y33</f>
        <v>302852.9156</v>
      </c>
      <c r="Z40" s="151">
        <f>Z13+Z15+Z17+Z18+Z21+Z22+Z23+Z24+Z27+Z29+Z31+Z35+Z39+Z26+Z11</f>
        <v>363329026.8</v>
      </c>
      <c r="AA40" s="149">
        <f>AA11+AC13+AC21+AC22+AC24+AA26+AC27+AC32+AA39</f>
        <v>1061914.671</v>
      </c>
      <c r="AG40" s="149">
        <f>AG15+AG22+AG29+AG32+AG33</f>
        <v>237324.3371</v>
      </c>
      <c r="AK40" s="149">
        <f>AK15+AK17+AK18+AK23+AK29+AK31+AK32+AK35+AK33</f>
        <v>329425.8165</v>
      </c>
      <c r="AO40" s="149">
        <f>AO15+AO17+AO23+AO29+AO31+AO32</f>
        <v>240035.3592</v>
      </c>
      <c r="AS40" s="149">
        <f>AS15+AS22+AS29+AS32+AS17+AS23+AS31</f>
        <v>240035.3592</v>
      </c>
      <c r="AW40" s="149">
        <f>AW18+AW35</f>
        <v>65943.78</v>
      </c>
      <c r="AY40" s="149">
        <f>AY11+AY13+AY15+AY17+AY18+AY21+AY22+AY23+AY24+AY26+AY27+AY29+AY31+AY32+AY33+AY35+AY39</f>
        <v>2198126</v>
      </c>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row>
    <row r="42" ht="15.75" customHeight="1">
      <c r="A42" s="3"/>
      <c r="B42" s="3"/>
      <c r="C42" s="3"/>
      <c r="D42" s="3"/>
      <c r="E42" s="3"/>
      <c r="F42" s="3"/>
      <c r="G42" s="3"/>
      <c r="H42" s="3"/>
      <c r="I42" s="3"/>
      <c r="J42" s="3"/>
      <c r="K42" s="3"/>
      <c r="L42" s="3"/>
      <c r="M42" s="3"/>
      <c r="N42" s="3"/>
      <c r="O42" s="3"/>
      <c r="P42" s="3"/>
      <c r="Q42" s="3"/>
      <c r="R42" s="3"/>
      <c r="S42" s="3"/>
      <c r="T42" s="3"/>
      <c r="U42" s="3"/>
      <c r="V42" s="3"/>
      <c r="W42" s="15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154">
        <f>AA40+AG40+AK40+AO40+AS40+AW40</f>
        <v>2174679.323</v>
      </c>
      <c r="AL43" s="3"/>
      <c r="AM43" s="3"/>
      <c r="AN43" s="3"/>
      <c r="AO43" s="3"/>
      <c r="AP43" s="3"/>
      <c r="AQ43" s="3"/>
      <c r="AR43" s="3"/>
      <c r="AS43" s="3"/>
      <c r="AT43" s="3"/>
      <c r="AU43" s="3"/>
      <c r="AV43" s="3"/>
      <c r="AW43" s="3"/>
      <c r="AX43" s="3"/>
      <c r="AY43" s="3"/>
      <c r="AZ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L44" s="3"/>
      <c r="AM44" s="3"/>
      <c r="AN44" s="3"/>
      <c r="AO44" s="3"/>
      <c r="AP44" s="3"/>
      <c r="AQ44" s="3"/>
      <c r="AR44" s="3"/>
      <c r="AS44" s="3"/>
      <c r="AT44" s="3"/>
      <c r="AU44" s="3"/>
      <c r="AV44" s="3"/>
      <c r="AW44" s="3"/>
      <c r="AX44" s="3"/>
      <c r="AY44" s="3"/>
      <c r="AZ44" s="3"/>
    </row>
    <row r="45" ht="15.75" customHeight="1">
      <c r="A45" s="3"/>
      <c r="B45" s="3"/>
      <c r="C45" s="3"/>
      <c r="D45" s="3"/>
      <c r="E45" s="3"/>
      <c r="F45" s="154"/>
      <c r="G45" s="3"/>
      <c r="H45" s="3"/>
      <c r="I45" s="3"/>
      <c r="J45" s="3"/>
      <c r="K45" s="3"/>
      <c r="L45" s="3"/>
      <c r="M45" s="3"/>
      <c r="N45" s="3"/>
      <c r="O45" s="3"/>
      <c r="P45" s="3"/>
      <c r="Q45" s="3"/>
      <c r="R45" s="3"/>
      <c r="S45" s="3"/>
      <c r="T45" s="3"/>
      <c r="U45" s="3"/>
      <c r="V45" s="3"/>
      <c r="W45" s="3"/>
      <c r="X45" s="3"/>
      <c r="Y45" s="3"/>
      <c r="Z45" s="3" t="s">
        <v>116</v>
      </c>
      <c r="AA45" s="3" t="s">
        <v>117</v>
      </c>
      <c r="AB45" s="3"/>
      <c r="AC45" s="3"/>
      <c r="AD45" s="3"/>
      <c r="AE45" s="3"/>
      <c r="AF45" s="3"/>
      <c r="AG45" s="3"/>
      <c r="AH45" s="3"/>
      <c r="AI45" s="3"/>
      <c r="AJ45" s="3"/>
      <c r="AK45" s="3"/>
      <c r="AL45" s="3"/>
      <c r="AM45" s="3"/>
      <c r="AN45" s="3"/>
      <c r="AO45" s="3"/>
      <c r="AP45" s="3"/>
      <c r="AQ45" s="3"/>
      <c r="AR45" s="3"/>
      <c r="AS45" s="3"/>
      <c r="AT45" s="3"/>
      <c r="AU45" s="3"/>
      <c r="AV45" s="3"/>
      <c r="AW45" s="3"/>
      <c r="AX45" s="3"/>
      <c r="AY45" s="3"/>
      <c r="AZ45" s="3"/>
    </row>
    <row r="46" ht="15.75" customHeight="1">
      <c r="A46" s="3"/>
      <c r="B46" s="3"/>
      <c r="C46" s="3"/>
      <c r="D46" s="155"/>
      <c r="E46" s="3"/>
      <c r="F46" s="3"/>
      <c r="G46" s="3"/>
      <c r="H46" s="3"/>
      <c r="I46" s="3"/>
      <c r="J46" s="3"/>
      <c r="K46" s="3"/>
      <c r="L46" s="3"/>
      <c r="M46" s="3"/>
      <c r="N46" s="3"/>
      <c r="O46" s="3"/>
      <c r="P46" s="3"/>
      <c r="Q46" s="3"/>
      <c r="R46" s="3"/>
      <c r="S46" s="3"/>
      <c r="T46" s="3"/>
      <c r="U46" s="3"/>
      <c r="V46" s="3"/>
      <c r="W46" s="3"/>
      <c r="X46" s="3"/>
      <c r="Y46" s="3"/>
      <c r="Z46" s="3" t="s">
        <v>118</v>
      </c>
      <c r="AA46" s="154">
        <f>AA11+AA26</f>
        <v>53194.6492</v>
      </c>
      <c r="AC46" s="3"/>
      <c r="AD46" s="3"/>
      <c r="AE46" s="3"/>
      <c r="AF46" s="3"/>
      <c r="AG46" s="3"/>
      <c r="AH46" s="3"/>
      <c r="AI46" s="3"/>
      <c r="AJ46" s="3"/>
      <c r="AK46" s="3"/>
      <c r="AL46" s="3"/>
      <c r="AM46" s="3"/>
      <c r="AN46" s="3"/>
      <c r="AO46" s="3"/>
      <c r="AP46" s="3"/>
      <c r="AQ46" s="3"/>
      <c r="AR46" s="3"/>
      <c r="AS46" s="3"/>
      <c r="AT46" s="3"/>
      <c r="AU46" s="3"/>
      <c r="AV46" s="3"/>
      <c r="AW46" s="3"/>
      <c r="AX46" s="3"/>
      <c r="AY46" s="3"/>
      <c r="AZ46" s="3"/>
    </row>
    <row r="47" ht="15.75" customHeight="1">
      <c r="A47" s="3"/>
      <c r="B47" s="3"/>
      <c r="C47" s="3"/>
      <c r="D47" s="156"/>
      <c r="E47" s="3"/>
      <c r="F47" s="3"/>
      <c r="G47" s="3"/>
      <c r="H47" s="3"/>
      <c r="I47" s="3"/>
      <c r="J47" s="3"/>
      <c r="K47" s="3"/>
      <c r="L47" s="3"/>
      <c r="M47" s="3" t="s">
        <v>9</v>
      </c>
      <c r="N47" s="3"/>
      <c r="O47" s="3"/>
      <c r="P47" s="3"/>
      <c r="Q47" s="154">
        <f>Q13+Q14+Q21+Q27+Q28+Q39+Q24</f>
        <v>858148.3904</v>
      </c>
      <c r="R47" s="3" t="s">
        <v>119</v>
      </c>
      <c r="S47" s="154">
        <f>Q47+Q48</f>
        <v>1766853.679</v>
      </c>
      <c r="T47" s="3"/>
      <c r="U47" s="3"/>
      <c r="V47" s="3"/>
      <c r="W47" s="3"/>
      <c r="X47" s="3"/>
      <c r="Y47" s="3"/>
      <c r="Z47" s="157" t="s">
        <v>120</v>
      </c>
      <c r="AA47" s="158">
        <f>AC13+AC21+AC22+AC24+AC27+AC32+AC33</f>
        <v>856316.6187</v>
      </c>
      <c r="AC47" s="3"/>
      <c r="AD47" s="3"/>
      <c r="AE47" s="3"/>
      <c r="AF47" s="3"/>
      <c r="AG47" s="3"/>
      <c r="AH47" s="3"/>
      <c r="AI47" s="3"/>
      <c r="AJ47" s="3"/>
      <c r="AK47" s="3"/>
      <c r="AL47" s="3"/>
      <c r="AM47" s="3"/>
      <c r="AN47" s="3"/>
      <c r="AO47" s="3"/>
      <c r="AP47" s="3"/>
      <c r="AQ47" s="3"/>
      <c r="AR47" s="3"/>
      <c r="AS47" s="3"/>
      <c r="AT47" s="3"/>
      <c r="AU47" s="3"/>
      <c r="AV47" s="3"/>
      <c r="AW47" s="3"/>
      <c r="AX47" s="3"/>
      <c r="AY47" s="3"/>
      <c r="AZ47" s="3"/>
    </row>
    <row r="48" ht="15.75" customHeight="1">
      <c r="A48" s="3"/>
      <c r="B48" s="155"/>
      <c r="C48" s="155"/>
      <c r="D48" s="156"/>
      <c r="E48" s="3"/>
      <c r="F48" s="3"/>
      <c r="G48" s="3"/>
      <c r="H48" s="3"/>
      <c r="I48" s="3"/>
      <c r="J48" s="3"/>
      <c r="K48" s="3"/>
      <c r="L48" s="3"/>
      <c r="M48" s="3" t="s">
        <v>121</v>
      </c>
      <c r="N48" s="3"/>
      <c r="O48" s="3"/>
      <c r="P48" s="3"/>
      <c r="Q48" s="154">
        <f>Q15+Q16+Q17+Q22+Q23+Q2+Q29+Q30+Q31</f>
        <v>908705.2884</v>
      </c>
      <c r="R48" s="3" t="s">
        <v>122</v>
      </c>
      <c r="S48" s="3"/>
      <c r="T48" s="3"/>
      <c r="U48" s="3"/>
      <c r="V48" s="3"/>
      <c r="W48" s="3"/>
      <c r="X48" s="3"/>
      <c r="Y48" s="3"/>
      <c r="Z48" s="3" t="s">
        <v>123</v>
      </c>
      <c r="AA48" s="154">
        <f>AG40</f>
        <v>237324.3371</v>
      </c>
      <c r="AC48" s="3"/>
      <c r="AD48" s="3"/>
      <c r="AE48" s="3"/>
      <c r="AF48" s="3"/>
      <c r="AG48" s="3"/>
      <c r="AH48" s="3"/>
      <c r="AI48" s="3"/>
      <c r="AJ48" s="3"/>
      <c r="AK48" s="3"/>
      <c r="AL48" s="3"/>
      <c r="AM48" s="3"/>
      <c r="AN48" s="3"/>
      <c r="AO48" s="3"/>
      <c r="AP48" s="3"/>
      <c r="AQ48" s="3"/>
      <c r="AR48" s="3"/>
      <c r="AS48" s="3"/>
      <c r="AT48" s="3"/>
      <c r="AU48" s="3"/>
      <c r="AV48" s="3"/>
      <c r="AW48" s="3"/>
      <c r="AX48" s="3"/>
      <c r="AY48" s="3"/>
      <c r="AZ48" s="3"/>
    </row>
    <row r="49" ht="15.75" customHeight="1">
      <c r="A49" s="3"/>
      <c r="B49" s="159"/>
      <c r="C49" s="159"/>
      <c r="D49" s="153"/>
      <c r="E49" s="3"/>
      <c r="F49" s="3"/>
      <c r="G49" s="156"/>
      <c r="H49" s="3"/>
      <c r="I49" s="3"/>
      <c r="J49" s="3"/>
      <c r="K49" s="3"/>
      <c r="L49" s="3"/>
      <c r="M49" s="3" t="s">
        <v>124</v>
      </c>
      <c r="N49" s="3"/>
      <c r="O49" s="3"/>
      <c r="P49" s="3"/>
      <c r="Q49" s="154">
        <f>Q18+Q19</f>
        <v>79132.536</v>
      </c>
      <c r="R49" s="3"/>
      <c r="S49" s="154">
        <f>Q48</f>
        <v>908705.2884</v>
      </c>
      <c r="T49" s="3"/>
      <c r="U49" s="3"/>
      <c r="V49" s="3"/>
      <c r="W49" s="3"/>
      <c r="X49" s="3"/>
      <c r="Y49" s="3"/>
      <c r="Z49" s="3" t="s">
        <v>125</v>
      </c>
      <c r="AA49" s="154">
        <f>AK40</f>
        <v>329425.8165</v>
      </c>
      <c r="AC49" s="3"/>
      <c r="AD49" s="3"/>
      <c r="AE49" s="3"/>
      <c r="AF49" s="3"/>
      <c r="AG49" s="3"/>
      <c r="AH49" s="3"/>
      <c r="AI49" s="3"/>
      <c r="AJ49" s="3"/>
      <c r="AK49" s="3"/>
      <c r="AL49" s="3"/>
      <c r="AM49" s="3"/>
      <c r="AN49" s="3"/>
      <c r="AO49" s="3"/>
      <c r="AP49" s="3"/>
      <c r="AQ49" s="3"/>
      <c r="AR49" s="3"/>
      <c r="AS49" s="3"/>
      <c r="AT49" s="3"/>
      <c r="AU49" s="3"/>
      <c r="AV49" s="3"/>
      <c r="AW49" s="3"/>
      <c r="AX49" s="3"/>
      <c r="AY49" s="3"/>
      <c r="AZ49" s="3"/>
    </row>
    <row r="50" ht="15.75" customHeight="1">
      <c r="A50" s="3"/>
      <c r="B50" s="159"/>
      <c r="C50" s="159"/>
      <c r="D50" s="153"/>
      <c r="E50" s="3"/>
      <c r="F50" s="3"/>
      <c r="G50" s="153"/>
      <c r="H50" s="3"/>
      <c r="I50" s="3"/>
      <c r="J50" s="3"/>
      <c r="K50" s="3"/>
      <c r="L50" s="3"/>
      <c r="M50" s="3" t="s">
        <v>126</v>
      </c>
      <c r="N50" s="3"/>
      <c r="O50" s="3"/>
      <c r="P50" s="3"/>
      <c r="Q50" s="154">
        <f>Q35+Q36+Q37</f>
        <v>52755.024</v>
      </c>
      <c r="R50" s="3" t="s">
        <v>127</v>
      </c>
      <c r="S50" s="3"/>
      <c r="T50" s="3"/>
      <c r="U50" s="3"/>
      <c r="V50" s="3"/>
      <c r="W50" s="3"/>
      <c r="X50" s="3"/>
      <c r="Y50" s="3"/>
      <c r="Z50" s="3" t="s">
        <v>128</v>
      </c>
      <c r="AA50" s="154">
        <f>AO40</f>
        <v>240035.3592</v>
      </c>
      <c r="AB50" s="3"/>
      <c r="AC50" s="3"/>
      <c r="AD50" s="3"/>
      <c r="AE50" s="3"/>
      <c r="AF50" s="3"/>
      <c r="AG50" s="3"/>
      <c r="AH50" s="3"/>
      <c r="AI50" s="3"/>
      <c r="AJ50" s="3"/>
      <c r="AK50" s="3"/>
      <c r="AL50" s="3"/>
      <c r="AM50" s="3"/>
      <c r="AN50" s="3"/>
      <c r="AO50" s="3"/>
      <c r="AP50" s="3"/>
      <c r="AQ50" s="3"/>
      <c r="AR50" s="3"/>
      <c r="AS50" s="3"/>
      <c r="AT50" s="3"/>
      <c r="AU50" s="3"/>
      <c r="AV50" s="3"/>
      <c r="AW50" s="3"/>
      <c r="AX50" s="3"/>
      <c r="AY50" s="3"/>
      <c r="AZ50" s="3"/>
    </row>
    <row r="51" ht="15.75" customHeight="1">
      <c r="A51" s="3"/>
      <c r="B51" s="159"/>
      <c r="C51" s="159"/>
      <c r="D51" s="153"/>
      <c r="E51" s="3"/>
      <c r="F51" s="3"/>
      <c r="G51" s="153"/>
      <c r="H51" s="3"/>
      <c r="I51" s="3"/>
      <c r="J51" s="3"/>
      <c r="K51" s="3"/>
      <c r="L51" s="3"/>
      <c r="M51" s="3" t="s">
        <v>129</v>
      </c>
      <c r="N51" s="3"/>
      <c r="O51" s="3"/>
      <c r="P51" s="3"/>
      <c r="Q51" s="154">
        <f>Q32</f>
        <v>175850.08</v>
      </c>
      <c r="R51" s="3" t="s">
        <v>130</v>
      </c>
      <c r="S51" s="3"/>
      <c r="T51" s="3"/>
      <c r="U51" s="3"/>
      <c r="V51" s="3"/>
      <c r="W51" s="3"/>
      <c r="X51" s="3"/>
      <c r="Y51" s="3"/>
      <c r="Z51" s="3" t="s">
        <v>131</v>
      </c>
      <c r="AA51" s="154">
        <f>AS40</f>
        <v>240035.3592</v>
      </c>
      <c r="AB51" s="3"/>
      <c r="AC51" s="3"/>
      <c r="AD51" s="3"/>
      <c r="AE51" s="3"/>
      <c r="AF51" s="3"/>
      <c r="AG51" s="3"/>
      <c r="AH51" s="3"/>
      <c r="AI51" s="3"/>
      <c r="AJ51" s="3"/>
      <c r="AK51" s="3"/>
      <c r="AL51" s="3"/>
      <c r="AM51" s="3"/>
      <c r="AN51" s="3"/>
      <c r="AO51" s="3"/>
      <c r="AP51" s="3"/>
      <c r="AQ51" s="3"/>
      <c r="AR51" s="3"/>
      <c r="AS51" s="3"/>
      <c r="AT51" s="3"/>
      <c r="AU51" s="3"/>
      <c r="AV51" s="3"/>
      <c r="AW51" s="3"/>
      <c r="AX51" s="3"/>
      <c r="AY51" s="3"/>
      <c r="AZ51" s="3"/>
    </row>
    <row r="52" ht="15.75" customHeight="1">
      <c r="A52" s="3"/>
      <c r="B52" s="159"/>
      <c r="C52" s="159"/>
      <c r="D52" s="153"/>
      <c r="E52" s="3"/>
      <c r="F52" s="3"/>
      <c r="G52" s="153"/>
      <c r="H52" s="3"/>
      <c r="I52" s="3"/>
      <c r="J52" s="3"/>
      <c r="K52" s="3"/>
      <c r="L52" s="3"/>
      <c r="M52" s="3"/>
      <c r="N52" s="3"/>
      <c r="O52" s="3"/>
      <c r="P52" s="3"/>
      <c r="Q52" s="160">
        <f>Q47+Q48+Q49+Q50+Q51</f>
        <v>2074591.319</v>
      </c>
      <c r="R52" s="3"/>
      <c r="S52" s="3"/>
      <c r="T52" s="3"/>
      <c r="U52" s="3"/>
      <c r="V52" s="3"/>
      <c r="W52" s="3"/>
      <c r="X52" s="3"/>
      <c r="Y52" s="3"/>
      <c r="Z52" s="3" t="s">
        <v>132</v>
      </c>
      <c r="AA52" s="154">
        <f>AW40</f>
        <v>65943.78</v>
      </c>
      <c r="AB52" s="3"/>
      <c r="AC52" s="3"/>
      <c r="AD52" s="3"/>
      <c r="AE52" s="3"/>
      <c r="AF52" s="3"/>
      <c r="AG52" s="3"/>
      <c r="AH52" s="3"/>
      <c r="AI52" s="3"/>
      <c r="AJ52" s="3"/>
      <c r="AK52" s="3"/>
      <c r="AL52" s="3"/>
      <c r="AM52" s="3"/>
      <c r="AN52" s="3"/>
      <c r="AO52" s="3"/>
      <c r="AP52" s="3"/>
      <c r="AQ52" s="3"/>
      <c r="AR52" s="3"/>
      <c r="AS52" s="3"/>
      <c r="AT52" s="3"/>
      <c r="AU52" s="3"/>
      <c r="AV52" s="3"/>
      <c r="AW52" s="3"/>
      <c r="AX52" s="3"/>
      <c r="AY52" s="3"/>
      <c r="AZ52" s="3"/>
    </row>
    <row r="53" ht="15.75" customHeight="1">
      <c r="A53" s="3"/>
      <c r="B53" s="155"/>
      <c r="C53" s="155"/>
      <c r="D53" s="3"/>
      <c r="E53" s="3"/>
      <c r="F53" s="3"/>
      <c r="G53" s="15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row>
    <row r="54" ht="15.75" customHeight="1">
      <c r="A54" s="3"/>
      <c r="B54" s="155"/>
      <c r="C54" s="155"/>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row>
    <row r="55" ht="15.75" customHeight="1">
      <c r="A55" s="3"/>
      <c r="B55" s="155"/>
      <c r="C55" s="155"/>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t="s">
        <v>133</v>
      </c>
      <c r="AC60" s="3"/>
      <c r="AD60" s="3"/>
      <c r="AE60" s="3"/>
      <c r="AF60" s="3"/>
      <c r="AG60" s="3"/>
      <c r="AH60" s="3"/>
      <c r="AI60" s="3"/>
      <c r="AJ60" s="3"/>
      <c r="AK60" s="3"/>
      <c r="AL60" s="3"/>
      <c r="AM60" s="3"/>
      <c r="AN60" s="3"/>
      <c r="AO60" s="3"/>
      <c r="AP60" s="3"/>
      <c r="AQ60" s="3"/>
      <c r="AR60" s="3"/>
      <c r="AS60" s="3"/>
      <c r="AT60" s="3"/>
      <c r="AU60" s="3"/>
      <c r="AV60" s="3"/>
      <c r="AW60" s="3"/>
      <c r="AX60" s="3"/>
      <c r="AY60" s="3"/>
      <c r="A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row>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25">
    <mergeCell ref="E13:E24"/>
    <mergeCell ref="G35:G37"/>
    <mergeCell ref="L11:L12"/>
    <mergeCell ref="P11:P12"/>
    <mergeCell ref="A13:A39"/>
    <mergeCell ref="B13:B39"/>
    <mergeCell ref="C13:C24"/>
    <mergeCell ref="D13:D24"/>
    <mergeCell ref="J35:J37"/>
    <mergeCell ref="AA36:AB36"/>
    <mergeCell ref="AA37:AB37"/>
    <mergeCell ref="P29:P30"/>
    <mergeCell ref="P35:P37"/>
    <mergeCell ref="Q35:Q37"/>
    <mergeCell ref="R35:R37"/>
    <mergeCell ref="V35:V37"/>
    <mergeCell ref="Z35:Z37"/>
    <mergeCell ref="AA35:AB35"/>
    <mergeCell ref="F21:F24"/>
    <mergeCell ref="H22:H24"/>
    <mergeCell ref="I22:I23"/>
    <mergeCell ref="J23:J24"/>
    <mergeCell ref="C26:C39"/>
    <mergeCell ref="D26:D39"/>
    <mergeCell ref="E26:E39"/>
    <mergeCell ref="F26:F31"/>
    <mergeCell ref="F35:F37"/>
    <mergeCell ref="G26:G31"/>
    <mergeCell ref="H26:H31"/>
    <mergeCell ref="I26:I28"/>
    <mergeCell ref="J27:J31"/>
    <mergeCell ref="I29:I31"/>
    <mergeCell ref="H35:H37"/>
    <mergeCell ref="I35:I37"/>
    <mergeCell ref="R13:R14"/>
    <mergeCell ref="S13:S14"/>
    <mergeCell ref="V13:V14"/>
    <mergeCell ref="W13:W14"/>
    <mergeCell ref="Z13:Z14"/>
    <mergeCell ref="AA13:AB14"/>
    <mergeCell ref="AC13:AF14"/>
    <mergeCell ref="AG13:AJ13"/>
    <mergeCell ref="AG14:AJ14"/>
    <mergeCell ref="AK13:AN13"/>
    <mergeCell ref="AO13:AR13"/>
    <mergeCell ref="AK14:AN14"/>
    <mergeCell ref="AO14:AR14"/>
    <mergeCell ref="P15:P16"/>
    <mergeCell ref="Q15:Q16"/>
    <mergeCell ref="AS9:AV9"/>
    <mergeCell ref="AW9:AX9"/>
    <mergeCell ref="AY9:AZ9"/>
    <mergeCell ref="AY10:AZ10"/>
    <mergeCell ref="AY11:AZ12"/>
    <mergeCell ref="AW13:AX13"/>
    <mergeCell ref="AY13:AZ14"/>
    <mergeCell ref="AW14:AX14"/>
    <mergeCell ref="AW15:AX15"/>
    <mergeCell ref="AY15:AZ16"/>
    <mergeCell ref="AW16:AX16"/>
    <mergeCell ref="AY17:AZ17"/>
    <mergeCell ref="AY18:AZ19"/>
    <mergeCell ref="AS19:AV19"/>
    <mergeCell ref="AS35:AV35"/>
    <mergeCell ref="AS36:AV36"/>
    <mergeCell ref="AS37:AV37"/>
    <mergeCell ref="AS39:AV39"/>
    <mergeCell ref="AS40:AV40"/>
    <mergeCell ref="AW39:AX39"/>
    <mergeCell ref="AY39:AZ39"/>
    <mergeCell ref="AW40:AX40"/>
    <mergeCell ref="AY40:AZ40"/>
    <mergeCell ref="AY21:AZ21"/>
    <mergeCell ref="AY22:AZ22"/>
    <mergeCell ref="AY23:AZ23"/>
    <mergeCell ref="AY24:AZ24"/>
    <mergeCell ref="AY27:AZ28"/>
    <mergeCell ref="AW35:AX37"/>
    <mergeCell ref="AY35:AZ37"/>
    <mergeCell ref="K11:K12"/>
    <mergeCell ref="P18:P19"/>
    <mergeCell ref="AC19:AF19"/>
    <mergeCell ref="AG19:AJ19"/>
    <mergeCell ref="AK9:AN9"/>
    <mergeCell ref="AO9:AR9"/>
    <mergeCell ref="F11:F19"/>
    <mergeCell ref="H11:H19"/>
    <mergeCell ref="I11:I14"/>
    <mergeCell ref="J11:J12"/>
    <mergeCell ref="AO17:AR17"/>
    <mergeCell ref="AO19:AR19"/>
    <mergeCell ref="G13:G19"/>
    <mergeCell ref="J13:J19"/>
    <mergeCell ref="I15:I17"/>
    <mergeCell ref="I18:I19"/>
    <mergeCell ref="AA16:AB16"/>
    <mergeCell ref="AC16:AF16"/>
    <mergeCell ref="AA17:AB17"/>
    <mergeCell ref="AC17:AF17"/>
    <mergeCell ref="AG17:AJ17"/>
    <mergeCell ref="AK17:AN17"/>
    <mergeCell ref="Q18:Q19"/>
    <mergeCell ref="R18:R19"/>
    <mergeCell ref="S18:S19"/>
    <mergeCell ref="V18:V19"/>
    <mergeCell ref="W18:W19"/>
    <mergeCell ref="Z18:Z19"/>
    <mergeCell ref="C1:AB1"/>
    <mergeCell ref="AA7:AF7"/>
    <mergeCell ref="AG7:AV7"/>
    <mergeCell ref="AW7:AX7"/>
    <mergeCell ref="AA9:AB9"/>
    <mergeCell ref="AC9:AF9"/>
    <mergeCell ref="AG9:AJ9"/>
    <mergeCell ref="Q11:Q12"/>
    <mergeCell ref="R11:R12"/>
    <mergeCell ref="S11:S12"/>
    <mergeCell ref="V11:V12"/>
    <mergeCell ref="P13:P14"/>
    <mergeCell ref="Q13:Q14"/>
    <mergeCell ref="R15:R16"/>
    <mergeCell ref="S15:S16"/>
    <mergeCell ref="V15:V16"/>
    <mergeCell ref="W15:W16"/>
    <mergeCell ref="Z15:Z16"/>
    <mergeCell ref="AS13:AV13"/>
    <mergeCell ref="AS14:AV14"/>
    <mergeCell ref="AO15:AR16"/>
    <mergeCell ref="AS15:AV16"/>
    <mergeCell ref="AS17:AV17"/>
    <mergeCell ref="AW17:AX17"/>
    <mergeCell ref="AW18:AX19"/>
    <mergeCell ref="AC18:AF18"/>
    <mergeCell ref="AG18:AJ18"/>
    <mergeCell ref="AO18:AR18"/>
    <mergeCell ref="AS18:AV18"/>
    <mergeCell ref="AA21:AB21"/>
    <mergeCell ref="AC21:AF21"/>
    <mergeCell ref="AG21:AJ21"/>
    <mergeCell ref="AS21:AV21"/>
    <mergeCell ref="AS23:AV23"/>
    <mergeCell ref="AW23:AX23"/>
    <mergeCell ref="AK21:AN21"/>
    <mergeCell ref="AO21:AR21"/>
    <mergeCell ref="AW21:AX21"/>
    <mergeCell ref="AO22:AR22"/>
    <mergeCell ref="AS22:AV22"/>
    <mergeCell ref="AW22:AX22"/>
    <mergeCell ref="AO23:AR23"/>
    <mergeCell ref="R29:R30"/>
    <mergeCell ref="S29:S30"/>
    <mergeCell ref="P27:P28"/>
    <mergeCell ref="Q27:Q28"/>
    <mergeCell ref="R27:R28"/>
    <mergeCell ref="S27:S28"/>
    <mergeCell ref="V27:V28"/>
    <mergeCell ref="W27:W28"/>
    <mergeCell ref="Q29:Q30"/>
    <mergeCell ref="AY29:AZ30"/>
    <mergeCell ref="AY31:AZ31"/>
    <mergeCell ref="AY32:AZ32"/>
    <mergeCell ref="AO32:AR32"/>
    <mergeCell ref="AS32:AV32"/>
    <mergeCell ref="V29:V30"/>
    <mergeCell ref="W29:W30"/>
    <mergeCell ref="Z29:Z30"/>
    <mergeCell ref="AO29:AR30"/>
    <mergeCell ref="AS29:AV30"/>
    <mergeCell ref="AO31:AR31"/>
    <mergeCell ref="AS31:AV31"/>
    <mergeCell ref="AC32:AF32"/>
    <mergeCell ref="AC33:AF33"/>
    <mergeCell ref="AG33:AJ33"/>
    <mergeCell ref="AK33:AN33"/>
    <mergeCell ref="AG35:AJ35"/>
    <mergeCell ref="AK35:AN37"/>
    <mergeCell ref="AG36:AJ36"/>
    <mergeCell ref="AC37:AF37"/>
    <mergeCell ref="AG37:AJ37"/>
    <mergeCell ref="AA39:AF39"/>
    <mergeCell ref="AG39:AJ39"/>
    <mergeCell ref="AK39:AN39"/>
    <mergeCell ref="AA40:AF40"/>
    <mergeCell ref="AK40:AN40"/>
    <mergeCell ref="AA11:AB12"/>
    <mergeCell ref="AC11:AF11"/>
    <mergeCell ref="AC12:AF12"/>
    <mergeCell ref="AC15:AF15"/>
    <mergeCell ref="AG15:AJ16"/>
    <mergeCell ref="AK15:AN16"/>
    <mergeCell ref="AK18:AN19"/>
    <mergeCell ref="AA18:AB18"/>
    <mergeCell ref="AA19:AB19"/>
    <mergeCell ref="AA22:AB22"/>
    <mergeCell ref="AC22:AF22"/>
    <mergeCell ref="AG22:AJ22"/>
    <mergeCell ref="AK22:AN22"/>
    <mergeCell ref="AA23:AB23"/>
    <mergeCell ref="AK23:AN23"/>
    <mergeCell ref="AC23:AF23"/>
    <mergeCell ref="AG23:AJ23"/>
    <mergeCell ref="AA24:AB24"/>
    <mergeCell ref="AC24:AF24"/>
    <mergeCell ref="AA26:AB26"/>
    <mergeCell ref="Z27:Z28"/>
    <mergeCell ref="AA27:AB28"/>
    <mergeCell ref="AC27:AF28"/>
    <mergeCell ref="AG29:AJ30"/>
    <mergeCell ref="AK29:AN30"/>
    <mergeCell ref="AK31:AN31"/>
    <mergeCell ref="AA32:AB32"/>
    <mergeCell ref="AG32:AJ32"/>
    <mergeCell ref="AK32:AN32"/>
    <mergeCell ref="AC35:AF35"/>
    <mergeCell ref="AC36:AF36"/>
    <mergeCell ref="AO35:AR35"/>
    <mergeCell ref="AO36:AR36"/>
    <mergeCell ref="AO37:AR37"/>
    <mergeCell ref="AO39:AR39"/>
    <mergeCell ref="AO40:AR40"/>
    <mergeCell ref="AG40:AJ40"/>
    <mergeCell ref="AH43:AK44"/>
    <mergeCell ref="AA46:AB46"/>
    <mergeCell ref="AA48:AB48"/>
    <mergeCell ref="AA49:AB49"/>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9.0"/>
    <col customWidth="1" min="2" max="6" width="14.43"/>
    <col customWidth="1" min="7" max="7" width="20.71"/>
  </cols>
  <sheetData>
    <row r="1" ht="15.75" customHeight="1">
      <c r="A1" s="459" t="s">
        <v>138</v>
      </c>
      <c r="B1" s="460" t="s">
        <v>123</v>
      </c>
      <c r="C1" s="460" t="s">
        <v>125</v>
      </c>
      <c r="D1" s="460" t="s">
        <v>128</v>
      </c>
    </row>
    <row r="2" ht="15.75" customHeight="1">
      <c r="A2" s="461">
        <v>1.5918333E7</v>
      </c>
      <c r="B2" s="462">
        <v>6.3673333E7</v>
      </c>
      <c r="C2" s="462">
        <v>1.5918333E7</v>
      </c>
      <c r="D2" s="463"/>
    </row>
    <row r="3" ht="15.75" customHeight="1">
      <c r="A3" s="464"/>
      <c r="B3" s="461">
        <v>127347.0</v>
      </c>
      <c r="C3" s="461">
        <v>31837.0</v>
      </c>
      <c r="D3" s="465" t="s">
        <v>70</v>
      </c>
    </row>
    <row r="4" ht="15.75" customHeight="1">
      <c r="A4" s="466"/>
    </row>
    <row r="5" ht="15.75" customHeight="1">
      <c r="G5" s="460" t="s">
        <v>256</v>
      </c>
    </row>
    <row r="6" ht="15.75" customHeight="1">
      <c r="A6" s="460" t="s">
        <v>138</v>
      </c>
      <c r="B6" s="460" t="s">
        <v>123</v>
      </c>
      <c r="C6" s="460" t="s">
        <v>125</v>
      </c>
      <c r="D6" s="460" t="s">
        <v>128</v>
      </c>
      <c r="G6" s="467">
        <f>B2+A17+A22</f>
        <v>117589385</v>
      </c>
    </row>
    <row r="7" ht="15.75" customHeight="1">
      <c r="A7" s="462">
        <v>619116.0</v>
      </c>
      <c r="B7" s="462">
        <v>1407076.0</v>
      </c>
      <c r="C7" s="462">
        <v>2056871.0</v>
      </c>
      <c r="D7" s="462">
        <v>747319.0</v>
      </c>
      <c r="E7" s="157" t="s">
        <v>257</v>
      </c>
      <c r="G7" s="460" t="s">
        <v>257</v>
      </c>
    </row>
    <row r="8" ht="15.75" customHeight="1">
      <c r="A8" s="461">
        <v>43338.0</v>
      </c>
      <c r="B8" s="461">
        <v>98495.0</v>
      </c>
      <c r="C8" s="461">
        <v>143981.0</v>
      </c>
      <c r="D8" s="461">
        <v>53312.0</v>
      </c>
      <c r="G8" s="467">
        <f>B7+B12</f>
        <v>3770949</v>
      </c>
    </row>
    <row r="9" ht="15.75" customHeight="1"/>
    <row r="10" ht="15.75" customHeight="1"/>
    <row r="11" ht="15.75" customHeight="1">
      <c r="A11" s="460" t="s">
        <v>138</v>
      </c>
      <c r="B11" s="460" t="s">
        <v>123</v>
      </c>
      <c r="C11" s="460" t="s">
        <v>125</v>
      </c>
      <c r="D11" s="460" t="s">
        <v>128</v>
      </c>
    </row>
    <row r="12" ht="15.75" customHeight="1">
      <c r="A12" s="463"/>
      <c r="B12" s="462">
        <v>2363873.0</v>
      </c>
      <c r="C12" s="462">
        <v>2592500.0</v>
      </c>
      <c r="D12" s="462">
        <v>296678.0</v>
      </c>
      <c r="E12" s="157" t="s">
        <v>257</v>
      </c>
    </row>
    <row r="13" ht="15.75" customHeight="1">
      <c r="A13" s="463"/>
      <c r="B13" s="461">
        <v>236387.0</v>
      </c>
      <c r="C13" s="461">
        <v>259250.0</v>
      </c>
      <c r="D13" s="461">
        <v>29668.0</v>
      </c>
    </row>
    <row r="14" ht="15.75" customHeight="1"/>
    <row r="15" ht="15.75" customHeight="1"/>
    <row r="16" ht="15.75" customHeight="1">
      <c r="A16" s="460" t="s">
        <v>123</v>
      </c>
      <c r="B16" s="460" t="s">
        <v>125</v>
      </c>
      <c r="C16" s="460" t="s">
        <v>128</v>
      </c>
    </row>
    <row r="17" ht="15.75" customHeight="1">
      <c r="A17" s="462">
        <v>3.81075E7</v>
      </c>
      <c r="B17" s="462">
        <v>2.6393E7</v>
      </c>
      <c r="C17" s="462">
        <v>6.921E7</v>
      </c>
    </row>
    <row r="18" ht="15.75" customHeight="1">
      <c r="A18" s="461">
        <v>76215.0</v>
      </c>
      <c r="B18" s="461">
        <v>52792.0</v>
      </c>
      <c r="C18" s="461">
        <v>138420.0</v>
      </c>
    </row>
    <row r="19" ht="15.75" customHeight="1"/>
    <row r="20" ht="15.75" customHeight="1"/>
    <row r="21" ht="15.75" customHeight="1">
      <c r="A21" s="460" t="s">
        <v>123</v>
      </c>
      <c r="B21" s="460" t="s">
        <v>125</v>
      </c>
    </row>
    <row r="22" ht="15.75" customHeight="1">
      <c r="A22" s="462">
        <v>1.5808552E7</v>
      </c>
      <c r="B22" s="465" t="s">
        <v>258</v>
      </c>
    </row>
    <row r="23" ht="15.75" customHeight="1">
      <c r="A23" s="462">
        <v>1964777.0</v>
      </c>
      <c r="B23" s="463"/>
    </row>
    <row r="24" ht="15.75" customHeight="1">
      <c r="A24" s="461">
        <v>229224.0</v>
      </c>
      <c r="B24" s="465" t="s">
        <v>259</v>
      </c>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4.43"/>
    <col customWidth="1" hidden="1" min="2" max="2" width="27.43"/>
    <col customWidth="1" min="3" max="3" width="24.86"/>
    <col customWidth="1" min="4" max="6" width="14.43"/>
  </cols>
  <sheetData>
    <row r="1" ht="15.75" customHeight="1">
      <c r="A1" s="468" t="s">
        <v>260</v>
      </c>
      <c r="B1" s="469" t="s">
        <v>138</v>
      </c>
      <c r="C1" s="469" t="s">
        <v>123</v>
      </c>
      <c r="D1" s="469" t="s">
        <v>125</v>
      </c>
      <c r="E1" s="470" t="s">
        <v>128</v>
      </c>
    </row>
    <row r="2" ht="15.75" hidden="1" customHeight="1">
      <c r="A2" s="471" t="s">
        <v>261</v>
      </c>
      <c r="B2" s="472">
        <f>'TIGER V10 '!AB17</f>
        <v>31836.66667</v>
      </c>
      <c r="C2" s="472">
        <f>'TIGER V10 '!AC17+'TIGER V10 '!AD17+'TIGER V10 '!AE18+'TIGER V10 '!AF18</f>
        <v>127346.6667</v>
      </c>
      <c r="D2" s="472">
        <f>'TIGER V10 '!AG18</f>
        <v>31836.66667</v>
      </c>
      <c r="E2" s="473"/>
    </row>
    <row r="3" ht="15.75" hidden="1" customHeight="1">
      <c r="A3" s="471" t="s">
        <v>52</v>
      </c>
      <c r="B3" s="472">
        <f>'TIGER V10 '!AB19</f>
        <v>43338.0875</v>
      </c>
      <c r="C3" s="472">
        <f>'TIGER V10 '!AC19+'TIGER V10 '!AD19+'TIGER V10 '!AE19</f>
        <v>174902</v>
      </c>
      <c r="D3" s="472">
        <f>'TIGER V10 '!AG19+'TIGER V10 '!AH19+'TIGER V10 '!AG23+'TIGER V10 '!AG24+'TIGER V10 '!AI25+'TIGER V10 '!AI26</f>
        <v>220389.325</v>
      </c>
      <c r="E3" s="472">
        <f>'TIGER V10 '!AK27+'TIGER V10 '!AK28</f>
        <v>52312.33125</v>
      </c>
    </row>
    <row r="4" ht="15.75" customHeight="1">
      <c r="A4" s="471" t="s">
        <v>230</v>
      </c>
      <c r="B4" s="472"/>
      <c r="C4" s="472">
        <f>'TIGER V10 '!AC31+'TIGER V10 '!AE31</f>
        <v>236387.25</v>
      </c>
      <c r="D4" s="472">
        <f>'TIGER V10 '!AG33</f>
        <v>234250</v>
      </c>
      <c r="E4" s="472">
        <f>'TIGER V10 '!AK33</f>
        <v>54667.75</v>
      </c>
    </row>
    <row r="5" ht="15.75" customHeight="1">
      <c r="A5" s="471" t="s">
        <v>262</v>
      </c>
      <c r="B5" s="472"/>
      <c r="C5" s="472">
        <f>'TIGER V10 '!AE38+'TIGER V10 '!AF38</f>
        <v>88011</v>
      </c>
      <c r="D5" s="472">
        <f>'TIGER V10 '!AG38</f>
        <v>30756</v>
      </c>
      <c r="E5" s="472">
        <f>'TIGER V10 '!AK40</f>
        <v>64612</v>
      </c>
      <c r="G5" s="349"/>
    </row>
    <row r="6" ht="15.75" customHeight="1">
      <c r="A6" s="471" t="s">
        <v>242</v>
      </c>
      <c r="B6" s="472"/>
      <c r="C6" s="472">
        <f>'TIGER V10 '!AC42+'TIGER V10 '!AF43</f>
        <v>148662.2</v>
      </c>
      <c r="D6" s="472">
        <f>'TIGER V10 '!AG43</f>
        <v>47036</v>
      </c>
      <c r="E6" s="472">
        <f>'TIGER V10 '!AK43</f>
        <v>48808</v>
      </c>
      <c r="H6" s="349"/>
    </row>
    <row r="7" ht="15.75" customHeight="1">
      <c r="A7" s="471" t="s">
        <v>103</v>
      </c>
      <c r="B7" s="472"/>
      <c r="C7" s="472">
        <f>'TIGER V10 '!AC44+'TIGER V10 '!AC46</f>
        <v>183379.2</v>
      </c>
      <c r="D7" s="473"/>
      <c r="E7" s="473"/>
    </row>
    <row r="8" ht="63.0" customHeight="1">
      <c r="A8" s="471" t="s">
        <v>25</v>
      </c>
      <c r="B8" s="158">
        <f t="shared" ref="B8:E8" si="1">SUM(B2:B7)</f>
        <v>75174.75417</v>
      </c>
      <c r="C8" s="158">
        <f t="shared" si="1"/>
        <v>958688.3167</v>
      </c>
      <c r="D8" s="158">
        <f t="shared" si="1"/>
        <v>564267.9917</v>
      </c>
      <c r="E8" s="158">
        <f t="shared" si="1"/>
        <v>220400.0813</v>
      </c>
    </row>
    <row r="9" ht="15.75" customHeight="1"/>
    <row r="10" ht="15.75" customHeight="1"/>
    <row r="11" ht="15.75" customHeight="1"/>
    <row r="12" ht="15.75" customHeight="1">
      <c r="B12" s="474" t="s">
        <v>263</v>
      </c>
      <c r="C12" s="475">
        <f>B8+C8+D8+E8</f>
        <v>1818531.144</v>
      </c>
      <c r="D12" s="476" t="s">
        <v>264</v>
      </c>
    </row>
    <row r="13" ht="15.75" customHeight="1">
      <c r="B13" s="477" t="s">
        <v>265</v>
      </c>
      <c r="C13" s="478">
        <f>1910200-C12</f>
        <v>91668.85625</v>
      </c>
      <c r="D13" s="479" t="s">
        <v>265</v>
      </c>
    </row>
    <row r="14" ht="15.75" customHeight="1">
      <c r="C14" s="158">
        <f>C12+C13</f>
        <v>1910200</v>
      </c>
    </row>
    <row r="15" ht="15.75" customHeight="1"/>
    <row r="16" ht="15.75" customHeight="1"/>
    <row r="17" ht="15.75" customHeight="1">
      <c r="A17" s="157"/>
      <c r="B17" s="416" t="s">
        <v>196</v>
      </c>
      <c r="H17" s="157"/>
    </row>
    <row r="18" ht="15.75" customHeight="1">
      <c r="A18" s="157"/>
      <c r="H18" s="157"/>
    </row>
    <row r="19" ht="15.75" customHeight="1">
      <c r="A19" s="417"/>
      <c r="B19" s="418" t="s">
        <v>169</v>
      </c>
      <c r="C19" s="419" t="s">
        <v>170</v>
      </c>
      <c r="D19" s="143"/>
      <c r="E19" s="418" t="s">
        <v>171</v>
      </c>
      <c r="F19" s="418" t="s">
        <v>172</v>
      </c>
      <c r="G19" s="418" t="s">
        <v>173</v>
      </c>
      <c r="H19" s="476" t="s">
        <v>25</v>
      </c>
    </row>
    <row r="20" ht="15.75" customHeight="1">
      <c r="A20" s="420" t="s">
        <v>174</v>
      </c>
      <c r="B20" s="421"/>
      <c r="C20" s="422">
        <v>166844.0</v>
      </c>
      <c r="E20" s="423">
        <v>958688.0</v>
      </c>
      <c r="F20" s="424">
        <v>564268.0</v>
      </c>
      <c r="G20" s="425">
        <v>220400.0</v>
      </c>
      <c r="H20" s="480">
        <f>C20+E20+F20+G20</f>
        <v>1910200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17:G18"/>
    <mergeCell ref="C19:D19"/>
    <mergeCell ref="C20:D20"/>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4.43"/>
    <col customWidth="1" min="2" max="2" width="34.71"/>
    <col customWidth="1" min="3" max="3" width="24.43"/>
    <col customWidth="1" min="4" max="6" width="14.43"/>
    <col customWidth="1" min="15" max="15" width="21.86"/>
    <col customWidth="1" min="16" max="16" width="27.86"/>
    <col customWidth="1" min="17" max="17" width="32.14"/>
    <col customWidth="1" min="18" max="18" width="36.71"/>
    <col customWidth="1" min="19" max="19" width="50.14"/>
  </cols>
  <sheetData>
    <row r="1" ht="15.75" customHeight="1">
      <c r="B1" s="353" t="s">
        <v>49</v>
      </c>
      <c r="C1" s="353" t="s">
        <v>50</v>
      </c>
      <c r="D1" s="353" t="s">
        <v>51</v>
      </c>
      <c r="E1" s="354" t="s">
        <v>48</v>
      </c>
      <c r="F1" s="355" t="s">
        <v>49</v>
      </c>
      <c r="G1" s="353" t="s">
        <v>50</v>
      </c>
      <c r="H1" s="353" t="s">
        <v>51</v>
      </c>
      <c r="I1" s="354" t="s">
        <v>48</v>
      </c>
      <c r="J1" s="355" t="s">
        <v>49</v>
      </c>
      <c r="K1" s="353" t="s">
        <v>50</v>
      </c>
      <c r="L1" s="353" t="s">
        <v>51</v>
      </c>
      <c r="M1" s="354" t="s">
        <v>48</v>
      </c>
      <c r="O1" s="157"/>
      <c r="P1" s="157"/>
      <c r="Q1" s="157"/>
      <c r="R1" s="157"/>
      <c r="S1" s="157"/>
    </row>
    <row r="2" ht="15.75" customHeight="1">
      <c r="B2" s="481">
        <v>31836.666666666668</v>
      </c>
      <c r="C2" s="481">
        <v>31836.666666666668</v>
      </c>
      <c r="D2" s="452"/>
      <c r="E2" s="452"/>
      <c r="F2" s="482"/>
      <c r="G2" s="452"/>
      <c r="H2" s="452"/>
      <c r="I2" s="452"/>
      <c r="J2" s="452"/>
      <c r="K2" s="452"/>
      <c r="L2" s="452"/>
      <c r="M2" s="452"/>
    </row>
    <row r="3" ht="15.75" customHeight="1">
      <c r="B3" s="452"/>
      <c r="C3" s="452"/>
      <c r="D3" s="483"/>
      <c r="E3" s="484">
        <v>31836.666666666668</v>
      </c>
      <c r="F3" s="484">
        <v>31836.666666666668</v>
      </c>
      <c r="G3" s="485">
        <v>31836.666666666668</v>
      </c>
      <c r="H3" s="452"/>
      <c r="I3" s="452"/>
      <c r="J3" s="482"/>
      <c r="K3" s="452"/>
      <c r="L3" s="452"/>
      <c r="M3" s="452"/>
    </row>
    <row r="4" ht="15.75" customHeight="1">
      <c r="B4" s="481">
        <v>43338.0875</v>
      </c>
      <c r="C4" s="481">
        <v>32831.5625</v>
      </c>
      <c r="D4" s="481">
        <v>32831.5625</v>
      </c>
      <c r="E4" s="452"/>
      <c r="F4" s="452"/>
      <c r="G4" s="452"/>
      <c r="H4" s="452"/>
      <c r="I4" s="452"/>
      <c r="J4" s="452"/>
      <c r="K4" s="452"/>
      <c r="L4" s="452"/>
      <c r="M4" s="452"/>
    </row>
    <row r="5" ht="15.75" customHeight="1">
      <c r="E5" s="452"/>
      <c r="F5" s="452"/>
      <c r="G5" s="452"/>
      <c r="H5" s="452"/>
      <c r="I5" s="452"/>
      <c r="J5" s="482"/>
      <c r="K5" s="482"/>
      <c r="L5" s="452"/>
      <c r="M5" s="452"/>
      <c r="O5" s="452"/>
      <c r="P5" s="452"/>
      <c r="Q5" s="452"/>
      <c r="R5" s="452"/>
      <c r="S5" s="452"/>
    </row>
    <row r="6" ht="15.75" customHeight="1">
      <c r="B6" s="486"/>
      <c r="C6" s="486"/>
      <c r="D6" s="486"/>
      <c r="E6" s="486"/>
      <c r="F6" s="487"/>
      <c r="G6" s="487"/>
      <c r="H6" s="487"/>
      <c r="I6" s="452"/>
      <c r="J6" s="452"/>
      <c r="K6" s="452"/>
      <c r="L6" s="452"/>
      <c r="M6" s="452"/>
      <c r="O6" s="452"/>
      <c r="P6" s="452"/>
      <c r="Q6" s="452"/>
      <c r="R6" s="452"/>
      <c r="S6" s="452"/>
    </row>
    <row r="7" ht="15.75" customHeight="1">
      <c r="B7" s="486"/>
      <c r="C7" s="488"/>
      <c r="D7" s="486"/>
      <c r="E7" s="486"/>
      <c r="I7" s="452"/>
      <c r="J7" s="452"/>
      <c r="K7" s="452"/>
      <c r="L7" s="452"/>
      <c r="M7" s="452"/>
      <c r="O7" s="452"/>
      <c r="P7" s="452" t="s">
        <v>19</v>
      </c>
      <c r="Q7" s="452" t="s">
        <v>20</v>
      </c>
      <c r="R7" s="452" t="s">
        <v>21</v>
      </c>
      <c r="S7" s="452" t="s">
        <v>22</v>
      </c>
    </row>
    <row r="8" ht="15.75" customHeight="1">
      <c r="B8" s="452"/>
      <c r="C8" s="452"/>
      <c r="D8" s="452"/>
      <c r="E8" s="452"/>
      <c r="F8" s="452">
        <v>35995.33125</v>
      </c>
      <c r="H8" s="487"/>
      <c r="I8" s="487"/>
      <c r="J8" s="487"/>
      <c r="K8" s="487"/>
      <c r="L8" s="487"/>
      <c r="M8" s="487"/>
      <c r="O8" s="452" t="s">
        <v>266</v>
      </c>
      <c r="P8" s="453">
        <f>B2</f>
        <v>31836.66667</v>
      </c>
      <c r="Q8" s="453">
        <f>SUM(D3:F3)</f>
        <v>63673.33333</v>
      </c>
      <c r="R8" s="453"/>
      <c r="S8" s="453"/>
    </row>
    <row r="9" ht="15.75" customHeight="1">
      <c r="B9" s="452"/>
      <c r="C9" s="452"/>
      <c r="D9" s="452"/>
      <c r="E9" s="452"/>
      <c r="F9" s="452">
        <v>35995.33125</v>
      </c>
      <c r="H9" s="487"/>
      <c r="I9" s="487"/>
      <c r="J9" s="487"/>
      <c r="K9" s="487"/>
      <c r="L9" s="487"/>
      <c r="M9" s="487"/>
      <c r="O9" s="452" t="s">
        <v>60</v>
      </c>
      <c r="P9" s="453">
        <f>B4</f>
        <v>43338.0875</v>
      </c>
      <c r="Q9" s="453">
        <f>SUM(C4:E18)</f>
        <v>302050.375</v>
      </c>
      <c r="R9" s="453">
        <f>SUM(F8:I19)</f>
        <v>403231.325</v>
      </c>
      <c r="S9" s="453">
        <f>SUM(J12:K19)</f>
        <v>81980.08125</v>
      </c>
    </row>
    <row r="10" ht="15.75" customHeight="1">
      <c r="B10" s="452"/>
      <c r="C10" s="452"/>
      <c r="D10" s="452"/>
      <c r="E10" s="452"/>
      <c r="F10" s="487"/>
      <c r="G10" s="487"/>
      <c r="H10" s="452">
        <v>35995.33125</v>
      </c>
      <c r="J10" s="487"/>
      <c r="K10" s="487"/>
      <c r="L10" s="487"/>
      <c r="M10" s="487"/>
      <c r="O10" s="452" t="s">
        <v>84</v>
      </c>
      <c r="P10" s="452"/>
      <c r="Q10" s="453">
        <f>B21+F23+B27+B29+B31+B33</f>
        <v>496459.2</v>
      </c>
      <c r="R10" s="453">
        <f>F23+F28+F33</f>
        <v>144096</v>
      </c>
      <c r="S10" s="453">
        <f>J25+J28+30000</f>
        <v>168420</v>
      </c>
    </row>
    <row r="11" ht="15.75" customHeight="1">
      <c r="B11" s="452"/>
      <c r="C11" s="452"/>
      <c r="D11" s="452"/>
      <c r="E11" s="452"/>
      <c r="F11" s="487"/>
      <c r="G11" s="487"/>
      <c r="H11" s="452">
        <v>35995.33125</v>
      </c>
      <c r="J11" s="487"/>
      <c r="K11" s="487"/>
      <c r="L11" s="487"/>
      <c r="M11" s="487"/>
      <c r="O11" s="452"/>
      <c r="P11" s="453">
        <f t="shared" ref="P11:S11" si="1">P8++P9+P10</f>
        <v>75174.75417</v>
      </c>
      <c r="Q11" s="453">
        <f t="shared" si="1"/>
        <v>862182.9083</v>
      </c>
      <c r="R11" s="453">
        <f t="shared" si="1"/>
        <v>547327.325</v>
      </c>
      <c r="S11" s="453">
        <f t="shared" si="1"/>
        <v>250400.0813</v>
      </c>
    </row>
    <row r="12" ht="15.75" customHeight="1">
      <c r="B12" s="452"/>
      <c r="C12" s="452"/>
      <c r="D12" s="452"/>
      <c r="E12" s="452"/>
      <c r="F12" s="487"/>
      <c r="G12" s="487"/>
      <c r="H12" s="487"/>
      <c r="I12" s="487"/>
      <c r="J12" s="452">
        <v>26317.0</v>
      </c>
      <c r="L12" s="489"/>
      <c r="M12" s="487"/>
      <c r="O12" s="452"/>
      <c r="P12" s="452"/>
      <c r="Q12" s="452"/>
      <c r="R12" s="452"/>
      <c r="S12" s="452"/>
    </row>
    <row r="13" ht="15.75" customHeight="1">
      <c r="B13" s="452"/>
      <c r="C13" s="452"/>
      <c r="D13" s="452"/>
      <c r="E13" s="452"/>
      <c r="F13" s="487"/>
      <c r="G13" s="487"/>
      <c r="H13" s="487"/>
      <c r="I13" s="487"/>
      <c r="J13" s="452">
        <v>25995.33125</v>
      </c>
      <c r="L13" s="489"/>
      <c r="M13" s="487"/>
      <c r="P13" s="482">
        <f t="shared" ref="P13:S13" si="2">P8/P11</f>
        <v>0.4235021055</v>
      </c>
      <c r="Q13" s="482">
        <f t="shared" si="2"/>
        <v>0.07385130547</v>
      </c>
      <c r="R13" s="482">
        <f t="shared" si="2"/>
        <v>0</v>
      </c>
      <c r="S13" s="482">
        <f t="shared" si="2"/>
        <v>0</v>
      </c>
    </row>
    <row r="14" ht="15.75" customHeight="1">
      <c r="B14" s="452"/>
      <c r="C14" s="452"/>
      <c r="D14" s="452"/>
      <c r="E14" s="452"/>
      <c r="F14" s="487"/>
      <c r="G14" s="487"/>
      <c r="H14" s="487"/>
      <c r="I14" s="487"/>
      <c r="J14" s="487"/>
      <c r="K14" s="487"/>
      <c r="L14" s="487"/>
      <c r="P14" s="482">
        <f t="shared" ref="P14:S14" si="3">P9/P11</f>
        <v>0.5764978945</v>
      </c>
      <c r="Q14" s="482">
        <f t="shared" si="3"/>
        <v>0.3503321303</v>
      </c>
      <c r="R14" s="482">
        <f t="shared" si="3"/>
        <v>0.736727926</v>
      </c>
      <c r="S14" s="482">
        <f t="shared" si="3"/>
        <v>0.3273963844</v>
      </c>
    </row>
    <row r="15" ht="15.75" customHeight="1">
      <c r="B15" s="452"/>
      <c r="C15" s="452"/>
      <c r="D15" s="452"/>
      <c r="E15" s="452"/>
      <c r="F15" s="487"/>
      <c r="G15" s="487"/>
      <c r="H15" s="487"/>
      <c r="I15" s="487"/>
      <c r="J15" s="487"/>
      <c r="K15" s="487"/>
      <c r="L15" s="487"/>
      <c r="P15" s="452"/>
      <c r="Q15" s="482">
        <f t="shared" ref="Q15:S15" si="4">Q10/Q11</f>
        <v>0.5758165642</v>
      </c>
      <c r="R15" s="482">
        <f t="shared" si="4"/>
        <v>0.263272074</v>
      </c>
      <c r="S15" s="482">
        <f t="shared" si="4"/>
        <v>0.6726036156</v>
      </c>
    </row>
    <row r="16" ht="15.75" customHeight="1">
      <c r="B16" s="452"/>
      <c r="C16" s="452">
        <v>118193.625</v>
      </c>
      <c r="D16" s="452">
        <v>118193.625</v>
      </c>
      <c r="F16" s="452"/>
      <c r="G16" s="452"/>
      <c r="H16" s="452"/>
      <c r="I16" s="452"/>
      <c r="J16" s="452"/>
      <c r="K16" s="452"/>
      <c r="L16" s="452"/>
      <c r="M16" s="452"/>
      <c r="P16" s="452"/>
      <c r="Q16" s="452"/>
      <c r="R16" s="452"/>
      <c r="S16" s="452"/>
    </row>
    <row r="17" ht="15.75" customHeight="1">
      <c r="B17" s="452"/>
      <c r="C17" s="452"/>
      <c r="F17" s="452"/>
      <c r="G17" s="490"/>
      <c r="H17" s="452"/>
      <c r="I17" s="452"/>
      <c r="J17" s="452"/>
      <c r="K17" s="452"/>
      <c r="L17" s="452"/>
      <c r="M17" s="452"/>
      <c r="P17" s="452"/>
      <c r="Q17" s="452"/>
      <c r="R17" s="452"/>
      <c r="S17" s="452"/>
    </row>
    <row r="18" ht="15.75" customHeight="1">
      <c r="B18" s="452"/>
      <c r="C18" s="452"/>
      <c r="D18" s="452"/>
      <c r="E18" s="452"/>
      <c r="F18" s="452">
        <v>259250.0</v>
      </c>
      <c r="J18" s="452">
        <v>29667.75</v>
      </c>
      <c r="L18" s="485"/>
      <c r="M18" s="485"/>
      <c r="N18" s="157"/>
      <c r="O18" s="157"/>
      <c r="P18" s="452"/>
      <c r="Q18" s="452"/>
      <c r="R18" s="452"/>
      <c r="S18" s="452"/>
    </row>
    <row r="19" ht="15.75" customHeight="1">
      <c r="B19" s="452"/>
      <c r="C19" s="452"/>
      <c r="D19" s="452"/>
      <c r="E19" s="452"/>
      <c r="L19" s="485"/>
      <c r="M19" s="485"/>
      <c r="N19" s="157"/>
      <c r="O19" s="157"/>
      <c r="P19" s="452"/>
      <c r="Q19" s="452"/>
      <c r="R19" s="452"/>
      <c r="S19" s="452"/>
    </row>
    <row r="20" ht="15.75" customHeight="1">
      <c r="B20" s="491"/>
      <c r="C20" s="491"/>
      <c r="D20" s="491"/>
      <c r="E20" s="491"/>
      <c r="F20" s="491"/>
      <c r="G20" s="491"/>
      <c r="H20" s="491"/>
      <c r="I20" s="491"/>
      <c r="J20" s="491"/>
      <c r="K20" s="491"/>
      <c r="L20" s="491"/>
      <c r="M20" s="491"/>
      <c r="P20" s="452"/>
      <c r="Q20" s="452"/>
      <c r="R20" s="452"/>
      <c r="S20" s="452"/>
    </row>
    <row r="21" ht="15.75" customHeight="1">
      <c r="B21" s="452">
        <v>114612.0</v>
      </c>
      <c r="F21" s="452"/>
      <c r="G21" s="452"/>
      <c r="H21" s="452"/>
      <c r="I21" s="452"/>
      <c r="J21" s="452"/>
      <c r="K21" s="452"/>
      <c r="L21" s="452"/>
      <c r="M21" s="452"/>
      <c r="P21" s="452"/>
      <c r="Q21" s="452"/>
      <c r="R21" s="452"/>
      <c r="S21" s="452"/>
    </row>
    <row r="22" ht="15.75" customHeight="1">
      <c r="F22" s="452"/>
      <c r="G22" s="452"/>
      <c r="H22" s="452"/>
      <c r="I22" s="452"/>
      <c r="J22" s="452"/>
      <c r="K22" s="452"/>
      <c r="L22" s="452"/>
      <c r="M22" s="452"/>
      <c r="P22" s="452"/>
      <c r="Q22" s="452"/>
      <c r="R22" s="452"/>
      <c r="S22" s="452"/>
    </row>
    <row r="23" ht="15.75" customHeight="1">
      <c r="B23" s="452"/>
      <c r="C23" s="452"/>
      <c r="D23" s="452"/>
      <c r="E23" s="492"/>
      <c r="F23" s="492">
        <v>45652.0</v>
      </c>
      <c r="J23" s="492"/>
    </row>
    <row r="24" ht="15.75" customHeight="1">
      <c r="B24" s="452"/>
      <c r="C24" s="452"/>
      <c r="D24" s="452"/>
    </row>
    <row r="25" ht="15.75" customHeight="1">
      <c r="B25" s="452"/>
      <c r="C25" s="452"/>
      <c r="D25" s="452"/>
      <c r="E25" s="452"/>
      <c r="F25" s="452"/>
      <c r="G25" s="452"/>
      <c r="H25" s="452"/>
      <c r="I25" s="452"/>
      <c r="J25" s="452">
        <v>114612.0</v>
      </c>
    </row>
    <row r="26" ht="15.75" customHeight="1">
      <c r="B26" s="452"/>
      <c r="C26" s="452"/>
      <c r="D26" s="452"/>
      <c r="E26" s="452"/>
      <c r="F26" s="452"/>
      <c r="G26" s="452"/>
      <c r="H26" s="452"/>
      <c r="I26" s="452"/>
    </row>
    <row r="27" ht="15.75" customHeight="1">
      <c r="B27" s="452">
        <v>30563.2</v>
      </c>
      <c r="F27" s="452"/>
      <c r="G27" s="452"/>
      <c r="H27" s="452"/>
      <c r="I27" s="452"/>
      <c r="J27" s="452"/>
      <c r="K27" s="452"/>
      <c r="L27" s="452"/>
      <c r="M27" s="452"/>
    </row>
    <row r="28" ht="15.75" customHeight="1">
      <c r="B28" s="452"/>
      <c r="C28" s="452"/>
      <c r="D28" s="452"/>
      <c r="E28" s="452"/>
      <c r="F28" s="452">
        <v>22036.0</v>
      </c>
      <c r="J28" s="452">
        <v>23808.0</v>
      </c>
    </row>
    <row r="29" ht="15.75" customHeight="1">
      <c r="B29" s="452">
        <v>91689.6</v>
      </c>
      <c r="F29" s="452"/>
      <c r="G29" s="452"/>
      <c r="H29" s="452"/>
      <c r="I29" s="452"/>
      <c r="J29" s="452"/>
      <c r="K29" s="452"/>
      <c r="L29" s="452"/>
      <c r="M29" s="452"/>
    </row>
    <row r="30" ht="15.75" customHeight="1">
      <c r="F30" s="452"/>
      <c r="G30" s="452"/>
      <c r="H30" s="452"/>
      <c r="I30" s="452"/>
      <c r="J30" s="452"/>
      <c r="K30" s="452"/>
      <c r="L30" s="452"/>
      <c r="M30" s="452"/>
    </row>
    <row r="31" ht="15.75" customHeight="1">
      <c r="B31" s="452">
        <v>137534.4</v>
      </c>
      <c r="F31" s="493"/>
      <c r="G31" s="452"/>
      <c r="H31" s="452"/>
      <c r="I31" s="452"/>
      <c r="J31" s="452"/>
      <c r="K31" s="452"/>
      <c r="L31" s="452"/>
      <c r="M31" s="452"/>
    </row>
    <row r="32" ht="15.75" customHeight="1">
      <c r="F32" s="493"/>
      <c r="G32" s="452"/>
      <c r="H32" s="452"/>
      <c r="I32" s="452"/>
      <c r="J32" s="452"/>
      <c r="K32" s="452"/>
      <c r="L32" s="452"/>
      <c r="M32" s="452"/>
    </row>
    <row r="33" ht="15.75" customHeight="1">
      <c r="B33" s="452">
        <v>76408.0</v>
      </c>
      <c r="F33" s="452">
        <v>76408.0</v>
      </c>
      <c r="J33" s="452"/>
      <c r="K33" s="452"/>
      <c r="L33" s="452"/>
      <c r="M33" s="452"/>
    </row>
    <row r="34" ht="15.75" customHeight="1">
      <c r="J34" s="452"/>
      <c r="K34" s="452"/>
      <c r="L34" s="452"/>
      <c r="M34" s="452"/>
    </row>
    <row r="35" ht="15.75" customHeight="1">
      <c r="J35" s="452"/>
      <c r="K35" s="452"/>
      <c r="L35" s="452"/>
      <c r="M35" s="452"/>
    </row>
    <row r="36" ht="15.75" customHeight="1">
      <c r="B36" s="494">
        <v>75174.75416666667</v>
      </c>
      <c r="F36" s="452">
        <v>564267.9916666667</v>
      </c>
      <c r="J36" s="452">
        <v>220400.08125</v>
      </c>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2">
    <mergeCell ref="B4:B5"/>
    <mergeCell ref="C4:C5"/>
    <mergeCell ref="D4:D5"/>
    <mergeCell ref="F6:F7"/>
    <mergeCell ref="G6:G7"/>
    <mergeCell ref="H6:H7"/>
    <mergeCell ref="F8:G8"/>
    <mergeCell ref="F9:G9"/>
    <mergeCell ref="H10:I10"/>
    <mergeCell ref="H11:I11"/>
    <mergeCell ref="J12:K12"/>
    <mergeCell ref="J13:K13"/>
    <mergeCell ref="L14:M14"/>
    <mergeCell ref="L15:M15"/>
    <mergeCell ref="F28:I28"/>
    <mergeCell ref="J28:M28"/>
    <mergeCell ref="D16:E17"/>
    <mergeCell ref="F18:I19"/>
    <mergeCell ref="J18:K19"/>
    <mergeCell ref="B21:E22"/>
    <mergeCell ref="F23:I24"/>
    <mergeCell ref="J23:M24"/>
    <mergeCell ref="J25:M26"/>
    <mergeCell ref="F36:I36"/>
    <mergeCell ref="J36:M36"/>
    <mergeCell ref="E23:E24"/>
    <mergeCell ref="B27:E27"/>
    <mergeCell ref="B29:E30"/>
    <mergeCell ref="B31:E32"/>
    <mergeCell ref="B33:E35"/>
    <mergeCell ref="F33:I35"/>
    <mergeCell ref="B36:E36"/>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6" width="14.43"/>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4.43"/>
    <col customWidth="1" min="2" max="2" width="2.14"/>
    <col customWidth="1" min="3" max="3" width="31.57"/>
    <col customWidth="1" min="4" max="4" width="45.57"/>
    <col customWidth="1" min="5" max="5" width="27.57"/>
    <col customWidth="1" min="6" max="6" width="14.43"/>
    <col customWidth="1" min="9" max="9" width="18.14"/>
    <col customWidth="1" min="10" max="10" width="3.0"/>
  </cols>
  <sheetData>
    <row r="1" ht="15.75" customHeight="1"/>
    <row r="2" ht="15.75" customHeight="1"/>
    <row r="3" ht="15.75" customHeight="1"/>
    <row r="4" ht="15.75" customHeight="1"/>
    <row r="5" ht="15.75" customHeight="1"/>
    <row r="6" ht="15.75" customHeight="1"/>
    <row r="7" ht="15.75" customHeight="1"/>
    <row r="8" ht="15.75" customHeight="1">
      <c r="B8" s="396"/>
      <c r="C8" s="495" t="s">
        <v>5</v>
      </c>
      <c r="D8" s="495" t="s">
        <v>260</v>
      </c>
      <c r="E8" s="495" t="s">
        <v>117</v>
      </c>
      <c r="F8" s="495" t="s">
        <v>138</v>
      </c>
      <c r="G8" s="495" t="s">
        <v>123</v>
      </c>
      <c r="H8" s="495" t="s">
        <v>125</v>
      </c>
      <c r="I8" s="495" t="s">
        <v>128</v>
      </c>
      <c r="J8" s="396"/>
      <c r="K8" s="172" t="s">
        <v>267</v>
      </c>
    </row>
    <row r="9" ht="15.75" customHeight="1">
      <c r="B9" s="396"/>
      <c r="C9" s="496" t="s">
        <v>60</v>
      </c>
      <c r="D9" s="497" t="s">
        <v>268</v>
      </c>
      <c r="E9" s="498">
        <f>' TIGER V7'!P11</f>
        <v>68767.2</v>
      </c>
      <c r="F9" s="499">
        <f>' TIGER V7'!AA11</f>
        <v>68767.2</v>
      </c>
      <c r="G9" s="499"/>
      <c r="H9" s="499"/>
      <c r="I9" s="499"/>
      <c r="J9" s="396"/>
      <c r="K9" s="500">
        <f t="shared" ref="K9:K11" si="1">F9+G9+H9+I9</f>
        <v>68767.2</v>
      </c>
    </row>
    <row r="10" ht="15.75" customHeight="1">
      <c r="B10" s="396"/>
      <c r="D10" s="497" t="s">
        <v>269</v>
      </c>
      <c r="E10" s="498">
        <f>'TIGER V5'!H11-E9</f>
        <v>590670.6</v>
      </c>
      <c r="F10" s="499"/>
      <c r="G10" s="499">
        <f>' TIGER V7'!AC13+' TIGER V7'!AC15</f>
        <v>250000</v>
      </c>
      <c r="H10" s="499">
        <f>' TIGER V7'!AG13+' TIGER V7'!AG15</f>
        <v>174236</v>
      </c>
      <c r="I10" s="499">
        <f>' TIGER V7'!AK13+' TIGER V7'!AK15</f>
        <v>80057</v>
      </c>
      <c r="J10" s="396"/>
      <c r="K10" s="500">
        <f t="shared" si="1"/>
        <v>504293</v>
      </c>
    </row>
    <row r="11" ht="15.75" customHeight="1">
      <c r="B11" s="396"/>
      <c r="D11" s="497" t="s">
        <v>270</v>
      </c>
      <c r="E11" s="498">
        <f>'TIGER V5'!H22</f>
        <v>659437.8</v>
      </c>
      <c r="F11" s="499"/>
      <c r="G11" s="499">
        <f>' TIGER V7'!AC23+' TIGER V7'!AC24</f>
        <v>233243</v>
      </c>
      <c r="H11" s="499">
        <f>' TIGER V7'!AG22+' TIGER V7'!AG23+' TIGER V7'!AG24</f>
        <v>253265</v>
      </c>
      <c r="I11" s="499">
        <f>' TIGER V7'!AK22+' TIGER V7'!AK24</f>
        <v>86551</v>
      </c>
      <c r="J11" s="396"/>
      <c r="K11" s="500">
        <f t="shared" si="1"/>
        <v>573059</v>
      </c>
    </row>
    <row r="12" ht="15.75" customHeight="1">
      <c r="A12" s="396"/>
      <c r="B12" s="396"/>
      <c r="C12" s="501"/>
      <c r="D12" s="502"/>
      <c r="E12" s="498"/>
      <c r="F12" s="503"/>
      <c r="G12" s="503"/>
      <c r="H12" s="503"/>
      <c r="I12" s="503"/>
      <c r="J12" s="396"/>
      <c r="K12" s="396"/>
      <c r="L12" s="396"/>
      <c r="M12" s="396"/>
      <c r="N12" s="396"/>
      <c r="O12" s="396"/>
      <c r="P12" s="396"/>
      <c r="Q12" s="396"/>
      <c r="R12" s="396"/>
      <c r="S12" s="396"/>
      <c r="T12" s="396"/>
      <c r="U12" s="396"/>
      <c r="V12" s="396"/>
      <c r="W12" s="396"/>
    </row>
    <row r="13" ht="15.75" customHeight="1">
      <c r="B13" s="396"/>
      <c r="C13" s="504" t="s">
        <v>271</v>
      </c>
      <c r="D13" s="497" t="s">
        <v>272</v>
      </c>
      <c r="E13" s="498">
        <f>'TIGER V5'!H26+'TIGER V5'!H36</f>
        <v>545135.248</v>
      </c>
      <c r="F13" s="499">
        <f>' TIGER V7'!AA26+' TIGER V7'!AA36</f>
        <v>65603</v>
      </c>
      <c r="G13" s="499">
        <f>' TIGER V7'!AC26+' TIGER V7'!AC27+' TIGER V7'!AC29+' TIGER V7'!AC36</f>
        <v>263621.72</v>
      </c>
      <c r="H13" s="499">
        <f>' TIGER V7'!AG27+' TIGER V7'!AG29</f>
        <v>60000</v>
      </c>
      <c r="I13" s="499">
        <f>' TIGER V7'!AK29</f>
        <v>23379</v>
      </c>
      <c r="J13" s="396"/>
      <c r="K13" s="500">
        <f t="shared" ref="K13:K15" si="2">F13+G13+H13+I13</f>
        <v>412603.72</v>
      </c>
    </row>
    <row r="14" ht="15.75" customHeight="1">
      <c r="B14" s="396"/>
      <c r="D14" s="497" t="s">
        <v>154</v>
      </c>
      <c r="E14" s="498">
        <f>'TIGER V5'!H32</f>
        <v>158265.072</v>
      </c>
      <c r="F14" s="499"/>
      <c r="G14" s="499">
        <f>' TIGER V7'!AC32+' TIGER V7'!AC34</f>
        <v>135893</v>
      </c>
      <c r="H14" s="499">
        <f>' TIGER V7'!AG32+' TIGER V7'!AG34</f>
        <v>42767</v>
      </c>
      <c r="I14" s="499">
        <f>' TIGER V7'!AK34</f>
        <v>20000</v>
      </c>
      <c r="J14" s="396"/>
      <c r="K14" s="500">
        <f t="shared" si="2"/>
        <v>198660</v>
      </c>
    </row>
    <row r="15" ht="15.75" customHeight="1">
      <c r="B15" s="396"/>
      <c r="D15" s="497" t="s">
        <v>269</v>
      </c>
      <c r="E15" s="498">
        <f>'TIGER V5'!H40</f>
        <v>175850.08</v>
      </c>
      <c r="F15" s="499">
        <f>' TIGER V7'!AA40</f>
        <v>32474</v>
      </c>
      <c r="G15" s="499">
        <f>' TIGER V7'!AC40</f>
        <v>75930</v>
      </c>
      <c r="H15" s="499">
        <f>' TIGER V7'!AG40</f>
        <v>34000</v>
      </c>
      <c r="I15" s="499">
        <f>' TIGER V7'!AK40</f>
        <v>10413</v>
      </c>
      <c r="J15" s="396"/>
      <c r="K15" s="500">
        <f t="shared" si="2"/>
        <v>152817</v>
      </c>
    </row>
    <row r="16" ht="15.75" customHeight="1">
      <c r="A16" s="396"/>
      <c r="B16" s="396"/>
      <c r="C16" s="396"/>
      <c r="D16" s="396"/>
      <c r="E16" s="505"/>
      <c r="F16" s="396"/>
      <c r="G16" s="396"/>
      <c r="H16" s="396"/>
      <c r="I16" s="396"/>
      <c r="J16" s="396"/>
      <c r="K16" s="396"/>
      <c r="L16" s="396"/>
      <c r="M16" s="396"/>
      <c r="N16" s="396"/>
      <c r="O16" s="396"/>
      <c r="P16" s="396"/>
      <c r="Q16" s="396"/>
      <c r="R16" s="396"/>
      <c r="S16" s="396"/>
      <c r="T16" s="396"/>
      <c r="U16" s="396"/>
      <c r="V16" s="396"/>
      <c r="W16" s="396"/>
    </row>
    <row r="17" ht="15.75" customHeight="1">
      <c r="E17" s="506"/>
      <c r="F17" s="158">
        <f t="shared" ref="F17:I17" si="3">sum(F9:F15)</f>
        <v>166844.2</v>
      </c>
      <c r="G17" s="158">
        <f t="shared" si="3"/>
        <v>958687.72</v>
      </c>
      <c r="H17" s="158">
        <f t="shared" si="3"/>
        <v>564268</v>
      </c>
      <c r="I17" s="158">
        <f t="shared" si="3"/>
        <v>220400</v>
      </c>
      <c r="K17" s="158">
        <f>sum(K9:K15)</f>
        <v>1910199.92</v>
      </c>
    </row>
    <row r="18" ht="15.75" customHeight="1">
      <c r="E18" s="506"/>
    </row>
    <row r="19" ht="15.75" customHeight="1">
      <c r="E19" s="506"/>
    </row>
    <row r="20" ht="15.75" customHeight="1">
      <c r="C20" s="210"/>
      <c r="D20" s="211" t="s">
        <v>169</v>
      </c>
      <c r="E20" s="212" t="s">
        <v>170</v>
      </c>
      <c r="F20" s="213"/>
      <c r="G20" s="211" t="s">
        <v>171</v>
      </c>
      <c r="H20" s="214" t="s">
        <v>172</v>
      </c>
      <c r="I20" s="211" t="s">
        <v>173</v>
      </c>
    </row>
    <row r="21" ht="15.75" customHeight="1">
      <c r="C21" s="215" t="s">
        <v>174</v>
      </c>
      <c r="D21" s="216"/>
      <c r="E21" s="251">
        <v>166844.0</v>
      </c>
      <c r="G21" s="252">
        <v>958688.0</v>
      </c>
      <c r="H21" s="253">
        <v>564268.0</v>
      </c>
      <c r="I21" s="252">
        <v>220400.0</v>
      </c>
    </row>
    <row r="22" ht="15.75" customHeight="1">
      <c r="E22" s="506"/>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C9:C11"/>
    <mergeCell ref="C13:C15"/>
    <mergeCell ref="E20:F20"/>
    <mergeCell ref="E21:F21"/>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2" width="0.43"/>
    <col customWidth="1" min="3" max="3" width="44.14"/>
    <col customWidth="1" min="4" max="4" width="47.0"/>
    <col customWidth="1" min="5" max="5" width="95.57"/>
    <col customWidth="1" min="6" max="6" width="50.43"/>
    <col customWidth="1" min="7" max="7" width="32.43"/>
    <col customWidth="1" min="8" max="9" width="26.14"/>
    <col customWidth="1" min="10" max="10" width="21.29"/>
    <col customWidth="1" min="11" max="11" width="27.0"/>
  </cols>
  <sheetData>
    <row r="1" ht="15.75" customHeight="1">
      <c r="C1" s="372" t="s">
        <v>273</v>
      </c>
      <c r="F1" s="507" t="s">
        <v>274</v>
      </c>
    </row>
    <row r="2" ht="15.75" customHeight="1">
      <c r="C2" s="36"/>
      <c r="D2" s="36"/>
      <c r="E2" s="36" t="s">
        <v>32</v>
      </c>
      <c r="F2" s="36" t="s">
        <v>275</v>
      </c>
      <c r="G2" s="36" t="s">
        <v>138</v>
      </c>
      <c r="H2" s="36" t="s">
        <v>123</v>
      </c>
      <c r="I2" s="36" t="s">
        <v>125</v>
      </c>
      <c r="J2" s="36" t="s">
        <v>128</v>
      </c>
      <c r="K2" s="36" t="s">
        <v>131</v>
      </c>
    </row>
    <row r="3" ht="15.75" customHeight="1">
      <c r="C3" s="46" t="s">
        <v>53</v>
      </c>
      <c r="D3" s="49" t="s">
        <v>54</v>
      </c>
      <c r="E3" s="46" t="s">
        <v>55</v>
      </c>
      <c r="F3" s="508" t="s">
        <v>276</v>
      </c>
    </row>
    <row r="4" ht="15.75" customHeight="1">
      <c r="C4" s="64"/>
      <c r="E4" s="65"/>
    </row>
    <row r="5" ht="15.75" customHeight="1">
      <c r="C5" s="65"/>
      <c r="D5" s="46" t="s">
        <v>61</v>
      </c>
      <c r="E5" s="45" t="s">
        <v>277</v>
      </c>
      <c r="G5" s="508">
        <v>1.0</v>
      </c>
    </row>
    <row r="6" ht="15.75" customHeight="1">
      <c r="C6" s="46" t="s">
        <v>65</v>
      </c>
      <c r="D6" s="126"/>
      <c r="E6" s="45" t="s">
        <v>162</v>
      </c>
      <c r="H6" s="508">
        <v>1.0</v>
      </c>
      <c r="J6" s="508">
        <v>1.0</v>
      </c>
    </row>
    <row r="7" ht="15.75" customHeight="1">
      <c r="A7" s="396"/>
      <c r="B7" s="396"/>
      <c r="C7" s="87"/>
      <c r="D7" s="87"/>
      <c r="E7" s="89"/>
      <c r="F7" s="509"/>
      <c r="G7" s="509"/>
      <c r="H7" s="509"/>
      <c r="I7" s="509"/>
      <c r="J7" s="396"/>
      <c r="K7" s="396"/>
      <c r="L7" s="396"/>
      <c r="M7" s="396"/>
      <c r="N7" s="396"/>
      <c r="O7" s="396"/>
      <c r="P7" s="396"/>
      <c r="Q7" s="396"/>
      <c r="R7" s="396"/>
      <c r="S7" s="396"/>
      <c r="T7" s="396"/>
      <c r="U7" s="396"/>
      <c r="V7" s="396"/>
      <c r="W7" s="396"/>
      <c r="X7" s="396"/>
    </row>
    <row r="8" ht="15.75" customHeight="1">
      <c r="C8" s="102" t="s">
        <v>76</v>
      </c>
      <c r="D8" s="103" t="s">
        <v>77</v>
      </c>
      <c r="E8" s="45" t="s">
        <v>78</v>
      </c>
      <c r="F8" s="510" t="s">
        <v>278</v>
      </c>
    </row>
    <row r="9" ht="15.75" customHeight="1">
      <c r="C9" s="105" t="s">
        <v>79</v>
      </c>
      <c r="D9" s="106" t="s">
        <v>80</v>
      </c>
      <c r="E9" s="45" t="s">
        <v>81</v>
      </c>
    </row>
    <row r="10" ht="15.75" customHeight="1">
      <c r="C10" s="109"/>
      <c r="D10" s="106" t="s">
        <v>77</v>
      </c>
      <c r="E10" s="45" t="s">
        <v>83</v>
      </c>
    </row>
    <row r="11" ht="15.75" customHeight="1">
      <c r="C11" s="110" t="s">
        <v>53</v>
      </c>
      <c r="D11" s="111"/>
      <c r="E11" s="45" t="s">
        <v>78</v>
      </c>
    </row>
    <row r="12" ht="15.75" customHeight="1">
      <c r="A12" s="396"/>
      <c r="B12" s="396"/>
      <c r="C12" s="114"/>
      <c r="D12" s="114"/>
      <c r="E12" s="116"/>
      <c r="F12" s="396"/>
      <c r="G12" s="396"/>
      <c r="H12" s="396"/>
      <c r="I12" s="396"/>
      <c r="J12" s="396"/>
      <c r="K12" s="396"/>
      <c r="L12" s="396"/>
      <c r="M12" s="396"/>
      <c r="N12" s="396"/>
      <c r="O12" s="396"/>
      <c r="P12" s="396"/>
      <c r="Q12" s="396"/>
      <c r="R12" s="396"/>
      <c r="S12" s="396"/>
      <c r="T12" s="396"/>
      <c r="U12" s="396"/>
      <c r="V12" s="396"/>
      <c r="W12" s="396"/>
      <c r="X12" s="396"/>
    </row>
    <row r="13" ht="15.75" customHeight="1">
      <c r="C13" s="46" t="s">
        <v>53</v>
      </c>
      <c r="D13" s="126" t="s">
        <v>86</v>
      </c>
      <c r="E13" s="45" t="s">
        <v>87</v>
      </c>
      <c r="F13" s="508" t="s">
        <v>276</v>
      </c>
    </row>
    <row r="14" ht="15.75" customHeight="1">
      <c r="C14" s="65"/>
      <c r="D14" s="46" t="s">
        <v>89</v>
      </c>
      <c r="E14" s="45" t="s">
        <v>164</v>
      </c>
      <c r="G14" s="508">
        <v>1.0</v>
      </c>
    </row>
    <row r="15" ht="15.75" customHeight="1">
      <c r="C15" s="45"/>
      <c r="D15" s="126"/>
      <c r="E15" s="45" t="s">
        <v>166</v>
      </c>
      <c r="H15" s="508">
        <v>1.0</v>
      </c>
      <c r="J15" s="508">
        <v>1.0</v>
      </c>
    </row>
    <row r="16" ht="15.75" customHeight="1">
      <c r="C16" s="132" t="s">
        <v>98</v>
      </c>
      <c r="D16" s="43" t="s">
        <v>99</v>
      </c>
      <c r="E16" s="45" t="s">
        <v>100</v>
      </c>
      <c r="G16" s="508">
        <v>1.0</v>
      </c>
    </row>
    <row r="17" ht="15.75" customHeight="1">
      <c r="C17" s="132" t="s">
        <v>98</v>
      </c>
      <c r="D17" s="45" t="s">
        <v>104</v>
      </c>
      <c r="E17" s="45" t="s">
        <v>104</v>
      </c>
      <c r="G17" s="508" t="s">
        <v>279</v>
      </c>
    </row>
    <row r="18" ht="15.75" customHeight="1">
      <c r="A18" s="396"/>
      <c r="B18" s="396"/>
      <c r="C18" s="89"/>
      <c r="D18" s="89"/>
      <c r="E18" s="89"/>
      <c r="F18" s="396"/>
      <c r="G18" s="396"/>
      <c r="H18" s="396"/>
      <c r="I18" s="396"/>
      <c r="J18" s="396"/>
      <c r="K18" s="396"/>
      <c r="L18" s="396"/>
      <c r="M18" s="396"/>
      <c r="N18" s="396"/>
      <c r="O18" s="396"/>
      <c r="P18" s="396"/>
      <c r="Q18" s="396"/>
      <c r="R18" s="396"/>
      <c r="S18" s="396"/>
      <c r="T18" s="396"/>
      <c r="U18" s="396"/>
      <c r="V18" s="396"/>
      <c r="W18" s="396"/>
      <c r="X18" s="396"/>
    </row>
    <row r="19" ht="15.75" customHeight="1">
      <c r="C19" s="46" t="s">
        <v>71</v>
      </c>
      <c r="D19" s="46" t="s">
        <v>106</v>
      </c>
      <c r="E19" s="45" t="s">
        <v>107</v>
      </c>
      <c r="J19" s="508" t="s">
        <v>280</v>
      </c>
    </row>
    <row r="20" ht="15.75" customHeight="1">
      <c r="C20" s="65"/>
      <c r="D20" s="65"/>
      <c r="E20" s="45" t="s">
        <v>107</v>
      </c>
    </row>
    <row r="21" ht="15.75" customHeight="1">
      <c r="A21" s="396"/>
      <c r="B21" s="396"/>
      <c r="C21" s="144"/>
      <c r="D21" s="89"/>
      <c r="E21" s="89"/>
      <c r="F21" s="396"/>
      <c r="G21" s="396"/>
      <c r="H21" s="396"/>
      <c r="I21" s="396"/>
      <c r="J21" s="396"/>
      <c r="K21" s="396"/>
      <c r="L21" s="396"/>
      <c r="M21" s="396"/>
      <c r="N21" s="396"/>
      <c r="O21" s="396"/>
      <c r="P21" s="396"/>
      <c r="Q21" s="396"/>
      <c r="R21" s="396"/>
      <c r="S21" s="396"/>
      <c r="T21" s="396"/>
      <c r="U21" s="396"/>
      <c r="V21" s="396"/>
      <c r="W21" s="396"/>
      <c r="X21" s="396"/>
    </row>
    <row r="22" ht="15.75" customHeight="1">
      <c r="C22" s="102" t="s">
        <v>76</v>
      </c>
      <c r="D22" s="45" t="s">
        <v>111</v>
      </c>
      <c r="E22" s="45" t="s">
        <v>112</v>
      </c>
      <c r="F22" s="508" t="s">
        <v>281</v>
      </c>
    </row>
    <row r="23" ht="15.75" customHeight="1">
      <c r="A23" s="396"/>
      <c r="B23" s="396"/>
      <c r="C23" s="396"/>
      <c r="D23" s="396"/>
      <c r="E23" s="396"/>
      <c r="F23" s="396"/>
      <c r="G23" s="396"/>
      <c r="H23" s="396"/>
      <c r="I23" s="396"/>
      <c r="J23" s="396"/>
      <c r="K23" s="396"/>
      <c r="L23" s="396"/>
      <c r="M23" s="396"/>
      <c r="N23" s="396"/>
      <c r="O23" s="396"/>
      <c r="P23" s="396"/>
      <c r="Q23" s="396"/>
      <c r="R23" s="396"/>
      <c r="S23" s="396"/>
      <c r="T23" s="396"/>
      <c r="U23" s="396"/>
      <c r="V23" s="396"/>
      <c r="W23" s="396"/>
      <c r="X23" s="396"/>
    </row>
    <row r="24" ht="46.5" customHeight="1">
      <c r="E24" s="511" t="s">
        <v>282</v>
      </c>
      <c r="F24" s="512">
        <v>16.0</v>
      </c>
      <c r="G24" s="513" t="s">
        <v>283</v>
      </c>
      <c r="H24" s="513">
        <v>1.0</v>
      </c>
      <c r="I24" s="513"/>
      <c r="J24" s="513"/>
      <c r="K24" s="513"/>
      <c r="L24" s="513"/>
    </row>
    <row r="25" ht="15.75" customHeight="1">
      <c r="E25" s="514" t="s">
        <v>284</v>
      </c>
      <c r="F25" s="515">
        <v>12.0</v>
      </c>
      <c r="G25" s="513" t="s">
        <v>89</v>
      </c>
      <c r="H25" s="513">
        <v>7.0</v>
      </c>
      <c r="I25" s="513"/>
      <c r="J25" s="513"/>
      <c r="K25" s="513"/>
      <c r="L25" s="513"/>
    </row>
    <row r="26" ht="15.75" customHeight="1"/>
    <row r="27" ht="15.75" customHeight="1"/>
    <row r="28" ht="54.0" customHeight="1">
      <c r="F28" s="516"/>
      <c r="G28" s="513" t="s">
        <v>285</v>
      </c>
      <c r="H28" s="517">
        <v>4.0</v>
      </c>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6">
    <mergeCell ref="H15:I15"/>
    <mergeCell ref="J15:K15"/>
    <mergeCell ref="G16:J16"/>
    <mergeCell ref="G17:I17"/>
    <mergeCell ref="J19:K20"/>
    <mergeCell ref="F22:G22"/>
    <mergeCell ref="C3:C5"/>
    <mergeCell ref="D3:D4"/>
    <mergeCell ref="E3:E4"/>
    <mergeCell ref="F3:F4"/>
    <mergeCell ref="H6:I6"/>
    <mergeCell ref="J6:K6"/>
    <mergeCell ref="F8:K11"/>
    <mergeCell ref="G25:G27"/>
    <mergeCell ref="H25:H27"/>
    <mergeCell ref="I25:I27"/>
    <mergeCell ref="J25:J27"/>
    <mergeCell ref="K25:K27"/>
    <mergeCell ref="L25:L27"/>
    <mergeCell ref="C9:C10"/>
    <mergeCell ref="D10:D11"/>
    <mergeCell ref="C13:C14"/>
    <mergeCell ref="C19:C20"/>
    <mergeCell ref="D19:D20"/>
    <mergeCell ref="E25:E27"/>
    <mergeCell ref="F25:F27"/>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2" width="0.43"/>
    <col customWidth="1" min="3" max="3" width="35.57"/>
    <col customWidth="1" min="4" max="4" width="38.14"/>
    <col customWidth="1" min="5" max="5" width="52.71"/>
    <col customWidth="1" min="6" max="6" width="35.57"/>
    <col customWidth="1" min="7" max="7" width="32.43"/>
    <col customWidth="1" min="8" max="9" width="26.14"/>
    <col customWidth="1" min="10" max="10" width="21.29"/>
    <col customWidth="1" min="11" max="11" width="27.0"/>
  </cols>
  <sheetData>
    <row r="1" ht="15.75" customHeight="1">
      <c r="C1" s="507"/>
      <c r="F1" s="507"/>
    </row>
    <row r="2" ht="15.75" customHeight="1">
      <c r="C2" s="36"/>
      <c r="D2" s="36"/>
      <c r="E2" s="36" t="s">
        <v>32</v>
      </c>
      <c r="F2" s="36" t="s">
        <v>286</v>
      </c>
      <c r="G2" s="36" t="s">
        <v>138</v>
      </c>
      <c r="H2" s="36" t="s">
        <v>123</v>
      </c>
      <c r="I2" s="36" t="s">
        <v>125</v>
      </c>
      <c r="J2" s="36" t="s">
        <v>128</v>
      </c>
      <c r="K2" s="36" t="s">
        <v>131</v>
      </c>
    </row>
    <row r="3" ht="15.75" customHeight="1">
      <c r="A3" s="396"/>
      <c r="B3" s="396"/>
      <c r="C3" s="87"/>
      <c r="D3" s="87"/>
      <c r="E3" s="89"/>
      <c r="F3" s="509"/>
      <c r="G3" s="509"/>
      <c r="H3" s="509"/>
      <c r="I3" s="509"/>
      <c r="J3" s="396"/>
      <c r="K3" s="396"/>
      <c r="L3" s="396"/>
      <c r="M3" s="396"/>
      <c r="N3" s="396"/>
      <c r="O3" s="396"/>
      <c r="P3" s="396"/>
      <c r="Q3" s="396"/>
      <c r="R3" s="396"/>
      <c r="S3" s="396"/>
      <c r="T3" s="396"/>
      <c r="U3" s="396"/>
      <c r="V3" s="396"/>
      <c r="W3" s="396"/>
      <c r="X3" s="396"/>
    </row>
    <row r="4" ht="15.75" customHeight="1">
      <c r="C4" s="102" t="s">
        <v>76</v>
      </c>
      <c r="D4" s="103" t="s">
        <v>77</v>
      </c>
      <c r="E4" s="45" t="s">
        <v>287</v>
      </c>
      <c r="F4" s="518">
        <f>' TIGER V3'!Q21</f>
        <v>145076.316</v>
      </c>
      <c r="G4" s="519"/>
    </row>
    <row r="5" ht="15.75" customHeight="1">
      <c r="C5" s="105" t="s">
        <v>79</v>
      </c>
      <c r="D5" s="106" t="s">
        <v>80</v>
      </c>
      <c r="E5" s="45" t="s">
        <v>81</v>
      </c>
      <c r="F5" s="518">
        <f>' TIGER V3'!Q22</f>
        <v>230803.23</v>
      </c>
      <c r="G5" s="519"/>
      <c r="H5" s="519"/>
    </row>
    <row r="6" ht="15.75" customHeight="1">
      <c r="C6" s="109"/>
      <c r="D6" s="106" t="s">
        <v>77</v>
      </c>
      <c r="E6" s="45" t="s">
        <v>83</v>
      </c>
      <c r="F6" s="518">
        <f>' TIGER V3'!Q23</f>
        <v>118698.804</v>
      </c>
      <c r="I6" s="519"/>
      <c r="J6" s="519"/>
    </row>
    <row r="7" ht="15.75" customHeight="1">
      <c r="C7" s="110" t="s">
        <v>53</v>
      </c>
      <c r="D7" s="111"/>
      <c r="E7" s="45" t="s">
        <v>288</v>
      </c>
      <c r="F7" s="518">
        <f>' TIGER V3'!Q24</f>
        <v>164859.45</v>
      </c>
      <c r="I7" s="519"/>
    </row>
    <row r="8" ht="15.75" customHeight="1">
      <c r="A8" s="396"/>
      <c r="B8" s="396"/>
      <c r="C8" s="114"/>
      <c r="D8" s="114"/>
      <c r="E8" s="116"/>
      <c r="F8" s="396"/>
      <c r="G8" s="396"/>
      <c r="H8" s="396"/>
      <c r="I8" s="396"/>
      <c r="J8" s="396"/>
      <c r="K8" s="396"/>
      <c r="L8" s="396"/>
      <c r="M8" s="396"/>
      <c r="N8" s="396"/>
      <c r="O8" s="396"/>
      <c r="P8" s="396"/>
      <c r="Q8" s="396"/>
      <c r="R8" s="396"/>
      <c r="S8" s="396"/>
      <c r="T8" s="396"/>
      <c r="U8" s="396"/>
      <c r="V8" s="396"/>
      <c r="W8" s="396"/>
      <c r="X8" s="396"/>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C5:C6"/>
    <mergeCell ref="D6:D7"/>
  </mergeCell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6" width="14.43"/>
    <col customWidth="1" min="7" max="7" width="24.43"/>
    <col customWidth="1" min="8" max="8" width="25.86"/>
    <col customWidth="1" min="9" max="9" width="141.0"/>
    <col customWidth="1" min="13" max="13" width="21.57"/>
    <col customWidth="1" min="14" max="14" width="20.71"/>
    <col customWidth="1" min="35" max="35" width="21.29"/>
  </cols>
  <sheetData>
    <row r="1" ht="15.75" customHeight="1">
      <c r="A1" s="520" t="s">
        <v>289</v>
      </c>
      <c r="B1" s="521"/>
      <c r="C1" s="521"/>
      <c r="D1" s="521"/>
      <c r="E1" s="521"/>
      <c r="F1" s="521"/>
      <c r="G1" s="521"/>
      <c r="H1" s="521"/>
      <c r="I1" s="521"/>
      <c r="J1" s="521"/>
      <c r="K1" s="521"/>
      <c r="L1" s="521"/>
      <c r="M1" s="521"/>
      <c r="N1" s="521"/>
      <c r="O1" s="521"/>
      <c r="P1" s="521"/>
      <c r="Q1" s="521"/>
      <c r="R1" s="521"/>
      <c r="S1" s="521"/>
      <c r="T1" s="521"/>
      <c r="U1" s="521"/>
      <c r="V1" s="522"/>
      <c r="W1" s="523" t="s">
        <v>290</v>
      </c>
      <c r="X1" s="521"/>
      <c r="Y1" s="521"/>
      <c r="Z1" s="521"/>
      <c r="AA1" s="521"/>
      <c r="AB1" s="521"/>
      <c r="AC1" s="522"/>
      <c r="AD1" s="524" t="s">
        <v>291</v>
      </c>
      <c r="AE1" s="525"/>
      <c r="AF1" s="526"/>
      <c r="AG1" s="527" t="s">
        <v>292</v>
      </c>
      <c r="AH1" s="521"/>
      <c r="AI1" s="521"/>
      <c r="AJ1" s="521"/>
      <c r="AK1" s="521"/>
      <c r="AL1" s="522"/>
    </row>
    <row r="2" ht="15.75" customHeight="1">
      <c r="A2" s="528"/>
      <c r="B2" s="141"/>
      <c r="C2" s="141"/>
      <c r="D2" s="141"/>
      <c r="E2" s="141"/>
      <c r="F2" s="141"/>
      <c r="G2" s="141"/>
      <c r="H2" s="141"/>
      <c r="I2" s="141"/>
      <c r="J2" s="141"/>
      <c r="K2" s="141"/>
      <c r="L2" s="141"/>
      <c r="M2" s="141"/>
      <c r="N2" s="141"/>
      <c r="O2" s="141"/>
      <c r="P2" s="141"/>
      <c r="Q2" s="141"/>
      <c r="R2" s="141"/>
      <c r="S2" s="141"/>
      <c r="T2" s="141"/>
      <c r="U2" s="141"/>
      <c r="V2" s="143"/>
      <c r="W2" s="528"/>
      <c r="X2" s="141"/>
      <c r="Y2" s="141"/>
      <c r="Z2" s="141"/>
      <c r="AA2" s="141"/>
      <c r="AB2" s="141"/>
      <c r="AC2" s="143"/>
      <c r="AD2" s="529"/>
      <c r="AE2" s="530"/>
      <c r="AF2" s="531"/>
      <c r="AG2" s="528"/>
      <c r="AH2" s="141"/>
      <c r="AI2" s="141"/>
      <c r="AJ2" s="141"/>
      <c r="AK2" s="141"/>
      <c r="AL2" s="143"/>
    </row>
    <row r="3" ht="15.75" customHeight="1">
      <c r="A3" s="532" t="s">
        <v>293</v>
      </c>
      <c r="B3" s="533" t="s">
        <v>294</v>
      </c>
      <c r="C3" s="533" t="s">
        <v>295</v>
      </c>
      <c r="D3" s="532" t="s">
        <v>2</v>
      </c>
      <c r="E3" s="533" t="s">
        <v>296</v>
      </c>
      <c r="F3" s="532" t="s">
        <v>297</v>
      </c>
      <c r="G3" s="533" t="s">
        <v>298</v>
      </c>
      <c r="H3" s="533" t="s">
        <v>299</v>
      </c>
      <c r="I3" s="533" t="s">
        <v>300</v>
      </c>
      <c r="J3" s="532" t="s">
        <v>301</v>
      </c>
      <c r="K3" s="533" t="s">
        <v>302</v>
      </c>
      <c r="L3" s="533" t="s">
        <v>303</v>
      </c>
      <c r="M3" s="533" t="s">
        <v>304</v>
      </c>
      <c r="N3" s="533" t="s">
        <v>305</v>
      </c>
      <c r="O3" s="532" t="s">
        <v>306</v>
      </c>
      <c r="P3" s="532" t="s">
        <v>307</v>
      </c>
      <c r="Q3" s="532" t="s">
        <v>308</v>
      </c>
      <c r="R3" s="532" t="s">
        <v>309</v>
      </c>
      <c r="S3" s="532" t="s">
        <v>310</v>
      </c>
      <c r="T3" s="532" t="s">
        <v>311</v>
      </c>
      <c r="U3" s="532" t="s">
        <v>312</v>
      </c>
      <c r="V3" s="533" t="s">
        <v>313</v>
      </c>
      <c r="W3" s="533" t="s">
        <v>314</v>
      </c>
      <c r="X3" s="534" t="s">
        <v>315</v>
      </c>
      <c r="Y3" s="534" t="s">
        <v>316</v>
      </c>
      <c r="Z3" s="534" t="s">
        <v>317</v>
      </c>
      <c r="AA3" s="534" t="s">
        <v>318</v>
      </c>
      <c r="AB3" s="534" t="s">
        <v>319</v>
      </c>
      <c r="AC3" s="534" t="s">
        <v>320</v>
      </c>
      <c r="AD3" s="535" t="s">
        <v>321</v>
      </c>
      <c r="AE3" s="535" t="s">
        <v>322</v>
      </c>
      <c r="AF3" s="536" t="s">
        <v>323</v>
      </c>
      <c r="AG3" s="537" t="s">
        <v>324</v>
      </c>
      <c r="AH3" s="537" t="s">
        <v>325</v>
      </c>
      <c r="AI3" s="536" t="s">
        <v>326</v>
      </c>
      <c r="AJ3" s="537" t="s">
        <v>327</v>
      </c>
      <c r="AK3" s="537" t="s">
        <v>328</v>
      </c>
      <c r="AL3" s="537" t="s">
        <v>329</v>
      </c>
    </row>
    <row r="4" ht="15.75" customHeight="1">
      <c r="A4" s="538" t="s">
        <v>330</v>
      </c>
      <c r="B4" s="539" t="s">
        <v>331</v>
      </c>
      <c r="C4" s="539" t="s">
        <v>332</v>
      </c>
      <c r="D4" s="538" t="s">
        <v>333</v>
      </c>
      <c r="E4" s="539" t="s">
        <v>334</v>
      </c>
      <c r="F4" s="538" t="s">
        <v>335</v>
      </c>
      <c r="G4" s="539" t="s">
        <v>85</v>
      </c>
      <c r="H4" s="539" t="s">
        <v>85</v>
      </c>
      <c r="I4" s="540" t="s">
        <v>336</v>
      </c>
      <c r="J4" s="538" t="s">
        <v>337</v>
      </c>
      <c r="K4" s="539" t="s">
        <v>88</v>
      </c>
      <c r="L4" s="539" t="s">
        <v>338</v>
      </c>
      <c r="M4" s="541">
        <v>43980.0</v>
      </c>
      <c r="N4" s="541">
        <v>44074.0</v>
      </c>
      <c r="O4" s="538"/>
      <c r="P4" s="542" t="s">
        <v>339</v>
      </c>
      <c r="Q4" s="538" t="s">
        <v>340</v>
      </c>
      <c r="R4" s="538" t="s">
        <v>341</v>
      </c>
      <c r="S4" s="538" t="s">
        <v>341</v>
      </c>
      <c r="T4" s="538" t="s">
        <v>341</v>
      </c>
      <c r="U4" s="538" t="s">
        <v>342</v>
      </c>
      <c r="V4" s="543">
        <f>191020/4.17</f>
        <v>45808.15348</v>
      </c>
      <c r="W4" s="538" t="s">
        <v>43</v>
      </c>
      <c r="X4" s="544">
        <v>2.0</v>
      </c>
      <c r="Y4" s="544">
        <f t="shared" ref="Y4:Y12" si="2">V4</f>
        <v>45808.15348</v>
      </c>
      <c r="Z4" s="545">
        <f t="shared" ref="Z4:Z5" si="3">Y4/X4*1000</f>
        <v>22904076.74</v>
      </c>
      <c r="AA4" s="538"/>
      <c r="AB4" s="538"/>
      <c r="AC4" s="538"/>
      <c r="AD4" s="538" t="str">
        <f t="shared" ref="AD4:AE4" si="1">W4</f>
        <v>CPM</v>
      </c>
      <c r="AE4" s="544">
        <f t="shared" si="1"/>
        <v>2</v>
      </c>
      <c r="AF4" s="546">
        <f t="shared" ref="AF4:AF12" si="5">Z4</f>
        <v>22904076.74</v>
      </c>
      <c r="AG4" s="538"/>
      <c r="AH4" s="538"/>
      <c r="AI4" s="538" t="s">
        <v>343</v>
      </c>
      <c r="AJ4" s="538"/>
      <c r="AK4" s="538"/>
      <c r="AL4" s="538"/>
    </row>
    <row r="5" ht="15.75" customHeight="1">
      <c r="A5" s="538" t="s">
        <v>330</v>
      </c>
      <c r="B5" s="539" t="s">
        <v>331</v>
      </c>
      <c r="C5" s="539" t="s">
        <v>332</v>
      </c>
      <c r="D5" s="538" t="s">
        <v>333</v>
      </c>
      <c r="E5" s="539" t="s">
        <v>334</v>
      </c>
      <c r="F5" s="538" t="s">
        <v>335</v>
      </c>
      <c r="G5" s="539" t="s">
        <v>110</v>
      </c>
      <c r="H5" s="539" t="s">
        <v>110</v>
      </c>
      <c r="I5" s="540" t="s">
        <v>344</v>
      </c>
      <c r="J5" s="538" t="s">
        <v>337</v>
      </c>
      <c r="K5" s="539" t="s">
        <v>88</v>
      </c>
      <c r="L5" s="539" t="s">
        <v>338</v>
      </c>
      <c r="M5" s="541">
        <v>43980.0</v>
      </c>
      <c r="N5" s="541">
        <v>44074.0</v>
      </c>
      <c r="O5" s="538"/>
      <c r="P5" s="542" t="s">
        <v>339</v>
      </c>
      <c r="Q5" s="538" t="s">
        <v>340</v>
      </c>
      <c r="R5" s="538" t="s">
        <v>341</v>
      </c>
      <c r="S5" s="538" t="s">
        <v>341</v>
      </c>
      <c r="T5" s="538" t="s">
        <v>341</v>
      </c>
      <c r="U5" s="538" t="s">
        <v>342</v>
      </c>
      <c r="V5" s="543">
        <f>199240/4.17</f>
        <v>47779.3765</v>
      </c>
      <c r="W5" s="538" t="s">
        <v>43</v>
      </c>
      <c r="X5" s="544">
        <v>15.0</v>
      </c>
      <c r="Y5" s="544">
        <f t="shared" si="2"/>
        <v>47779.3765</v>
      </c>
      <c r="Z5" s="545">
        <f t="shared" si="3"/>
        <v>3185291.767</v>
      </c>
      <c r="AA5" s="538"/>
      <c r="AB5" s="538"/>
      <c r="AC5" s="538"/>
      <c r="AD5" s="538" t="str">
        <f t="shared" ref="AD5:AE5" si="4">W5</f>
        <v>CPM</v>
      </c>
      <c r="AE5" s="544">
        <f t="shared" si="4"/>
        <v>15</v>
      </c>
      <c r="AF5" s="546">
        <f t="shared" si="5"/>
        <v>3185291.767</v>
      </c>
      <c r="AG5" s="538"/>
      <c r="AH5" s="538"/>
      <c r="AI5" s="538" t="s">
        <v>345</v>
      </c>
      <c r="AJ5" s="538"/>
      <c r="AK5" s="538"/>
      <c r="AL5" s="538"/>
    </row>
    <row r="6" ht="15.75" customHeight="1">
      <c r="A6" s="538" t="s">
        <v>330</v>
      </c>
      <c r="B6" s="539" t="s">
        <v>331</v>
      </c>
      <c r="C6" s="539" t="s">
        <v>332</v>
      </c>
      <c r="D6" s="538" t="s">
        <v>333</v>
      </c>
      <c r="E6" s="539" t="s">
        <v>334</v>
      </c>
      <c r="F6" s="538" t="s">
        <v>335</v>
      </c>
      <c r="G6" s="539" t="s">
        <v>110</v>
      </c>
      <c r="H6" s="539" t="s">
        <v>110</v>
      </c>
      <c r="I6" s="540" t="s">
        <v>346</v>
      </c>
      <c r="J6" s="538" t="s">
        <v>337</v>
      </c>
      <c r="K6" s="539" t="s">
        <v>88</v>
      </c>
      <c r="L6" s="539" t="s">
        <v>347</v>
      </c>
      <c r="M6" s="541">
        <v>43980.0</v>
      </c>
      <c r="N6" s="541">
        <v>44074.0</v>
      </c>
      <c r="O6" s="538"/>
      <c r="P6" s="542" t="s">
        <v>339</v>
      </c>
      <c r="Q6" s="538" t="s">
        <v>340</v>
      </c>
      <c r="R6" s="538" t="s">
        <v>341</v>
      </c>
      <c r="S6" s="538" t="s">
        <v>341</v>
      </c>
      <c r="T6" s="538" t="s">
        <v>341</v>
      </c>
      <c r="U6" s="538" t="s">
        <v>342</v>
      </c>
      <c r="V6" s="543">
        <f>291701/4.17</f>
        <v>69952.27818</v>
      </c>
      <c r="W6" s="538" t="s">
        <v>40</v>
      </c>
      <c r="X6" s="544">
        <v>0.07</v>
      </c>
      <c r="Y6" s="544">
        <f t="shared" si="2"/>
        <v>69952.27818</v>
      </c>
      <c r="Z6" s="545">
        <f t="shared" ref="Z6:Z7" si="7">Y6/X6</f>
        <v>999318.2597</v>
      </c>
      <c r="AA6" s="538"/>
      <c r="AB6" s="538"/>
      <c r="AC6" s="538"/>
      <c r="AD6" s="538" t="str">
        <f t="shared" ref="AD6:AE6" si="6">W6</f>
        <v>CPV</v>
      </c>
      <c r="AE6" s="544">
        <f t="shared" si="6"/>
        <v>0.07</v>
      </c>
      <c r="AF6" s="546">
        <f t="shared" si="5"/>
        <v>999318.2597</v>
      </c>
      <c r="AG6" s="538"/>
      <c r="AH6" s="538"/>
      <c r="AI6" s="538" t="s">
        <v>348</v>
      </c>
      <c r="AJ6" s="538"/>
      <c r="AK6" s="538"/>
      <c r="AL6" s="538"/>
    </row>
    <row r="7" ht="15.75" customHeight="1">
      <c r="A7" s="538" t="s">
        <v>330</v>
      </c>
      <c r="B7" s="539" t="s">
        <v>331</v>
      </c>
      <c r="C7" s="539" t="s">
        <v>332</v>
      </c>
      <c r="D7" s="538" t="s">
        <v>333</v>
      </c>
      <c r="E7" s="539" t="s">
        <v>334</v>
      </c>
      <c r="F7" s="538" t="s">
        <v>335</v>
      </c>
      <c r="G7" s="539" t="s">
        <v>349</v>
      </c>
      <c r="H7" s="539" t="s">
        <v>155</v>
      </c>
      <c r="I7" s="540" t="s">
        <v>350</v>
      </c>
      <c r="J7" s="538" t="s">
        <v>337</v>
      </c>
      <c r="K7" s="539" t="s">
        <v>88</v>
      </c>
      <c r="L7" s="539" t="s">
        <v>347</v>
      </c>
      <c r="M7" s="541">
        <v>43983.0</v>
      </c>
      <c r="N7" s="541">
        <v>44074.0</v>
      </c>
      <c r="O7" s="538"/>
      <c r="P7" s="542" t="s">
        <v>339</v>
      </c>
      <c r="Q7" s="538" t="s">
        <v>340</v>
      </c>
      <c r="R7" s="538" t="s">
        <v>341</v>
      </c>
      <c r="S7" s="538" t="s">
        <v>341</v>
      </c>
      <c r="T7" s="538" t="s">
        <v>341</v>
      </c>
      <c r="U7" s="538" t="s">
        <v>342</v>
      </c>
      <c r="V7" s="543">
        <f>525305/4.17</f>
        <v>125972.4221</v>
      </c>
      <c r="W7" s="538" t="s">
        <v>40</v>
      </c>
      <c r="X7" s="544">
        <v>0.1</v>
      </c>
      <c r="Y7" s="544">
        <f t="shared" si="2"/>
        <v>125972.4221</v>
      </c>
      <c r="Z7" s="545">
        <f t="shared" si="7"/>
        <v>1259724.221</v>
      </c>
      <c r="AA7" s="538"/>
      <c r="AB7" s="538"/>
      <c r="AC7" s="538"/>
      <c r="AD7" s="538" t="str">
        <f t="shared" ref="AD7:AE7" si="8">W7</f>
        <v>CPV</v>
      </c>
      <c r="AE7" s="544">
        <f t="shared" si="8"/>
        <v>0.1</v>
      </c>
      <c r="AF7" s="546">
        <f t="shared" si="5"/>
        <v>1259724.221</v>
      </c>
      <c r="AG7" s="538"/>
      <c r="AH7" s="538"/>
      <c r="AI7" s="538" t="s">
        <v>348</v>
      </c>
      <c r="AJ7" s="538"/>
      <c r="AK7" s="538"/>
      <c r="AL7" s="538"/>
    </row>
    <row r="8" ht="15.75" customHeight="1">
      <c r="A8" s="538" t="s">
        <v>330</v>
      </c>
      <c r="B8" s="539" t="s">
        <v>331</v>
      </c>
      <c r="C8" s="539" t="s">
        <v>332</v>
      </c>
      <c r="D8" s="538" t="s">
        <v>333</v>
      </c>
      <c r="E8" s="539" t="s">
        <v>334</v>
      </c>
      <c r="F8" s="538" t="s">
        <v>335</v>
      </c>
      <c r="G8" s="539" t="s">
        <v>85</v>
      </c>
      <c r="H8" s="539" t="s">
        <v>85</v>
      </c>
      <c r="I8" s="540" t="s">
        <v>336</v>
      </c>
      <c r="J8" s="538" t="s">
        <v>337</v>
      </c>
      <c r="K8" s="539" t="s">
        <v>88</v>
      </c>
      <c r="L8" s="539" t="s">
        <v>338</v>
      </c>
      <c r="M8" s="541">
        <v>43983.0</v>
      </c>
      <c r="N8" s="541">
        <v>44074.0</v>
      </c>
      <c r="O8" s="538"/>
      <c r="P8" s="542" t="s">
        <v>339</v>
      </c>
      <c r="Q8" s="538" t="s">
        <v>340</v>
      </c>
      <c r="R8" s="538" t="s">
        <v>341</v>
      </c>
      <c r="S8" s="538" t="s">
        <v>341</v>
      </c>
      <c r="T8" s="538" t="s">
        <v>341</v>
      </c>
      <c r="U8" s="538" t="s">
        <v>342</v>
      </c>
      <c r="V8" s="543">
        <f>183379/4.17</f>
        <v>43975.77938</v>
      </c>
      <c r="W8" s="538" t="s">
        <v>43</v>
      </c>
      <c r="X8" s="544">
        <v>2.5</v>
      </c>
      <c r="Y8" s="544">
        <f t="shared" si="2"/>
        <v>43975.77938</v>
      </c>
      <c r="Z8" s="545">
        <f t="shared" ref="Z8:Z10" si="10">Y8/X8*1000</f>
        <v>17590311.75</v>
      </c>
      <c r="AA8" s="538"/>
      <c r="AB8" s="538"/>
      <c r="AC8" s="538"/>
      <c r="AD8" s="538" t="str">
        <f t="shared" ref="AD8:AE8" si="9">W8</f>
        <v>CPM</v>
      </c>
      <c r="AE8" s="544">
        <f t="shared" si="9"/>
        <v>2.5</v>
      </c>
      <c r="AF8" s="546">
        <f t="shared" si="5"/>
        <v>17590311.75</v>
      </c>
      <c r="AG8" s="538"/>
      <c r="AH8" s="538"/>
      <c r="AI8" s="538" t="s">
        <v>343</v>
      </c>
      <c r="AJ8" s="538"/>
      <c r="AK8" s="538"/>
      <c r="AL8" s="538"/>
    </row>
    <row r="9" ht="15.75" customHeight="1">
      <c r="A9" s="538" t="s">
        <v>330</v>
      </c>
      <c r="B9" s="539" t="s">
        <v>331</v>
      </c>
      <c r="C9" s="539" t="s">
        <v>332</v>
      </c>
      <c r="D9" s="538" t="s">
        <v>333</v>
      </c>
      <c r="E9" s="539" t="s">
        <v>334</v>
      </c>
      <c r="F9" s="538" t="s">
        <v>335</v>
      </c>
      <c r="G9" s="539" t="s">
        <v>85</v>
      </c>
      <c r="H9" s="539" t="s">
        <v>105</v>
      </c>
      <c r="I9" s="540" t="s">
        <v>351</v>
      </c>
      <c r="J9" s="538" t="s">
        <v>337</v>
      </c>
      <c r="K9" s="539" t="s">
        <v>88</v>
      </c>
      <c r="L9" s="539" t="s">
        <v>338</v>
      </c>
      <c r="M9" s="541">
        <v>43983.0</v>
      </c>
      <c r="N9" s="541">
        <v>44074.0</v>
      </c>
      <c r="O9" s="538"/>
      <c r="P9" s="542" t="s">
        <v>339</v>
      </c>
      <c r="Q9" s="538" t="s">
        <v>340</v>
      </c>
      <c r="R9" s="538" t="s">
        <v>341</v>
      </c>
      <c r="S9" s="538" t="s">
        <v>341</v>
      </c>
      <c r="T9" s="538" t="s">
        <v>341</v>
      </c>
      <c r="U9" s="538" t="s">
        <v>342</v>
      </c>
      <c r="V9" s="543">
        <f>244506/4.17</f>
        <v>58634.53237</v>
      </c>
      <c r="W9" s="538" t="s">
        <v>43</v>
      </c>
      <c r="X9" s="544">
        <v>2.5</v>
      </c>
      <c r="Y9" s="544">
        <f t="shared" si="2"/>
        <v>58634.53237</v>
      </c>
      <c r="Z9" s="545">
        <f t="shared" si="10"/>
        <v>23453812.95</v>
      </c>
      <c r="AA9" s="538"/>
      <c r="AB9" s="538"/>
      <c r="AC9" s="538"/>
      <c r="AD9" s="538" t="str">
        <f t="shared" ref="AD9:AE9" si="11">W9</f>
        <v>CPM</v>
      </c>
      <c r="AE9" s="544">
        <f t="shared" si="11"/>
        <v>2.5</v>
      </c>
      <c r="AF9" s="546">
        <f t="shared" si="5"/>
        <v>23453812.95</v>
      </c>
      <c r="AG9" s="538"/>
      <c r="AH9" s="538"/>
      <c r="AI9" s="538" t="s">
        <v>352</v>
      </c>
      <c r="AJ9" s="538"/>
      <c r="AK9" s="538"/>
      <c r="AL9" s="538"/>
    </row>
    <row r="10" ht="15.75" customHeight="1">
      <c r="A10" s="538" t="s">
        <v>330</v>
      </c>
      <c r="B10" s="539" t="s">
        <v>331</v>
      </c>
      <c r="C10" s="539" t="s">
        <v>332</v>
      </c>
      <c r="D10" s="538" t="s">
        <v>333</v>
      </c>
      <c r="E10" s="539" t="s">
        <v>334</v>
      </c>
      <c r="F10" s="538" t="s">
        <v>335</v>
      </c>
      <c r="G10" s="539" t="s">
        <v>353</v>
      </c>
      <c r="H10" s="539" t="s">
        <v>155</v>
      </c>
      <c r="I10" s="540" t="s">
        <v>354</v>
      </c>
      <c r="J10" s="538" t="s">
        <v>337</v>
      </c>
      <c r="K10" s="539" t="s">
        <v>88</v>
      </c>
      <c r="L10" s="539" t="s">
        <v>338</v>
      </c>
      <c r="M10" s="541">
        <v>43983.0</v>
      </c>
      <c r="N10" s="541">
        <v>44012.0</v>
      </c>
      <c r="O10" s="538"/>
      <c r="P10" s="542" t="s">
        <v>339</v>
      </c>
      <c r="Q10" s="538" t="s">
        <v>340</v>
      </c>
      <c r="R10" s="538" t="s">
        <v>341</v>
      </c>
      <c r="S10" s="538" t="s">
        <v>341</v>
      </c>
      <c r="T10" s="538" t="s">
        <v>341</v>
      </c>
      <c r="U10" s="538" t="s">
        <v>342</v>
      </c>
      <c r="V10" s="543">
        <f>73352/4.17</f>
        <v>17590.40767</v>
      </c>
      <c r="W10" s="538" t="s">
        <v>43</v>
      </c>
      <c r="X10" s="544">
        <v>5.8</v>
      </c>
      <c r="Y10" s="544">
        <f t="shared" si="2"/>
        <v>17590.40767</v>
      </c>
      <c r="Z10" s="545">
        <f t="shared" si="10"/>
        <v>3032828.909</v>
      </c>
      <c r="AA10" s="538"/>
      <c r="AB10" s="538"/>
      <c r="AC10" s="538"/>
      <c r="AD10" s="538" t="str">
        <f t="shared" ref="AD10:AE10" si="12">W10</f>
        <v>CPM</v>
      </c>
      <c r="AE10" s="544">
        <f t="shared" si="12"/>
        <v>5.8</v>
      </c>
      <c r="AF10" s="546">
        <f t="shared" si="5"/>
        <v>3032828.909</v>
      </c>
      <c r="AG10" s="538"/>
      <c r="AH10" s="538"/>
      <c r="AI10" s="538" t="s">
        <v>355</v>
      </c>
      <c r="AJ10" s="538"/>
      <c r="AK10" s="538"/>
      <c r="AL10" s="538"/>
    </row>
    <row r="11" ht="15.75" customHeight="1">
      <c r="A11" s="538" t="s">
        <v>330</v>
      </c>
      <c r="B11" s="539" t="s">
        <v>331</v>
      </c>
      <c r="C11" s="539" t="s">
        <v>332</v>
      </c>
      <c r="D11" s="538" t="s">
        <v>333</v>
      </c>
      <c r="E11" s="539" t="s">
        <v>334</v>
      </c>
      <c r="F11" s="538" t="s">
        <v>335</v>
      </c>
      <c r="G11" s="539" t="s">
        <v>353</v>
      </c>
      <c r="H11" s="539" t="s">
        <v>155</v>
      </c>
      <c r="I11" s="540" t="s">
        <v>356</v>
      </c>
      <c r="J11" s="538" t="s">
        <v>337</v>
      </c>
      <c r="K11" s="539" t="s">
        <v>88</v>
      </c>
      <c r="L11" s="539" t="s">
        <v>347</v>
      </c>
      <c r="M11" s="541">
        <v>43983.0</v>
      </c>
      <c r="N11" s="541">
        <v>44012.0</v>
      </c>
      <c r="O11" s="538"/>
      <c r="P11" s="542" t="s">
        <v>339</v>
      </c>
      <c r="Q11" s="538" t="s">
        <v>340</v>
      </c>
      <c r="R11" s="538" t="s">
        <v>341</v>
      </c>
      <c r="S11" s="538" t="s">
        <v>341</v>
      </c>
      <c r="T11" s="538" t="s">
        <v>341</v>
      </c>
      <c r="U11" s="538" t="s">
        <v>342</v>
      </c>
      <c r="V11" s="543">
        <f>100028/4.17</f>
        <v>23987.52998</v>
      </c>
      <c r="W11" s="538" t="s">
        <v>40</v>
      </c>
      <c r="X11" s="544">
        <v>0.07</v>
      </c>
      <c r="Y11" s="544">
        <f t="shared" si="2"/>
        <v>23987.52998</v>
      </c>
      <c r="Z11" s="545">
        <f t="shared" ref="Z11:Z12" si="14">Y11/X11</f>
        <v>342678.9997</v>
      </c>
      <c r="AA11" s="538"/>
      <c r="AB11" s="538"/>
      <c r="AC11" s="538"/>
      <c r="AD11" s="538" t="str">
        <f t="shared" ref="AD11:AE11" si="13">W11</f>
        <v>CPV</v>
      </c>
      <c r="AE11" s="544">
        <f t="shared" si="13"/>
        <v>0.07</v>
      </c>
      <c r="AF11" s="546">
        <f t="shared" si="5"/>
        <v>342678.9997</v>
      </c>
      <c r="AG11" s="538"/>
      <c r="AH11" s="538"/>
      <c r="AI11" s="538" t="s">
        <v>357</v>
      </c>
      <c r="AJ11" s="538"/>
      <c r="AK11" s="538"/>
      <c r="AL11" s="538"/>
    </row>
    <row r="12" ht="15.75" customHeight="1">
      <c r="A12" s="538" t="s">
        <v>330</v>
      </c>
      <c r="B12" s="539" t="s">
        <v>331</v>
      </c>
      <c r="C12" s="539" t="s">
        <v>332</v>
      </c>
      <c r="D12" s="538" t="s">
        <v>333</v>
      </c>
      <c r="E12" s="539" t="s">
        <v>334</v>
      </c>
      <c r="F12" s="538" t="s">
        <v>335</v>
      </c>
      <c r="G12" s="539" t="s">
        <v>353</v>
      </c>
      <c r="H12" s="539" t="s">
        <v>155</v>
      </c>
      <c r="I12" s="547" t="s">
        <v>358</v>
      </c>
      <c r="J12" s="538" t="s">
        <v>337</v>
      </c>
      <c r="K12" s="539" t="s">
        <v>359</v>
      </c>
      <c r="L12" s="539" t="s">
        <v>360</v>
      </c>
      <c r="M12" s="541">
        <v>43983.0</v>
      </c>
      <c r="N12" s="541">
        <v>44012.0</v>
      </c>
      <c r="O12" s="538"/>
      <c r="P12" s="542" t="s">
        <v>339</v>
      </c>
      <c r="Q12" s="538" t="s">
        <v>340</v>
      </c>
      <c r="R12" s="538" t="s">
        <v>341</v>
      </c>
      <c r="S12" s="538" t="s">
        <v>341</v>
      </c>
      <c r="T12" s="538" t="s">
        <v>341</v>
      </c>
      <c r="U12" s="538" t="s">
        <v>342</v>
      </c>
      <c r="V12" s="543">
        <f>10000/4.17</f>
        <v>2398.081535</v>
      </c>
      <c r="W12" s="538" t="s">
        <v>42</v>
      </c>
      <c r="X12" s="544">
        <v>0.7</v>
      </c>
      <c r="Y12" s="544">
        <f t="shared" si="2"/>
        <v>2398.081535</v>
      </c>
      <c r="Z12" s="545">
        <f t="shared" si="14"/>
        <v>3425.830764</v>
      </c>
      <c r="AA12" s="538"/>
      <c r="AB12" s="538"/>
      <c r="AC12" s="538"/>
      <c r="AD12" s="538" t="str">
        <f t="shared" ref="AD12:AE12" si="15">W12</f>
        <v>CPC</v>
      </c>
      <c r="AE12" s="544">
        <f t="shared" si="15"/>
        <v>0.7</v>
      </c>
      <c r="AF12" s="546">
        <f t="shared" si="5"/>
        <v>3425.830764</v>
      </c>
      <c r="AG12" s="538"/>
      <c r="AH12" s="538"/>
      <c r="AI12" s="538" t="s">
        <v>357</v>
      </c>
      <c r="AJ12" s="538"/>
      <c r="AK12" s="538"/>
      <c r="AL12" s="538"/>
    </row>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1:V2"/>
    <mergeCell ref="W1:AC2"/>
    <mergeCell ref="AD1:AF2"/>
    <mergeCell ref="AG1:AL2"/>
  </mergeCells>
  <drawing r:id="rId2"/>
  <legacyDrawing r:id="rId3"/>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5A6BD"/>
    <outlinePr summaryBelow="0" summaryRight="0"/>
  </sheetPr>
  <sheetViews>
    <sheetView workbookViewId="0"/>
  </sheetViews>
  <sheetFormatPr customHeight="1" defaultColWidth="14.43" defaultRowHeight="15.0"/>
  <cols>
    <col customWidth="1" min="1" max="6" width="14.43"/>
    <col customWidth="1" min="7" max="7" width="24.43"/>
    <col customWidth="1" min="8" max="8" width="25.86"/>
    <col customWidth="1" min="9" max="9" width="119.71"/>
    <col customWidth="1" min="13" max="13" width="21.57"/>
    <col customWidth="1" min="14" max="14" width="20.71"/>
    <col customWidth="1" min="35" max="35" width="21.29"/>
  </cols>
  <sheetData>
    <row r="1" ht="15.75" customHeight="1">
      <c r="A1" s="548"/>
      <c r="B1" s="548"/>
      <c r="C1" s="548"/>
      <c r="D1" s="548"/>
      <c r="E1" s="548"/>
      <c r="F1" s="548"/>
      <c r="G1" s="548"/>
      <c r="H1" s="548"/>
      <c r="I1" s="548"/>
      <c r="J1" s="548"/>
      <c r="K1" s="548"/>
      <c r="L1" s="548"/>
      <c r="M1" s="548"/>
      <c r="N1" s="548"/>
      <c r="O1" s="548"/>
      <c r="P1" s="548"/>
      <c r="Q1" s="548"/>
      <c r="R1" s="548"/>
      <c r="S1" s="548"/>
      <c r="T1" s="548"/>
      <c r="U1" s="548"/>
    </row>
    <row r="2" ht="15.75" customHeight="1">
      <c r="A2" s="548"/>
      <c r="B2" s="548"/>
      <c r="C2" s="548"/>
      <c r="D2" s="548"/>
      <c r="E2" s="548"/>
      <c r="F2" s="548"/>
      <c r="G2" s="548"/>
      <c r="H2" s="548"/>
      <c r="I2" s="548"/>
      <c r="J2" s="548"/>
      <c r="K2" s="548"/>
      <c r="L2" s="548"/>
      <c r="M2" s="548"/>
      <c r="N2" s="548"/>
      <c r="O2" s="548"/>
      <c r="P2" s="548"/>
      <c r="Q2" s="548"/>
      <c r="R2" s="548"/>
      <c r="S2" s="548"/>
      <c r="T2" s="548"/>
      <c r="U2" s="548"/>
    </row>
    <row r="3" ht="15.75" customHeight="1">
      <c r="A3" s="548"/>
      <c r="B3" s="548"/>
      <c r="C3" s="548"/>
      <c r="D3" s="548"/>
      <c r="E3" s="548"/>
      <c r="F3" s="548"/>
      <c r="G3" s="548"/>
      <c r="H3" s="548"/>
      <c r="I3" s="548"/>
      <c r="J3" s="548"/>
      <c r="K3" s="548"/>
      <c r="L3" s="548"/>
      <c r="M3" s="548"/>
      <c r="N3" s="548"/>
      <c r="O3" s="548"/>
      <c r="P3" s="548"/>
      <c r="Q3" s="548"/>
      <c r="R3" s="548"/>
      <c r="S3" s="548"/>
      <c r="T3" s="548"/>
      <c r="U3" s="548"/>
    </row>
    <row r="4" ht="15.75" customHeight="1">
      <c r="A4" s="548"/>
      <c r="B4" s="548"/>
      <c r="C4" s="548"/>
      <c r="D4" s="548"/>
      <c r="E4" s="548"/>
      <c r="F4" s="548"/>
      <c r="G4" s="548"/>
      <c r="H4" s="548"/>
      <c r="I4" s="548"/>
      <c r="J4" s="548"/>
      <c r="K4" s="548"/>
      <c r="L4" s="548"/>
      <c r="M4" s="548"/>
      <c r="N4" s="548"/>
      <c r="O4" s="548"/>
      <c r="P4" s="548"/>
      <c r="Q4" s="548"/>
      <c r="R4" s="548"/>
      <c r="S4" s="548"/>
      <c r="T4" s="548"/>
      <c r="U4" s="548"/>
    </row>
    <row r="5" ht="15.75" customHeight="1">
      <c r="A5" s="548"/>
      <c r="B5" s="548"/>
      <c r="C5" s="548"/>
      <c r="D5" s="548"/>
      <c r="E5" s="548"/>
      <c r="F5" s="548"/>
      <c r="G5" s="548"/>
      <c r="H5" s="548"/>
      <c r="I5" s="548"/>
      <c r="J5" s="548"/>
      <c r="K5" s="548"/>
      <c r="L5" s="548"/>
      <c r="M5" s="548"/>
      <c r="N5" s="548"/>
      <c r="O5" s="548"/>
      <c r="P5" s="548"/>
      <c r="Q5" s="548"/>
      <c r="R5" s="548"/>
      <c r="S5" s="548"/>
      <c r="T5" s="548"/>
      <c r="U5" s="548"/>
    </row>
    <row r="6" ht="15.75" customHeight="1">
      <c r="A6" s="548"/>
      <c r="B6" s="548"/>
      <c r="C6" s="548"/>
      <c r="D6" s="548"/>
      <c r="E6" s="548"/>
      <c r="F6" s="548"/>
      <c r="G6" s="548"/>
      <c r="H6" s="548"/>
      <c r="I6" s="548"/>
      <c r="J6" s="548"/>
      <c r="K6" s="548"/>
      <c r="L6" s="548"/>
      <c r="M6" s="548"/>
      <c r="N6" s="548"/>
      <c r="O6" s="548"/>
      <c r="P6" s="548"/>
      <c r="Q6" s="548"/>
      <c r="R6" s="548"/>
      <c r="S6" s="548"/>
      <c r="T6" s="548"/>
      <c r="U6" s="548"/>
    </row>
    <row r="7" ht="15.75" customHeight="1">
      <c r="A7" s="548"/>
      <c r="B7" s="548"/>
      <c r="C7" s="548"/>
      <c r="D7" s="548"/>
      <c r="E7" s="548"/>
      <c r="F7" s="548"/>
      <c r="G7" s="548"/>
      <c r="H7" s="548"/>
      <c r="I7" s="548"/>
      <c r="J7" s="548"/>
      <c r="K7" s="548"/>
      <c r="L7" s="548"/>
      <c r="M7" s="548"/>
      <c r="N7" s="548"/>
      <c r="O7" s="548"/>
      <c r="P7" s="548"/>
      <c r="Q7" s="548"/>
      <c r="R7" s="548"/>
      <c r="S7" s="548"/>
      <c r="T7" s="548"/>
      <c r="U7" s="548"/>
      <c r="V7" s="548"/>
      <c r="W7" s="548"/>
      <c r="X7" s="548"/>
      <c r="Y7" s="548"/>
      <c r="Z7" s="548"/>
      <c r="AA7" s="548"/>
      <c r="AB7" s="548"/>
      <c r="AC7" s="548"/>
      <c r="AD7" s="549"/>
      <c r="AE7" s="549"/>
      <c r="AF7" s="549"/>
      <c r="AG7" s="549"/>
      <c r="AH7" s="549"/>
      <c r="AI7" s="549"/>
      <c r="AJ7" s="549"/>
      <c r="AK7" s="549"/>
      <c r="AL7" s="549"/>
    </row>
    <row r="8" ht="15.75" customHeight="1">
      <c r="A8" s="548"/>
      <c r="B8" s="548"/>
      <c r="C8" s="548"/>
      <c r="D8" s="548"/>
      <c r="E8" s="548"/>
      <c r="F8" s="548"/>
      <c r="G8" s="548"/>
      <c r="H8" s="548"/>
      <c r="I8" s="548"/>
      <c r="J8" s="548"/>
      <c r="K8" s="548"/>
      <c r="L8" s="548"/>
      <c r="M8" s="548"/>
      <c r="N8" s="548"/>
      <c r="O8" s="548"/>
      <c r="P8" s="548"/>
      <c r="Q8" s="548"/>
      <c r="R8" s="548"/>
      <c r="S8" s="548"/>
      <c r="T8" s="548"/>
      <c r="U8" s="548"/>
      <c r="V8" s="548"/>
      <c r="W8" s="548"/>
      <c r="X8" s="548"/>
      <c r="Y8" s="548"/>
      <c r="Z8" s="548"/>
      <c r="AA8" s="548"/>
      <c r="AB8" s="548"/>
      <c r="AC8" s="548"/>
      <c r="AD8" s="549"/>
      <c r="AE8" s="549"/>
      <c r="AF8" s="549"/>
      <c r="AG8" s="549"/>
      <c r="AH8" s="549"/>
      <c r="AI8" s="549"/>
      <c r="AJ8" s="549"/>
      <c r="AK8" s="549"/>
      <c r="AL8" s="549"/>
    </row>
    <row r="9" ht="15.75" customHeight="1">
      <c r="A9" s="550" t="s">
        <v>289</v>
      </c>
      <c r="B9" s="521"/>
      <c r="C9" s="521"/>
      <c r="D9" s="521"/>
      <c r="E9" s="521"/>
      <c r="F9" s="521"/>
      <c r="G9" s="521"/>
      <c r="H9" s="521"/>
      <c r="I9" s="521"/>
      <c r="J9" s="521"/>
      <c r="K9" s="521"/>
      <c r="L9" s="521"/>
      <c r="M9" s="521"/>
      <c r="N9" s="521"/>
      <c r="O9" s="521"/>
      <c r="P9" s="521"/>
      <c r="Q9" s="521"/>
      <c r="R9" s="521"/>
      <c r="S9" s="521"/>
      <c r="T9" s="521"/>
      <c r="U9" s="521"/>
      <c r="V9" s="522"/>
      <c r="W9" s="550" t="s">
        <v>290</v>
      </c>
      <c r="X9" s="521"/>
      <c r="Y9" s="521"/>
      <c r="Z9" s="521"/>
      <c r="AA9" s="521"/>
      <c r="AB9" s="521"/>
      <c r="AC9" s="522"/>
      <c r="AD9" s="551" t="s">
        <v>291</v>
      </c>
      <c r="AE9" s="525"/>
      <c r="AF9" s="526"/>
      <c r="AG9" s="552" t="s">
        <v>292</v>
      </c>
      <c r="AH9" s="521"/>
      <c r="AI9" s="521"/>
      <c r="AJ9" s="521"/>
      <c r="AK9" s="521"/>
      <c r="AL9" s="522"/>
    </row>
    <row r="10" ht="15.75" customHeight="1">
      <c r="A10" s="528"/>
      <c r="B10" s="141"/>
      <c r="C10" s="141"/>
      <c r="D10" s="141"/>
      <c r="E10" s="141"/>
      <c r="F10" s="141"/>
      <c r="G10" s="141"/>
      <c r="H10" s="141"/>
      <c r="I10" s="141"/>
      <c r="J10" s="141"/>
      <c r="K10" s="141"/>
      <c r="L10" s="141"/>
      <c r="M10" s="141"/>
      <c r="N10" s="141"/>
      <c r="O10" s="141"/>
      <c r="P10" s="141"/>
      <c r="Q10" s="141"/>
      <c r="R10" s="141"/>
      <c r="S10" s="141"/>
      <c r="T10" s="141"/>
      <c r="U10" s="141"/>
      <c r="V10" s="143"/>
      <c r="W10" s="528"/>
      <c r="X10" s="141"/>
      <c r="Y10" s="141"/>
      <c r="Z10" s="141"/>
      <c r="AA10" s="141"/>
      <c r="AB10" s="141"/>
      <c r="AC10" s="143"/>
      <c r="AD10" s="529"/>
      <c r="AE10" s="530"/>
      <c r="AF10" s="531"/>
      <c r="AG10" s="528"/>
      <c r="AH10" s="141"/>
      <c r="AI10" s="141"/>
      <c r="AJ10" s="141"/>
      <c r="AK10" s="141"/>
      <c r="AL10" s="143"/>
    </row>
    <row r="11" ht="15.75" customHeight="1">
      <c r="A11" s="532" t="s">
        <v>293</v>
      </c>
      <c r="B11" s="533" t="s">
        <v>294</v>
      </c>
      <c r="C11" s="533" t="s">
        <v>295</v>
      </c>
      <c r="D11" s="532" t="s">
        <v>2</v>
      </c>
      <c r="E11" s="533" t="s">
        <v>296</v>
      </c>
      <c r="F11" s="532" t="s">
        <v>297</v>
      </c>
      <c r="G11" s="533" t="s">
        <v>298</v>
      </c>
      <c r="H11" s="533" t="s">
        <v>299</v>
      </c>
      <c r="I11" s="533" t="s">
        <v>300</v>
      </c>
      <c r="J11" s="532" t="s">
        <v>301</v>
      </c>
      <c r="K11" s="533" t="s">
        <v>302</v>
      </c>
      <c r="L11" s="533" t="s">
        <v>303</v>
      </c>
      <c r="M11" s="533" t="s">
        <v>304</v>
      </c>
      <c r="N11" s="533" t="s">
        <v>305</v>
      </c>
      <c r="O11" s="532" t="s">
        <v>306</v>
      </c>
      <c r="P11" s="532" t="s">
        <v>307</v>
      </c>
      <c r="Q11" s="532" t="s">
        <v>308</v>
      </c>
      <c r="R11" s="532" t="s">
        <v>309</v>
      </c>
      <c r="S11" s="532" t="s">
        <v>310</v>
      </c>
      <c r="T11" s="532" t="s">
        <v>311</v>
      </c>
      <c r="U11" s="532" t="s">
        <v>312</v>
      </c>
      <c r="V11" s="533" t="s">
        <v>313</v>
      </c>
      <c r="W11" s="533" t="s">
        <v>314</v>
      </c>
      <c r="X11" s="534" t="s">
        <v>315</v>
      </c>
      <c r="Y11" s="534" t="s">
        <v>316</v>
      </c>
      <c r="Z11" s="534" t="s">
        <v>317</v>
      </c>
      <c r="AA11" s="534" t="s">
        <v>318</v>
      </c>
      <c r="AB11" s="534" t="s">
        <v>319</v>
      </c>
      <c r="AC11" s="534" t="s">
        <v>320</v>
      </c>
      <c r="AD11" s="535" t="s">
        <v>321</v>
      </c>
      <c r="AE11" s="535" t="s">
        <v>322</v>
      </c>
      <c r="AF11" s="536" t="s">
        <v>323</v>
      </c>
      <c r="AG11" s="537" t="s">
        <v>324</v>
      </c>
      <c r="AH11" s="537" t="s">
        <v>325</v>
      </c>
      <c r="AI11" s="536" t="s">
        <v>326</v>
      </c>
      <c r="AJ11" s="537" t="s">
        <v>327</v>
      </c>
      <c r="AK11" s="537" t="s">
        <v>328</v>
      </c>
      <c r="AL11" s="537" t="s">
        <v>329</v>
      </c>
    </row>
    <row r="12" ht="15.75" customHeight="1">
      <c r="A12" s="538" t="s">
        <v>330</v>
      </c>
      <c r="B12" s="539" t="s">
        <v>331</v>
      </c>
      <c r="C12" s="539" t="s">
        <v>332</v>
      </c>
      <c r="D12" s="538" t="s">
        <v>333</v>
      </c>
      <c r="E12" s="539" t="s">
        <v>334</v>
      </c>
      <c r="F12" s="538" t="s">
        <v>335</v>
      </c>
      <c r="G12" s="539" t="s">
        <v>85</v>
      </c>
      <c r="H12" s="539" t="s">
        <v>85</v>
      </c>
      <c r="I12" s="540" t="s">
        <v>336</v>
      </c>
      <c r="J12" s="538" t="s">
        <v>337</v>
      </c>
      <c r="K12" s="539" t="s">
        <v>88</v>
      </c>
      <c r="L12" s="539" t="s">
        <v>338</v>
      </c>
      <c r="M12" s="541">
        <v>43980.0</v>
      </c>
      <c r="N12" s="553">
        <v>44135.0</v>
      </c>
      <c r="O12" s="538"/>
      <c r="P12" s="542" t="s">
        <v>339</v>
      </c>
      <c r="Q12" s="538" t="s">
        <v>340</v>
      </c>
      <c r="R12" s="538" t="s">
        <v>341</v>
      </c>
      <c r="S12" s="538" t="s">
        <v>341</v>
      </c>
      <c r="T12" s="538" t="s">
        <v>341</v>
      </c>
      <c r="U12" s="538" t="s">
        <v>342</v>
      </c>
      <c r="V12" s="543">
        <v>866324.0</v>
      </c>
      <c r="W12" s="538" t="s">
        <v>43</v>
      </c>
      <c r="X12" s="544">
        <v>2.25</v>
      </c>
      <c r="Y12" s="544">
        <v>374399.0</v>
      </c>
      <c r="Z12" s="545">
        <v>1.582493777777778E8</v>
      </c>
      <c r="AA12" s="538"/>
      <c r="AB12" s="538"/>
      <c r="AC12" s="538"/>
      <c r="AD12" s="538" t="s">
        <v>43</v>
      </c>
      <c r="AE12" s="538">
        <v>2.25</v>
      </c>
      <c r="AF12" s="546">
        <v>1.582493777777778E8</v>
      </c>
      <c r="AG12" s="538"/>
      <c r="AH12" s="538"/>
      <c r="AI12" s="538" t="s">
        <v>343</v>
      </c>
      <c r="AJ12" s="538"/>
      <c r="AK12" s="538"/>
      <c r="AL12" s="538"/>
    </row>
    <row r="13" ht="15.75" customHeight="1">
      <c r="A13" s="538" t="s">
        <v>330</v>
      </c>
      <c r="B13" s="539" t="s">
        <v>331</v>
      </c>
      <c r="C13" s="539" t="s">
        <v>332</v>
      </c>
      <c r="D13" s="538" t="s">
        <v>333</v>
      </c>
      <c r="E13" s="539" t="s">
        <v>334</v>
      </c>
      <c r="F13" s="538" t="s">
        <v>335</v>
      </c>
      <c r="G13" s="539" t="s">
        <v>361</v>
      </c>
      <c r="H13" s="539" t="s">
        <v>110</v>
      </c>
      <c r="I13" s="540" t="s">
        <v>344</v>
      </c>
      <c r="J13" s="538" t="s">
        <v>337</v>
      </c>
      <c r="K13" s="539" t="s">
        <v>88</v>
      </c>
      <c r="L13" s="539" t="s">
        <v>338</v>
      </c>
      <c r="M13" s="541">
        <v>43980.0</v>
      </c>
      <c r="N13" s="541">
        <v>44043.0</v>
      </c>
      <c r="O13" s="538"/>
      <c r="P13" s="542" t="s">
        <v>339</v>
      </c>
      <c r="Q13" s="538" t="s">
        <v>340</v>
      </c>
      <c r="R13" s="538" t="s">
        <v>341</v>
      </c>
      <c r="S13" s="538" t="s">
        <v>341</v>
      </c>
      <c r="T13" s="538" t="s">
        <v>341</v>
      </c>
      <c r="U13" s="538" t="s">
        <v>342</v>
      </c>
      <c r="V13" s="543">
        <v>61000.0</v>
      </c>
      <c r="W13" s="538" t="s">
        <v>43</v>
      </c>
      <c r="X13" s="544">
        <v>1.45</v>
      </c>
      <c r="Y13" s="544">
        <f t="shared" ref="Y13:Y19" si="2">V13</f>
        <v>61000</v>
      </c>
      <c r="Z13" s="545">
        <f>Y13/X13*1000</f>
        <v>42068965.52</v>
      </c>
      <c r="AA13" s="538"/>
      <c r="AB13" s="538"/>
      <c r="AC13" s="538"/>
      <c r="AD13" s="538" t="str">
        <f t="shared" ref="AD13:AE13" si="1">W13</f>
        <v>CPM</v>
      </c>
      <c r="AE13" s="544">
        <f t="shared" si="1"/>
        <v>1.45</v>
      </c>
      <c r="AF13" s="546">
        <f t="shared" ref="AF13:AF19" si="4">Z13</f>
        <v>42068965.52</v>
      </c>
      <c r="AG13" s="538"/>
      <c r="AH13" s="538"/>
      <c r="AI13" s="538" t="s">
        <v>345</v>
      </c>
      <c r="AJ13" s="538"/>
      <c r="AK13" s="538"/>
      <c r="AL13" s="538"/>
    </row>
    <row r="14" ht="15.75" customHeight="1">
      <c r="A14" s="538" t="s">
        <v>330</v>
      </c>
      <c r="B14" s="539" t="s">
        <v>331</v>
      </c>
      <c r="C14" s="539" t="s">
        <v>332</v>
      </c>
      <c r="D14" s="538" t="s">
        <v>333</v>
      </c>
      <c r="E14" s="539" t="s">
        <v>334</v>
      </c>
      <c r="F14" s="538" t="s">
        <v>335</v>
      </c>
      <c r="G14" s="539" t="s">
        <v>361</v>
      </c>
      <c r="H14" s="539" t="s">
        <v>110</v>
      </c>
      <c r="I14" s="540" t="s">
        <v>346</v>
      </c>
      <c r="J14" s="538" t="s">
        <v>337</v>
      </c>
      <c r="K14" s="539" t="s">
        <v>88</v>
      </c>
      <c r="L14" s="539" t="s">
        <v>347</v>
      </c>
      <c r="M14" s="541">
        <v>43980.0</v>
      </c>
      <c r="N14" s="541">
        <v>44135.0</v>
      </c>
      <c r="O14" s="538"/>
      <c r="P14" s="542" t="s">
        <v>339</v>
      </c>
      <c r="Q14" s="538" t="s">
        <v>340</v>
      </c>
      <c r="R14" s="538" t="s">
        <v>341</v>
      </c>
      <c r="S14" s="538" t="s">
        <v>341</v>
      </c>
      <c r="T14" s="538" t="s">
        <v>341</v>
      </c>
      <c r="U14" s="538" t="s">
        <v>342</v>
      </c>
      <c r="V14" s="543">
        <v>1090228.59</v>
      </c>
      <c r="W14" s="538" t="s">
        <v>40</v>
      </c>
      <c r="X14" s="544">
        <v>0.07</v>
      </c>
      <c r="Y14" s="544">
        <f t="shared" si="2"/>
        <v>1090228.59</v>
      </c>
      <c r="Z14" s="545">
        <f t="shared" ref="Z14:Z15" si="5">Y14/X14</f>
        <v>15574694.14</v>
      </c>
      <c r="AA14" s="538"/>
      <c r="AB14" s="538"/>
      <c r="AC14" s="538"/>
      <c r="AD14" s="538" t="str">
        <f t="shared" ref="AD14:AE14" si="3">W14</f>
        <v>CPV</v>
      </c>
      <c r="AE14" s="544">
        <f t="shared" si="3"/>
        <v>0.07</v>
      </c>
      <c r="AF14" s="546">
        <f t="shared" si="4"/>
        <v>15574694.14</v>
      </c>
      <c r="AG14" s="538"/>
      <c r="AH14" s="538"/>
      <c r="AI14" s="538" t="s">
        <v>348</v>
      </c>
      <c r="AJ14" s="538"/>
      <c r="AK14" s="538"/>
      <c r="AL14" s="538"/>
    </row>
    <row r="15" ht="15.75" customHeight="1">
      <c r="A15" s="538" t="s">
        <v>330</v>
      </c>
      <c r="B15" s="539" t="s">
        <v>331</v>
      </c>
      <c r="C15" s="539" t="s">
        <v>332</v>
      </c>
      <c r="D15" s="538" t="s">
        <v>333</v>
      </c>
      <c r="E15" s="539" t="s">
        <v>334</v>
      </c>
      <c r="F15" s="538" t="s">
        <v>335</v>
      </c>
      <c r="G15" s="539" t="s">
        <v>362</v>
      </c>
      <c r="H15" s="539" t="s">
        <v>155</v>
      </c>
      <c r="I15" s="540" t="s">
        <v>350</v>
      </c>
      <c r="J15" s="538" t="s">
        <v>337</v>
      </c>
      <c r="K15" s="539" t="s">
        <v>88</v>
      </c>
      <c r="L15" s="539" t="s">
        <v>347</v>
      </c>
      <c r="M15" s="541">
        <v>43983.0</v>
      </c>
      <c r="N15" s="541">
        <v>44135.0</v>
      </c>
      <c r="O15" s="538"/>
      <c r="P15" s="542" t="s">
        <v>339</v>
      </c>
      <c r="Q15" s="538" t="s">
        <v>340</v>
      </c>
      <c r="R15" s="538" t="s">
        <v>341</v>
      </c>
      <c r="S15" s="538" t="s">
        <v>341</v>
      </c>
      <c r="T15" s="538" t="s">
        <v>341</v>
      </c>
      <c r="U15" s="538" t="s">
        <v>342</v>
      </c>
      <c r="V15" s="543">
        <v>1236394.16</v>
      </c>
      <c r="W15" s="538" t="s">
        <v>40</v>
      </c>
      <c r="X15" s="544">
        <v>0.1</v>
      </c>
      <c r="Y15" s="544">
        <f t="shared" si="2"/>
        <v>1236394.16</v>
      </c>
      <c r="Z15" s="545">
        <f t="shared" si="5"/>
        <v>12363941.6</v>
      </c>
      <c r="AA15" s="538"/>
      <c r="AB15" s="538"/>
      <c r="AC15" s="538"/>
      <c r="AD15" s="538" t="str">
        <f t="shared" ref="AD15:AE15" si="6">W15</f>
        <v>CPV</v>
      </c>
      <c r="AE15" s="544">
        <f t="shared" si="6"/>
        <v>0.1</v>
      </c>
      <c r="AF15" s="546">
        <f t="shared" si="4"/>
        <v>12363941.6</v>
      </c>
      <c r="AG15" s="538"/>
      <c r="AH15" s="538"/>
      <c r="AI15" s="538" t="s">
        <v>348</v>
      </c>
      <c r="AJ15" s="538"/>
      <c r="AK15" s="538"/>
      <c r="AL15" s="538"/>
    </row>
    <row r="16" ht="15.75" customHeight="1">
      <c r="A16" s="538" t="s">
        <v>330</v>
      </c>
      <c r="B16" s="539" t="s">
        <v>331</v>
      </c>
      <c r="C16" s="539" t="s">
        <v>332</v>
      </c>
      <c r="D16" s="538" t="s">
        <v>333</v>
      </c>
      <c r="E16" s="539" t="s">
        <v>334</v>
      </c>
      <c r="F16" s="538" t="s">
        <v>335</v>
      </c>
      <c r="G16" s="539" t="s">
        <v>85</v>
      </c>
      <c r="H16" s="539" t="s">
        <v>105</v>
      </c>
      <c r="I16" s="540" t="s">
        <v>351</v>
      </c>
      <c r="J16" s="538" t="s">
        <v>337</v>
      </c>
      <c r="K16" s="539" t="s">
        <v>88</v>
      </c>
      <c r="L16" s="539" t="s">
        <v>338</v>
      </c>
      <c r="M16" s="541">
        <v>43983.0</v>
      </c>
      <c r="N16" s="541">
        <v>44135.0</v>
      </c>
      <c r="O16" s="538"/>
      <c r="P16" s="542" t="s">
        <v>339</v>
      </c>
      <c r="Q16" s="538" t="s">
        <v>340</v>
      </c>
      <c r="R16" s="538" t="s">
        <v>341</v>
      </c>
      <c r="S16" s="538" t="s">
        <v>341</v>
      </c>
      <c r="T16" s="538" t="s">
        <v>341</v>
      </c>
      <c r="U16" s="538" t="s">
        <v>342</v>
      </c>
      <c r="V16" s="543">
        <v>602274.0</v>
      </c>
      <c r="W16" s="538" t="s">
        <v>43</v>
      </c>
      <c r="X16" s="544">
        <v>2.5</v>
      </c>
      <c r="Y16" s="544">
        <f t="shared" si="2"/>
        <v>602274</v>
      </c>
      <c r="Z16" s="545">
        <f t="shared" ref="Z16:Z17" si="8">Y16/X16*1000</f>
        <v>240909600</v>
      </c>
      <c r="AA16" s="538"/>
      <c r="AB16" s="538"/>
      <c r="AC16" s="538"/>
      <c r="AD16" s="538" t="str">
        <f t="shared" ref="AD16:AE16" si="7">W16</f>
        <v>CPM</v>
      </c>
      <c r="AE16" s="544">
        <f t="shared" si="7"/>
        <v>2.5</v>
      </c>
      <c r="AF16" s="546">
        <f t="shared" si="4"/>
        <v>240909600</v>
      </c>
      <c r="AG16" s="538"/>
      <c r="AH16" s="538"/>
      <c r="AI16" s="538" t="s">
        <v>352</v>
      </c>
      <c r="AJ16" s="538"/>
      <c r="AK16" s="538"/>
      <c r="AL16" s="538"/>
    </row>
    <row r="17" ht="15.75" customHeight="1">
      <c r="A17" s="538" t="s">
        <v>330</v>
      </c>
      <c r="B17" s="539" t="s">
        <v>331</v>
      </c>
      <c r="C17" s="539" t="s">
        <v>332</v>
      </c>
      <c r="D17" s="538" t="s">
        <v>333</v>
      </c>
      <c r="E17" s="539" t="s">
        <v>334</v>
      </c>
      <c r="F17" s="538" t="s">
        <v>335</v>
      </c>
      <c r="G17" s="539" t="s">
        <v>362</v>
      </c>
      <c r="H17" s="539" t="s">
        <v>155</v>
      </c>
      <c r="I17" s="540" t="s">
        <v>354</v>
      </c>
      <c r="J17" s="538" t="s">
        <v>337</v>
      </c>
      <c r="K17" s="539" t="s">
        <v>88</v>
      </c>
      <c r="L17" s="539" t="s">
        <v>338</v>
      </c>
      <c r="M17" s="541">
        <v>43983.0</v>
      </c>
      <c r="N17" s="541">
        <v>44104.0</v>
      </c>
      <c r="O17" s="538"/>
      <c r="P17" s="542" t="s">
        <v>339</v>
      </c>
      <c r="Q17" s="538" t="s">
        <v>340</v>
      </c>
      <c r="R17" s="538" t="s">
        <v>341</v>
      </c>
      <c r="S17" s="538" t="s">
        <v>341</v>
      </c>
      <c r="T17" s="538" t="s">
        <v>341</v>
      </c>
      <c r="U17" s="538" t="s">
        <v>342</v>
      </c>
      <c r="V17" s="543">
        <v>196500.0</v>
      </c>
      <c r="W17" s="538" t="s">
        <v>43</v>
      </c>
      <c r="X17" s="544">
        <v>6.0</v>
      </c>
      <c r="Y17" s="544">
        <f t="shared" si="2"/>
        <v>196500</v>
      </c>
      <c r="Z17" s="545">
        <f t="shared" si="8"/>
        <v>32750000</v>
      </c>
      <c r="AA17" s="538"/>
      <c r="AB17" s="538"/>
      <c r="AC17" s="538"/>
      <c r="AD17" s="538" t="str">
        <f t="shared" ref="AD17:AE17" si="9">W17</f>
        <v>CPM</v>
      </c>
      <c r="AE17" s="544">
        <f t="shared" si="9"/>
        <v>6</v>
      </c>
      <c r="AF17" s="546">
        <f t="shared" si="4"/>
        <v>32750000</v>
      </c>
      <c r="AG17" s="538"/>
      <c r="AH17" s="538"/>
      <c r="AI17" s="538" t="s">
        <v>355</v>
      </c>
      <c r="AJ17" s="538"/>
      <c r="AK17" s="538"/>
      <c r="AL17" s="538"/>
    </row>
    <row r="18" ht="15.75" customHeight="1">
      <c r="A18" s="538" t="s">
        <v>330</v>
      </c>
      <c r="B18" s="539" t="s">
        <v>331</v>
      </c>
      <c r="C18" s="539" t="s">
        <v>332</v>
      </c>
      <c r="D18" s="538" t="s">
        <v>333</v>
      </c>
      <c r="E18" s="539" t="s">
        <v>334</v>
      </c>
      <c r="F18" s="538" t="s">
        <v>335</v>
      </c>
      <c r="G18" s="539" t="s">
        <v>362</v>
      </c>
      <c r="H18" s="539" t="s">
        <v>155</v>
      </c>
      <c r="I18" s="540" t="s">
        <v>356</v>
      </c>
      <c r="J18" s="538" t="s">
        <v>337</v>
      </c>
      <c r="K18" s="539" t="s">
        <v>88</v>
      </c>
      <c r="L18" s="539" t="s">
        <v>347</v>
      </c>
      <c r="M18" s="541">
        <v>43983.0</v>
      </c>
      <c r="N18" s="541">
        <v>44104.0</v>
      </c>
      <c r="O18" s="538"/>
      <c r="P18" s="542" t="s">
        <v>339</v>
      </c>
      <c r="Q18" s="538" t="s">
        <v>340</v>
      </c>
      <c r="R18" s="538" t="s">
        <v>341</v>
      </c>
      <c r="S18" s="538" t="s">
        <v>341</v>
      </c>
      <c r="T18" s="538" t="s">
        <v>341</v>
      </c>
      <c r="U18" s="538" t="s">
        <v>342</v>
      </c>
      <c r="V18" s="543">
        <v>168400.0</v>
      </c>
      <c r="W18" s="538" t="s">
        <v>40</v>
      </c>
      <c r="X18" s="544">
        <v>0.07</v>
      </c>
      <c r="Y18" s="544">
        <f t="shared" si="2"/>
        <v>168400</v>
      </c>
      <c r="Z18" s="545">
        <f t="shared" ref="Z18:Z19" si="11">Y18/X18</f>
        <v>2405714.286</v>
      </c>
      <c r="AA18" s="538"/>
      <c r="AB18" s="538"/>
      <c r="AC18" s="538"/>
      <c r="AD18" s="538" t="str">
        <f t="shared" ref="AD18:AE18" si="10">W18</f>
        <v>CPV</v>
      </c>
      <c r="AE18" s="544">
        <f t="shared" si="10"/>
        <v>0.07</v>
      </c>
      <c r="AF18" s="546">
        <f t="shared" si="4"/>
        <v>2405714.286</v>
      </c>
      <c r="AG18" s="538"/>
      <c r="AH18" s="538"/>
      <c r="AI18" s="538" t="s">
        <v>357</v>
      </c>
      <c r="AJ18" s="538"/>
      <c r="AK18" s="538"/>
      <c r="AL18" s="538"/>
    </row>
    <row r="19" ht="15.75" customHeight="1">
      <c r="A19" s="538" t="s">
        <v>330</v>
      </c>
      <c r="B19" s="539" t="s">
        <v>331</v>
      </c>
      <c r="C19" s="539" t="s">
        <v>332</v>
      </c>
      <c r="D19" s="538" t="s">
        <v>333</v>
      </c>
      <c r="E19" s="539" t="s">
        <v>334</v>
      </c>
      <c r="F19" s="538" t="s">
        <v>335</v>
      </c>
      <c r="G19" s="539" t="s">
        <v>362</v>
      </c>
      <c r="H19" s="539" t="s">
        <v>155</v>
      </c>
      <c r="I19" s="547" t="s">
        <v>358</v>
      </c>
      <c r="J19" s="538" t="s">
        <v>337</v>
      </c>
      <c r="K19" s="539" t="s">
        <v>363</v>
      </c>
      <c r="L19" s="539" t="s">
        <v>102</v>
      </c>
      <c r="M19" s="541">
        <v>43983.0</v>
      </c>
      <c r="N19" s="541">
        <v>44104.0</v>
      </c>
      <c r="O19" s="538"/>
      <c r="P19" s="542" t="s">
        <v>339</v>
      </c>
      <c r="Q19" s="538" t="s">
        <v>340</v>
      </c>
      <c r="R19" s="538" t="s">
        <v>341</v>
      </c>
      <c r="S19" s="538" t="s">
        <v>341</v>
      </c>
      <c r="T19" s="538" t="s">
        <v>341</v>
      </c>
      <c r="U19" s="538" t="s">
        <v>342</v>
      </c>
      <c r="V19" s="543">
        <v>86334.0</v>
      </c>
      <c r="W19" s="538" t="s">
        <v>42</v>
      </c>
      <c r="X19" s="544">
        <v>0.7</v>
      </c>
      <c r="Y19" s="544">
        <f t="shared" si="2"/>
        <v>86334</v>
      </c>
      <c r="Z19" s="545">
        <f t="shared" si="11"/>
        <v>123334.2857</v>
      </c>
      <c r="AA19" s="538"/>
      <c r="AB19" s="538"/>
      <c r="AC19" s="538"/>
      <c r="AD19" s="538" t="str">
        <f t="shared" ref="AD19:AE19" si="12">W19</f>
        <v>CPC</v>
      </c>
      <c r="AE19" s="544">
        <f t="shared" si="12"/>
        <v>0.7</v>
      </c>
      <c r="AF19" s="546">
        <f t="shared" si="4"/>
        <v>123334.2857</v>
      </c>
      <c r="AG19" s="538"/>
      <c r="AH19" s="538"/>
      <c r="AI19" s="538" t="s">
        <v>357</v>
      </c>
      <c r="AJ19" s="538"/>
      <c r="AK19" s="538"/>
      <c r="AL19" s="538"/>
    </row>
    <row r="20" ht="15.75" customHeight="1"/>
    <row r="21" ht="15.75" customHeight="1"/>
    <row r="22" ht="15.75" customHeight="1">
      <c r="Y22" s="157"/>
      <c r="Z22" s="454"/>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A$11:$AL$19"/>
  <mergeCells count="4">
    <mergeCell ref="A9:V10"/>
    <mergeCell ref="W9:AC10"/>
    <mergeCell ref="AD9:AF10"/>
    <mergeCell ref="AG9:AL10"/>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1" max="1" width="19.57"/>
    <col customWidth="1" min="2" max="3" width="23.86"/>
    <col customWidth="1" min="4" max="4" width="18.71"/>
    <col customWidth="1" min="5" max="5" width="20.43"/>
    <col customWidth="1" min="6" max="6" width="27.14"/>
    <col customWidth="1" min="8" max="8" width="17.29"/>
    <col customWidth="1" min="9" max="9" width="32.71"/>
    <col customWidth="1" min="10" max="10" width="34.43"/>
    <col customWidth="1" min="11" max="11" width="80.0"/>
    <col customWidth="1" min="12" max="12" width="25.57"/>
    <col customWidth="1" min="18" max="18" width="25.86"/>
    <col customWidth="1" min="27" max="50" width="6.14"/>
    <col customWidth="1" min="51" max="51" width="18.14"/>
    <col customWidth="1" min="52" max="52" width="6.14"/>
  </cols>
  <sheetData>
    <row r="1" ht="49.5" customHeight="1">
      <c r="A1" s="1"/>
      <c r="B1" s="2"/>
      <c r="C1" s="2"/>
    </row>
    <row r="2" ht="15.75" customHeight="1">
      <c r="A2" s="3"/>
      <c r="B2" s="3"/>
      <c r="C2" s="3"/>
      <c r="D2" s="3"/>
      <c r="E2" s="3"/>
      <c r="F2" s="3"/>
      <c r="G2" s="3"/>
      <c r="H2" s="3"/>
      <c r="I2" s="3"/>
      <c r="J2" s="3"/>
      <c r="K2" s="3"/>
      <c r="L2" s="3"/>
      <c r="M2" s="3"/>
      <c r="N2" s="3"/>
      <c r="O2" s="4"/>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row>
    <row r="3" ht="15.75" customHeight="1">
      <c r="A3" s="5" t="s">
        <v>0</v>
      </c>
      <c r="B3" s="6" t="s">
        <v>1</v>
      </c>
      <c r="C3" s="7"/>
      <c r="E3" s="7"/>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row>
    <row r="4" ht="15.75" customHeight="1">
      <c r="A4" s="5" t="s">
        <v>2</v>
      </c>
      <c r="B4" s="6" t="s">
        <v>3</v>
      </c>
      <c r="C4" s="8"/>
      <c r="E4" s="8"/>
      <c r="F4" s="3"/>
      <c r="G4" s="3"/>
      <c r="H4" s="3"/>
      <c r="I4" s="3"/>
      <c r="J4" s="3"/>
      <c r="K4" s="3"/>
      <c r="L4" s="3"/>
      <c r="M4" s="3"/>
      <c r="N4" s="3"/>
      <c r="O4" s="3"/>
      <c r="P4" s="3"/>
      <c r="Q4" s="3"/>
      <c r="R4" s="3"/>
      <c r="S4" s="9"/>
      <c r="T4" s="9"/>
      <c r="U4" s="9"/>
      <c r="V4" s="10"/>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row>
    <row r="5" ht="15.75" customHeight="1">
      <c r="A5" s="5" t="s">
        <v>4</v>
      </c>
      <c r="B5" s="11">
        <v>2198126.0</v>
      </c>
      <c r="C5" s="12">
        <v>2198126.0</v>
      </c>
      <c r="E5" s="12"/>
      <c r="F5" s="3"/>
      <c r="G5" s="3"/>
      <c r="H5" s="3"/>
      <c r="I5" s="3"/>
      <c r="J5" s="3"/>
      <c r="K5" s="3"/>
      <c r="L5" s="3"/>
      <c r="M5" s="3"/>
      <c r="N5" s="3"/>
      <c r="O5" s="3"/>
      <c r="P5" s="3"/>
      <c r="Q5" s="3"/>
      <c r="R5" s="3"/>
      <c r="S5" s="9"/>
      <c r="T5" s="9"/>
      <c r="U5" s="9"/>
      <c r="V5" s="10"/>
      <c r="W5" s="13"/>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row>
    <row r="6" ht="15.75" customHeight="1">
      <c r="A6" s="5" t="s">
        <v>5</v>
      </c>
      <c r="B6" s="6" t="s">
        <v>6</v>
      </c>
      <c r="C6" s="14"/>
      <c r="E6" s="8"/>
      <c r="F6" s="3"/>
      <c r="G6" s="3"/>
      <c r="H6" s="3"/>
      <c r="I6" s="3"/>
      <c r="J6" s="3"/>
      <c r="K6" s="3"/>
      <c r="L6" s="3"/>
      <c r="M6" s="3"/>
      <c r="N6" s="3"/>
      <c r="O6" s="3"/>
      <c r="P6" s="3"/>
      <c r="Q6" s="3"/>
      <c r="R6" s="3"/>
      <c r="S6" s="9"/>
      <c r="T6" s="9"/>
      <c r="U6" s="15"/>
      <c r="V6" s="10"/>
      <c r="W6" s="10"/>
      <c r="X6" s="9"/>
      <c r="Y6" s="9"/>
      <c r="Z6" s="9"/>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row>
    <row r="7" ht="15.75" customHeight="1">
      <c r="A7" s="7"/>
      <c r="B7" s="6" t="s">
        <v>7</v>
      </c>
      <c r="C7" s="17" t="s">
        <v>8</v>
      </c>
      <c r="E7" s="7"/>
      <c r="F7" s="3"/>
      <c r="G7" s="3"/>
      <c r="H7" s="3"/>
      <c r="I7" s="3"/>
      <c r="J7" s="3"/>
      <c r="K7" s="3"/>
      <c r="L7" s="3"/>
      <c r="M7" s="3"/>
      <c r="N7" s="3"/>
      <c r="O7" s="3"/>
      <c r="P7" s="3"/>
      <c r="Q7" s="3"/>
      <c r="R7" s="3"/>
      <c r="S7" s="9"/>
      <c r="T7" s="9"/>
      <c r="U7" s="9"/>
      <c r="V7" s="9"/>
      <c r="W7" s="9"/>
      <c r="X7" s="9"/>
      <c r="Y7" s="9"/>
      <c r="Z7" s="9"/>
      <c r="AA7" s="18" t="s">
        <v>9</v>
      </c>
      <c r="AG7" s="19" t="s">
        <v>10</v>
      </c>
      <c r="AW7" s="20" t="s">
        <v>11</v>
      </c>
      <c r="AY7" s="16"/>
      <c r="AZ7" s="16"/>
    </row>
    <row r="8" ht="15.75" customHeight="1">
      <c r="A8" s="7"/>
      <c r="B8" s="21" t="s">
        <v>12</v>
      </c>
      <c r="C8" s="22" t="s">
        <v>13</v>
      </c>
      <c r="D8" s="22" t="s">
        <v>14</v>
      </c>
      <c r="E8" s="7"/>
      <c r="F8" s="7"/>
      <c r="G8" s="7"/>
      <c r="H8" s="7"/>
      <c r="I8" s="7"/>
      <c r="J8" s="7"/>
      <c r="K8" s="7"/>
      <c r="L8" s="9"/>
      <c r="M8" s="9"/>
      <c r="N8" s="9"/>
      <c r="O8" s="9"/>
      <c r="P8" s="9"/>
      <c r="Q8" s="9"/>
      <c r="R8" s="9"/>
      <c r="S8" s="23"/>
      <c r="T8" s="23"/>
      <c r="U8" s="23"/>
      <c r="V8" s="23"/>
      <c r="W8" s="23"/>
      <c r="X8" s="23"/>
      <c r="Y8" s="23"/>
      <c r="Z8" s="23"/>
      <c r="AA8" s="24"/>
      <c r="AB8" s="25"/>
      <c r="AC8" s="25"/>
      <c r="AD8" s="25"/>
      <c r="AE8" s="25"/>
      <c r="AF8" s="26"/>
      <c r="AG8" s="24"/>
      <c r="AH8" s="25"/>
      <c r="AI8" s="25"/>
      <c r="AJ8" s="26"/>
      <c r="AK8" s="24"/>
      <c r="AL8" s="25"/>
      <c r="AM8" s="25"/>
      <c r="AN8" s="26"/>
      <c r="AO8" s="24"/>
      <c r="AP8" s="25"/>
      <c r="AQ8" s="25"/>
      <c r="AR8" s="26"/>
      <c r="AS8" s="24"/>
      <c r="AT8" s="25"/>
      <c r="AU8" s="25"/>
      <c r="AV8" s="26"/>
      <c r="AW8" s="24"/>
      <c r="AX8" s="26"/>
      <c r="AY8" s="27"/>
      <c r="AZ8" s="27"/>
    </row>
    <row r="9" ht="15.75" customHeight="1">
      <c r="A9" s="7"/>
      <c r="B9" s="28">
        <v>1.6E7</v>
      </c>
      <c r="C9" s="28">
        <f>B9*D9</f>
        <v>10080000</v>
      </c>
      <c r="D9" s="29">
        <v>0.63</v>
      </c>
      <c r="E9" s="7"/>
      <c r="F9" s="7"/>
      <c r="G9" s="7"/>
      <c r="H9" s="7"/>
      <c r="I9" s="7"/>
      <c r="J9" s="7"/>
      <c r="K9" s="7"/>
      <c r="L9" s="9"/>
      <c r="M9" s="9"/>
      <c r="N9" s="30" t="s">
        <v>134</v>
      </c>
      <c r="O9" s="9"/>
      <c r="P9" s="9"/>
      <c r="Q9" s="9"/>
      <c r="R9" s="9"/>
      <c r="S9" s="23"/>
      <c r="T9" s="23"/>
      <c r="U9" s="23" t="s">
        <v>16</v>
      </c>
      <c r="V9" s="23"/>
      <c r="W9" s="23"/>
      <c r="X9" s="23"/>
      <c r="Y9" s="23" t="s">
        <v>17</v>
      </c>
      <c r="Z9" s="23"/>
      <c r="AA9" s="31" t="s">
        <v>18</v>
      </c>
      <c r="AC9" s="27" t="s">
        <v>19</v>
      </c>
      <c r="AF9" s="32"/>
      <c r="AG9" s="31" t="s">
        <v>20</v>
      </c>
      <c r="AJ9" s="32"/>
      <c r="AK9" s="31" t="s">
        <v>21</v>
      </c>
      <c r="AN9" s="32"/>
      <c r="AO9" s="31" t="s">
        <v>22</v>
      </c>
      <c r="AR9" s="32"/>
      <c r="AS9" s="31" t="s">
        <v>23</v>
      </c>
      <c r="AV9" s="32"/>
      <c r="AW9" s="31" t="s">
        <v>24</v>
      </c>
      <c r="AX9" s="32"/>
      <c r="AY9" s="27" t="s">
        <v>25</v>
      </c>
    </row>
    <row r="10" ht="15.75" customHeight="1">
      <c r="A10" s="33" t="s">
        <v>2</v>
      </c>
      <c r="B10" s="34" t="s">
        <v>26</v>
      </c>
      <c r="C10" s="34" t="s">
        <v>5</v>
      </c>
      <c r="D10" s="34" t="s">
        <v>27</v>
      </c>
      <c r="E10" s="35" t="s">
        <v>28</v>
      </c>
      <c r="F10" s="36" t="s">
        <v>29</v>
      </c>
      <c r="G10" s="36" t="s">
        <v>30</v>
      </c>
      <c r="H10" s="36" t="s">
        <v>31</v>
      </c>
      <c r="I10" s="36"/>
      <c r="J10" s="36"/>
      <c r="K10" s="36" t="s">
        <v>32</v>
      </c>
      <c r="L10" s="37" t="s">
        <v>33</v>
      </c>
      <c r="M10" s="37" t="s">
        <v>34</v>
      </c>
      <c r="N10" s="37" t="s">
        <v>35</v>
      </c>
      <c r="O10" s="37" t="s">
        <v>36</v>
      </c>
      <c r="P10" s="37" t="s">
        <v>37</v>
      </c>
      <c r="Q10" s="37" t="s">
        <v>38</v>
      </c>
      <c r="R10" s="37" t="s">
        <v>39</v>
      </c>
      <c r="S10" s="37" t="s">
        <v>40</v>
      </c>
      <c r="T10" s="37" t="s">
        <v>41</v>
      </c>
      <c r="U10" s="37" t="s">
        <v>42</v>
      </c>
      <c r="V10" s="37" t="s">
        <v>43</v>
      </c>
      <c r="W10" s="37" t="s">
        <v>44</v>
      </c>
      <c r="X10" s="37" t="s">
        <v>45</v>
      </c>
      <c r="Y10" s="37" t="s">
        <v>46</v>
      </c>
      <c r="Z10" s="37" t="s">
        <v>47</v>
      </c>
      <c r="AA10" s="38" t="s">
        <v>48</v>
      </c>
      <c r="AB10" s="39" t="s">
        <v>49</v>
      </c>
      <c r="AC10" s="39" t="s">
        <v>50</v>
      </c>
      <c r="AD10" s="39" t="s">
        <v>51</v>
      </c>
      <c r="AE10" s="39" t="s">
        <v>48</v>
      </c>
      <c r="AF10" s="40" t="s">
        <v>49</v>
      </c>
      <c r="AG10" s="38" t="s">
        <v>50</v>
      </c>
      <c r="AH10" s="39" t="s">
        <v>51</v>
      </c>
      <c r="AI10" s="39" t="s">
        <v>48</v>
      </c>
      <c r="AJ10" s="40" t="s">
        <v>49</v>
      </c>
      <c r="AK10" s="38" t="s">
        <v>50</v>
      </c>
      <c r="AL10" s="39" t="s">
        <v>51</v>
      </c>
      <c r="AM10" s="39" t="s">
        <v>48</v>
      </c>
      <c r="AN10" s="40" t="s">
        <v>49</v>
      </c>
      <c r="AO10" s="38" t="s">
        <v>50</v>
      </c>
      <c r="AP10" s="39" t="s">
        <v>51</v>
      </c>
      <c r="AQ10" s="39" t="s">
        <v>48</v>
      </c>
      <c r="AR10" s="40" t="s">
        <v>49</v>
      </c>
      <c r="AS10" s="38" t="s">
        <v>50</v>
      </c>
      <c r="AT10" s="39" t="s">
        <v>51</v>
      </c>
      <c r="AU10" s="39" t="s">
        <v>48</v>
      </c>
      <c r="AV10" s="40" t="s">
        <v>49</v>
      </c>
      <c r="AW10" s="38" t="s">
        <v>50</v>
      </c>
      <c r="AX10" s="40" t="s">
        <v>51</v>
      </c>
      <c r="AY10" s="39"/>
    </row>
    <row r="11" ht="15.75" customHeight="1">
      <c r="A11" s="41"/>
      <c r="B11" s="42"/>
      <c r="C11" s="43"/>
      <c r="D11" s="44"/>
      <c r="E11" s="45"/>
      <c r="F11" s="46" t="s">
        <v>52</v>
      </c>
      <c r="G11" s="47"/>
      <c r="H11" s="48">
        <f>E13*G13</f>
        <v>659437.8</v>
      </c>
      <c r="I11" s="46" t="s">
        <v>53</v>
      </c>
      <c r="J11" s="49" t="s">
        <v>54</v>
      </c>
      <c r="K11" s="46" t="s">
        <v>55</v>
      </c>
      <c r="L11" s="50" t="s">
        <v>56</v>
      </c>
      <c r="M11" s="51">
        <v>1.0</v>
      </c>
      <c r="N11" s="51">
        <v>1.0</v>
      </c>
      <c r="O11" s="51">
        <f t="shared" ref="O11:O16" si="1">M11*N11</f>
        <v>1</v>
      </c>
      <c r="P11" s="52">
        <v>0.2</v>
      </c>
      <c r="Q11" s="53">
        <f>H11*P11</f>
        <v>131887.56</v>
      </c>
      <c r="R11" s="54" t="s">
        <v>57</v>
      </c>
      <c r="S11" s="55"/>
      <c r="T11" s="56"/>
      <c r="U11" s="56"/>
      <c r="V11" s="57">
        <v>4.85</v>
      </c>
      <c r="W11" s="56"/>
      <c r="X11" s="56"/>
      <c r="Y11" s="56"/>
      <c r="Z11" s="58">
        <f>Q11*V11</f>
        <v>639654.666</v>
      </c>
      <c r="AA11" s="59">
        <f>Q11</f>
        <v>131887.56</v>
      </c>
      <c r="AC11" s="60"/>
      <c r="AF11" s="32"/>
      <c r="AG11" s="61"/>
      <c r="AH11" s="60"/>
      <c r="AI11" s="60"/>
      <c r="AJ11" s="62"/>
      <c r="AK11" s="61"/>
      <c r="AL11" s="60"/>
      <c r="AM11" s="60"/>
      <c r="AN11" s="62"/>
      <c r="AO11" s="61"/>
      <c r="AP11" s="60"/>
      <c r="AQ11" s="60"/>
      <c r="AR11" s="62"/>
      <c r="AS11" s="61"/>
      <c r="AT11" s="60"/>
      <c r="AU11" s="60"/>
      <c r="AV11" s="62"/>
      <c r="AW11" s="61"/>
      <c r="AX11" s="62"/>
      <c r="AY11" s="63">
        <f>AA11</f>
        <v>131887.56</v>
      </c>
    </row>
    <row r="12" ht="15.75" customHeight="1">
      <c r="A12" s="41"/>
      <c r="B12" s="42"/>
      <c r="C12" s="43"/>
      <c r="D12" s="44"/>
      <c r="E12" s="45"/>
      <c r="F12" s="64"/>
      <c r="G12" s="47"/>
      <c r="H12" s="64"/>
      <c r="I12" s="64"/>
      <c r="K12" s="65"/>
      <c r="M12" s="51">
        <v>1.0</v>
      </c>
      <c r="N12" s="51">
        <v>1.0</v>
      </c>
      <c r="O12" s="51">
        <f t="shared" si="1"/>
        <v>1</v>
      </c>
      <c r="P12" s="65"/>
      <c r="Q12" s="65"/>
      <c r="R12" s="65"/>
      <c r="S12" s="65"/>
      <c r="T12" s="56"/>
      <c r="U12" s="56"/>
      <c r="V12" s="65"/>
      <c r="W12" s="56"/>
      <c r="X12" s="56"/>
      <c r="Y12" s="56"/>
      <c r="Z12" s="58"/>
      <c r="AA12" s="66"/>
      <c r="AC12" s="60"/>
      <c r="AF12" s="32"/>
      <c r="AG12" s="61"/>
      <c r="AH12" s="60"/>
      <c r="AI12" s="60"/>
      <c r="AJ12" s="62"/>
      <c r="AK12" s="61"/>
      <c r="AL12" s="60"/>
      <c r="AM12" s="60"/>
      <c r="AN12" s="62"/>
      <c r="AO12" s="61"/>
      <c r="AP12" s="60"/>
      <c r="AQ12" s="60"/>
      <c r="AR12" s="62"/>
      <c r="AS12" s="61"/>
      <c r="AT12" s="60"/>
      <c r="AU12" s="60"/>
      <c r="AV12" s="62"/>
      <c r="AW12" s="61"/>
      <c r="AX12" s="62"/>
    </row>
    <row r="13" ht="15.75" customHeight="1">
      <c r="A13" s="67" t="s">
        <v>58</v>
      </c>
      <c r="B13" s="68" t="s">
        <v>59</v>
      </c>
      <c r="C13" s="69" t="s">
        <v>60</v>
      </c>
      <c r="D13" s="70">
        <v>0.6</v>
      </c>
      <c r="E13" s="71">
        <f>B5*D13</f>
        <v>1318875.6</v>
      </c>
      <c r="F13" s="64"/>
      <c r="G13" s="72">
        <v>0.5</v>
      </c>
      <c r="H13" s="64"/>
      <c r="I13" s="64"/>
      <c r="J13" s="46" t="s">
        <v>61</v>
      </c>
      <c r="K13" s="45" t="s">
        <v>62</v>
      </c>
      <c r="L13" s="73" t="s">
        <v>63</v>
      </c>
      <c r="M13" s="51">
        <v>1.0</v>
      </c>
      <c r="N13" s="51">
        <v>2.0</v>
      </c>
      <c r="O13" s="51">
        <f t="shared" si="1"/>
        <v>2</v>
      </c>
      <c r="P13" s="52">
        <v>0.2</v>
      </c>
      <c r="Q13" s="53">
        <f>H11*P13</f>
        <v>131887.56</v>
      </c>
      <c r="R13" s="54" t="s">
        <v>44</v>
      </c>
      <c r="S13" s="57">
        <v>0.3</v>
      </c>
      <c r="T13" s="74"/>
      <c r="U13" s="74"/>
      <c r="V13" s="57">
        <v>4.85</v>
      </c>
      <c r="W13" s="75">
        <f>Q13/S13</f>
        <v>439625.2</v>
      </c>
      <c r="X13" s="74"/>
      <c r="Y13" s="74"/>
      <c r="Z13" s="76">
        <f>Q13/V13*1000</f>
        <v>27193311.34</v>
      </c>
      <c r="AA13" s="61"/>
      <c r="AC13" s="77">
        <f>Q13</f>
        <v>131887.56</v>
      </c>
      <c r="AF13" s="32"/>
      <c r="AG13" s="61"/>
      <c r="AJ13" s="32"/>
      <c r="AK13" s="61"/>
      <c r="AN13" s="32"/>
      <c r="AO13" s="61"/>
      <c r="AR13" s="32"/>
      <c r="AS13" s="61"/>
      <c r="AV13" s="32"/>
      <c r="AW13" s="61"/>
      <c r="AX13" s="32"/>
      <c r="AY13" s="63">
        <f>AC13</f>
        <v>131887.56</v>
      </c>
    </row>
    <row r="14" ht="15.75" customHeight="1">
      <c r="A14" s="64"/>
      <c r="B14" s="64"/>
      <c r="C14" s="64"/>
      <c r="D14" s="64"/>
      <c r="E14" s="64"/>
      <c r="F14" s="64"/>
      <c r="G14" s="64"/>
      <c r="H14" s="64"/>
      <c r="I14" s="65"/>
      <c r="J14" s="64"/>
      <c r="K14" s="45" t="s">
        <v>64</v>
      </c>
      <c r="L14" s="73" t="s">
        <v>63</v>
      </c>
      <c r="M14" s="51">
        <v>1.0</v>
      </c>
      <c r="N14" s="51">
        <v>2.0</v>
      </c>
      <c r="O14" s="51">
        <f t="shared" si="1"/>
        <v>2</v>
      </c>
      <c r="P14" s="65"/>
      <c r="Q14" s="65"/>
      <c r="R14" s="65"/>
      <c r="S14" s="65"/>
      <c r="T14" s="74"/>
      <c r="U14" s="74"/>
      <c r="V14" s="65"/>
      <c r="W14" s="65"/>
      <c r="X14" s="74"/>
      <c r="Y14" s="74"/>
      <c r="Z14" s="78"/>
      <c r="AA14" s="66"/>
      <c r="AF14" s="32"/>
      <c r="AG14" s="61"/>
      <c r="AJ14" s="32"/>
      <c r="AK14" s="61"/>
      <c r="AN14" s="32"/>
      <c r="AO14" s="61"/>
      <c r="AR14" s="32"/>
      <c r="AS14" s="61"/>
      <c r="AV14" s="32"/>
      <c r="AW14" s="61"/>
      <c r="AX14" s="32"/>
    </row>
    <row r="15" ht="15.75" customHeight="1">
      <c r="A15" s="64"/>
      <c r="B15" s="64"/>
      <c r="C15" s="64"/>
      <c r="D15" s="64"/>
      <c r="E15" s="64"/>
      <c r="F15" s="64"/>
      <c r="G15" s="64"/>
      <c r="H15" s="64"/>
      <c r="I15" s="46" t="s">
        <v>65</v>
      </c>
      <c r="J15" s="64"/>
      <c r="K15" s="45" t="s">
        <v>66</v>
      </c>
      <c r="L15" s="73" t="s">
        <v>63</v>
      </c>
      <c r="M15" s="51">
        <v>1.0</v>
      </c>
      <c r="N15" s="51">
        <v>4.0</v>
      </c>
      <c r="O15" s="51">
        <f t="shared" si="1"/>
        <v>4</v>
      </c>
      <c r="P15" s="52">
        <v>0.2</v>
      </c>
      <c r="Q15" s="53">
        <f>H11*P15</f>
        <v>131887.56</v>
      </c>
      <c r="R15" s="54" t="s">
        <v>44</v>
      </c>
      <c r="S15" s="57">
        <v>0.3</v>
      </c>
      <c r="T15" s="74"/>
      <c r="U15" s="74"/>
      <c r="V15" s="57">
        <v>4.85</v>
      </c>
      <c r="W15" s="75">
        <f>Q15/S15</f>
        <v>439625.2</v>
      </c>
      <c r="X15" s="74"/>
      <c r="Y15" s="74"/>
      <c r="Z15" s="76">
        <f>Q15/V15*1000</f>
        <v>27193311.34</v>
      </c>
      <c r="AA15" s="61"/>
      <c r="AB15" s="60"/>
      <c r="AC15" s="60"/>
      <c r="AF15" s="32"/>
      <c r="AG15" s="79">
        <v>42971.89</v>
      </c>
      <c r="AJ15" s="32"/>
      <c r="AK15" s="79">
        <v>32971.89</v>
      </c>
      <c r="AN15" s="32"/>
      <c r="AO15" s="79">
        <v>32971.89</v>
      </c>
      <c r="AR15" s="32"/>
      <c r="AS15" s="79">
        <v>22971.89</v>
      </c>
      <c r="AV15" s="32"/>
      <c r="AW15" s="61"/>
      <c r="AX15" s="32"/>
      <c r="AY15" s="63">
        <f>AG15+AK15+AO15+AS15</f>
        <v>131887.56</v>
      </c>
    </row>
    <row r="16" ht="15.75" customHeight="1">
      <c r="A16" s="64"/>
      <c r="B16" s="64"/>
      <c r="C16" s="64"/>
      <c r="D16" s="64"/>
      <c r="E16" s="64"/>
      <c r="F16" s="64"/>
      <c r="G16" s="64"/>
      <c r="H16" s="64"/>
      <c r="I16" s="64"/>
      <c r="J16" s="64"/>
      <c r="K16" s="45" t="s">
        <v>67</v>
      </c>
      <c r="L16" s="73" t="s">
        <v>63</v>
      </c>
      <c r="M16" s="51">
        <v>1.0</v>
      </c>
      <c r="N16" s="51">
        <v>4.0</v>
      </c>
      <c r="O16" s="51">
        <f t="shared" si="1"/>
        <v>4</v>
      </c>
      <c r="P16" s="65"/>
      <c r="Q16" s="65"/>
      <c r="R16" s="65"/>
      <c r="S16" s="65"/>
      <c r="T16" s="74"/>
      <c r="U16" s="74"/>
      <c r="V16" s="65"/>
      <c r="W16" s="65"/>
      <c r="X16" s="74"/>
      <c r="Y16" s="74"/>
      <c r="Z16" s="78"/>
      <c r="AA16" s="61"/>
      <c r="AC16" s="60"/>
      <c r="AF16" s="32"/>
      <c r="AG16" s="66"/>
      <c r="AJ16" s="32"/>
      <c r="AK16" s="66"/>
      <c r="AN16" s="32"/>
      <c r="AO16" s="66"/>
      <c r="AR16" s="32"/>
      <c r="AS16" s="66"/>
      <c r="AV16" s="32"/>
      <c r="AW16" s="61"/>
      <c r="AX16" s="32"/>
    </row>
    <row r="17" ht="15.75" customHeight="1">
      <c r="A17" s="64"/>
      <c r="B17" s="64"/>
      <c r="C17" s="64"/>
      <c r="D17" s="64"/>
      <c r="E17" s="64"/>
      <c r="F17" s="64"/>
      <c r="G17" s="64"/>
      <c r="H17" s="64"/>
      <c r="I17" s="65"/>
      <c r="J17" s="64"/>
      <c r="K17" s="45" t="s">
        <v>68</v>
      </c>
      <c r="L17" s="73" t="s">
        <v>69</v>
      </c>
      <c r="M17" s="51" t="s">
        <v>70</v>
      </c>
      <c r="N17" s="51" t="s">
        <v>70</v>
      </c>
      <c r="O17" s="51" t="s">
        <v>70</v>
      </c>
      <c r="P17" s="80">
        <v>0.28</v>
      </c>
      <c r="Q17" s="81">
        <f>H11*P17</f>
        <v>184642.584</v>
      </c>
      <c r="R17" s="82" t="s">
        <v>44</v>
      </c>
      <c r="S17" s="83">
        <v>0.3</v>
      </c>
      <c r="T17" s="74"/>
      <c r="U17" s="74"/>
      <c r="V17" s="83">
        <v>4.85</v>
      </c>
      <c r="W17" s="51">
        <f t="shared" ref="W17:W18" si="2">Q17/S17</f>
        <v>615475.28</v>
      </c>
      <c r="X17" s="74"/>
      <c r="Y17" s="74"/>
      <c r="Z17" s="84">
        <f t="shared" ref="Z17:Z18" si="3">Q17/V17*1000</f>
        <v>38070635.88</v>
      </c>
      <c r="AA17" s="61"/>
      <c r="AC17" s="60"/>
      <c r="AF17" s="32"/>
      <c r="AG17" s="85">
        <v>61547.528</v>
      </c>
      <c r="AJ17" s="32"/>
      <c r="AK17" s="85">
        <v>51547.528</v>
      </c>
      <c r="AN17" s="32"/>
      <c r="AO17" s="85">
        <v>51547.528</v>
      </c>
      <c r="AR17" s="32"/>
      <c r="AS17" s="85">
        <v>20000.0</v>
      </c>
      <c r="AV17" s="32"/>
      <c r="AW17" s="61"/>
      <c r="AX17" s="32"/>
      <c r="AY17" s="63">
        <f>AK17+AO17+AS17+AG17</f>
        <v>184642.584</v>
      </c>
    </row>
    <row r="18" ht="15.75" customHeight="1">
      <c r="A18" s="64"/>
      <c r="B18" s="64"/>
      <c r="C18" s="64"/>
      <c r="D18" s="64"/>
      <c r="E18" s="64"/>
      <c r="F18" s="64"/>
      <c r="G18" s="64"/>
      <c r="H18" s="64"/>
      <c r="I18" s="46" t="s">
        <v>71</v>
      </c>
      <c r="J18" s="64"/>
      <c r="K18" s="45" t="s">
        <v>72</v>
      </c>
      <c r="L18" s="73" t="s">
        <v>73</v>
      </c>
      <c r="M18" s="51">
        <v>1.0</v>
      </c>
      <c r="N18" s="51">
        <v>2.0</v>
      </c>
      <c r="O18" s="51">
        <f t="shared" ref="O18:O19" si="4">M18*N18</f>
        <v>2</v>
      </c>
      <c r="P18" s="52">
        <v>0.12</v>
      </c>
      <c r="Q18" s="53">
        <f>H11*P18</f>
        <v>79132.536</v>
      </c>
      <c r="R18" s="54" t="s">
        <v>44</v>
      </c>
      <c r="S18" s="57">
        <v>0.3</v>
      </c>
      <c r="T18" s="74"/>
      <c r="U18" s="74"/>
      <c r="V18" s="57">
        <v>4.85</v>
      </c>
      <c r="W18" s="75">
        <f t="shared" si="2"/>
        <v>263775.12</v>
      </c>
      <c r="X18" s="74"/>
      <c r="Y18" s="74"/>
      <c r="Z18" s="76">
        <f t="shared" si="3"/>
        <v>16315986.8</v>
      </c>
      <c r="AA18" s="61"/>
      <c r="AC18" s="60"/>
      <c r="AF18" s="32"/>
      <c r="AG18" s="61"/>
      <c r="AJ18" s="32"/>
      <c r="AK18" s="86">
        <f>Q18/2</f>
        <v>39566.268</v>
      </c>
      <c r="AN18" s="32"/>
      <c r="AO18" s="86">
        <f>Q18/2</f>
        <v>39566.268</v>
      </c>
      <c r="AR18" s="32"/>
      <c r="AS18" s="61"/>
      <c r="AV18" s="32"/>
      <c r="AW18" s="61"/>
      <c r="AX18" s="32"/>
      <c r="AY18" s="63">
        <f>AK18+AO18</f>
        <v>79132.536</v>
      </c>
    </row>
    <row r="19" ht="15.75" customHeight="1">
      <c r="A19" s="64"/>
      <c r="B19" s="64"/>
      <c r="C19" s="64"/>
      <c r="D19" s="64"/>
      <c r="E19" s="64"/>
      <c r="F19" s="65"/>
      <c r="G19" s="65"/>
      <c r="H19" s="65"/>
      <c r="I19" s="65"/>
      <c r="J19" s="65"/>
      <c r="K19" s="45" t="s">
        <v>74</v>
      </c>
      <c r="L19" s="73" t="s">
        <v>73</v>
      </c>
      <c r="M19" s="51">
        <v>1.0</v>
      </c>
      <c r="N19" s="51">
        <v>2.0</v>
      </c>
      <c r="O19" s="51">
        <f t="shared" si="4"/>
        <v>2</v>
      </c>
      <c r="P19" s="65"/>
      <c r="Q19" s="65"/>
      <c r="R19" s="65"/>
      <c r="S19" s="65"/>
      <c r="T19" s="74"/>
      <c r="U19" s="74"/>
      <c r="V19" s="65"/>
      <c r="W19" s="65"/>
      <c r="X19" s="74"/>
      <c r="Y19" s="74"/>
      <c r="Z19" s="78"/>
      <c r="AA19" s="61"/>
      <c r="AC19" s="60"/>
      <c r="AF19" s="32"/>
      <c r="AG19" s="61"/>
      <c r="AJ19" s="32"/>
      <c r="AK19" s="66"/>
      <c r="AN19" s="32"/>
      <c r="AO19" s="66"/>
      <c r="AR19" s="32"/>
      <c r="AS19" s="61"/>
      <c r="AV19" s="32"/>
      <c r="AW19" s="61"/>
      <c r="AX19" s="32"/>
    </row>
    <row r="20" ht="6.75" customHeight="1">
      <c r="A20" s="64"/>
      <c r="B20" s="64"/>
      <c r="C20" s="64"/>
      <c r="D20" s="64"/>
      <c r="E20" s="64"/>
      <c r="F20" s="87"/>
      <c r="G20" s="88"/>
      <c r="H20" s="87"/>
      <c r="I20" s="87"/>
      <c r="J20" s="87"/>
      <c r="K20" s="89"/>
      <c r="L20" s="90"/>
      <c r="M20" s="91"/>
      <c r="N20" s="91"/>
      <c r="O20" s="91"/>
      <c r="P20" s="90"/>
      <c r="Q20" s="92"/>
      <c r="R20" s="93"/>
      <c r="S20" s="94"/>
      <c r="T20" s="94"/>
      <c r="U20" s="94"/>
      <c r="V20" s="94"/>
      <c r="W20" s="91"/>
      <c r="X20" s="94"/>
      <c r="Y20" s="94"/>
      <c r="Z20" s="95"/>
      <c r="AA20" s="96"/>
      <c r="AB20" s="97"/>
      <c r="AC20" s="97"/>
      <c r="AD20" s="97"/>
      <c r="AE20" s="97"/>
      <c r="AF20" s="98"/>
      <c r="AG20" s="96"/>
      <c r="AH20" s="97"/>
      <c r="AI20" s="97"/>
      <c r="AJ20" s="98"/>
      <c r="AK20" s="96"/>
      <c r="AL20" s="97"/>
      <c r="AM20" s="97"/>
      <c r="AN20" s="98"/>
      <c r="AO20" s="96"/>
      <c r="AP20" s="97"/>
      <c r="AQ20" s="97"/>
      <c r="AR20" s="98"/>
      <c r="AS20" s="96"/>
      <c r="AT20" s="97"/>
      <c r="AU20" s="97"/>
      <c r="AV20" s="98"/>
      <c r="AW20" s="96"/>
      <c r="AX20" s="98"/>
      <c r="AY20" s="97"/>
      <c r="AZ20" s="97"/>
    </row>
    <row r="21" ht="15.75" customHeight="1">
      <c r="A21" s="64"/>
      <c r="B21" s="64"/>
      <c r="C21" s="64"/>
      <c r="D21" s="64"/>
      <c r="E21" s="64"/>
      <c r="F21" s="99" t="s">
        <v>75</v>
      </c>
      <c r="G21" s="100"/>
      <c r="H21" s="101"/>
      <c r="I21" s="102" t="s">
        <v>76</v>
      </c>
      <c r="J21" s="103" t="s">
        <v>77</v>
      </c>
      <c r="K21" s="45" t="s">
        <v>78</v>
      </c>
      <c r="L21" s="73" t="s">
        <v>63</v>
      </c>
      <c r="M21" s="51">
        <v>2.0</v>
      </c>
      <c r="N21" s="51">
        <v>2.0</v>
      </c>
      <c r="O21" s="51">
        <f>M21*N21</f>
        <v>4</v>
      </c>
      <c r="P21" s="80">
        <v>0.22</v>
      </c>
      <c r="Q21" s="81">
        <f>H22*P21</f>
        <v>145076.316</v>
      </c>
      <c r="R21" s="82" t="s">
        <v>44</v>
      </c>
      <c r="S21" s="83">
        <v>0.34</v>
      </c>
      <c r="T21" s="74"/>
      <c r="U21" s="74"/>
      <c r="V21" s="83">
        <f t="shared" ref="V21:V24" si="5">189/4</f>
        <v>47.25</v>
      </c>
      <c r="W21" s="51">
        <f t="shared" ref="W21:W24" si="6">Q21/S21</f>
        <v>426695.0471</v>
      </c>
      <c r="X21" s="74"/>
      <c r="Y21" s="74"/>
      <c r="Z21" s="84">
        <f t="shared" ref="Z21:Z24" si="7">Q21/V21*1000</f>
        <v>3070398.222</v>
      </c>
      <c r="AA21" s="61"/>
      <c r="AC21" s="77">
        <v>145076.316</v>
      </c>
      <c r="AF21" s="32"/>
      <c r="AG21" s="61"/>
      <c r="AJ21" s="32"/>
      <c r="AK21" s="61"/>
      <c r="AN21" s="32"/>
      <c r="AO21" s="61"/>
      <c r="AR21" s="32"/>
      <c r="AS21" s="61"/>
      <c r="AV21" s="32"/>
      <c r="AW21" s="61"/>
      <c r="AX21" s="32"/>
      <c r="AY21" s="63">
        <f>AC21</f>
        <v>145076.316</v>
      </c>
    </row>
    <row r="22" ht="15.75" customHeight="1">
      <c r="A22" s="64"/>
      <c r="B22" s="64"/>
      <c r="C22" s="64"/>
      <c r="D22" s="64"/>
      <c r="E22" s="64"/>
      <c r="F22" s="64"/>
      <c r="G22" s="100"/>
      <c r="H22" s="104">
        <f>E13*G24</f>
        <v>659437.8</v>
      </c>
      <c r="I22" s="105" t="s">
        <v>79</v>
      </c>
      <c r="J22" s="106" t="s">
        <v>80</v>
      </c>
      <c r="K22" s="45" t="s">
        <v>81</v>
      </c>
      <c r="L22" s="82" t="s">
        <v>82</v>
      </c>
      <c r="M22" s="51" t="s">
        <v>70</v>
      </c>
      <c r="N22" s="51" t="s">
        <v>70</v>
      </c>
      <c r="O22" s="51" t="s">
        <v>70</v>
      </c>
      <c r="P22" s="80">
        <v>0.35</v>
      </c>
      <c r="Q22" s="81">
        <f>H22*P22</f>
        <v>230803.23</v>
      </c>
      <c r="R22" s="82" t="s">
        <v>44</v>
      </c>
      <c r="S22" s="83">
        <v>0.34</v>
      </c>
      <c r="T22" s="74"/>
      <c r="U22" s="74"/>
      <c r="V22" s="83">
        <f t="shared" si="5"/>
        <v>47.25</v>
      </c>
      <c r="W22" s="51">
        <f t="shared" si="6"/>
        <v>678833.0294</v>
      </c>
      <c r="X22" s="74"/>
      <c r="Y22" s="74"/>
      <c r="Z22" s="84">
        <f t="shared" si="7"/>
        <v>4884724.444</v>
      </c>
      <c r="AA22" s="61"/>
      <c r="AC22" s="107">
        <v>100401.615</v>
      </c>
      <c r="AF22" s="32"/>
      <c r="AG22" s="79">
        <v>130401.615</v>
      </c>
      <c r="AJ22" s="32"/>
      <c r="AK22" s="61"/>
      <c r="AN22" s="32"/>
      <c r="AO22" s="61"/>
      <c r="AR22" s="32"/>
      <c r="AS22" s="61"/>
      <c r="AV22" s="32"/>
      <c r="AW22" s="61"/>
      <c r="AX22" s="32"/>
      <c r="AY22" s="63">
        <f>AC22+AG22</f>
        <v>230803.23</v>
      </c>
    </row>
    <row r="23" ht="15.75" customHeight="1">
      <c r="A23" s="64"/>
      <c r="B23" s="64"/>
      <c r="C23" s="64"/>
      <c r="D23" s="64"/>
      <c r="E23" s="64"/>
      <c r="F23" s="64"/>
      <c r="G23" s="100"/>
      <c r="H23" s="108"/>
      <c r="I23" s="109"/>
      <c r="J23" s="106" t="s">
        <v>77</v>
      </c>
      <c r="K23" s="45" t="s">
        <v>83</v>
      </c>
      <c r="L23" s="73" t="s">
        <v>63</v>
      </c>
      <c r="M23" s="51">
        <v>3.0</v>
      </c>
      <c r="N23" s="51">
        <v>3.0</v>
      </c>
      <c r="O23" s="51">
        <f t="shared" ref="O23:O24" si="8">M23*N23</f>
        <v>9</v>
      </c>
      <c r="P23" s="80">
        <v>0.18</v>
      </c>
      <c r="Q23" s="81">
        <f>H22*P23</f>
        <v>118698.804</v>
      </c>
      <c r="R23" s="82" t="s">
        <v>44</v>
      </c>
      <c r="S23" s="83">
        <v>0.34</v>
      </c>
      <c r="T23" s="74"/>
      <c r="U23" s="74"/>
      <c r="V23" s="83">
        <f t="shared" si="5"/>
        <v>47.25</v>
      </c>
      <c r="W23" s="51">
        <f t="shared" si="6"/>
        <v>349114.1294</v>
      </c>
      <c r="X23" s="74"/>
      <c r="Y23" s="74"/>
      <c r="Z23" s="84">
        <f t="shared" si="7"/>
        <v>2512144</v>
      </c>
      <c r="AA23" s="61"/>
      <c r="AC23" s="60"/>
      <c r="AF23" s="32"/>
      <c r="AG23" s="61"/>
      <c r="AJ23" s="32"/>
      <c r="AK23" s="79">
        <f>(Q23/3)*2</f>
        <v>79132.536</v>
      </c>
      <c r="AN23" s="32"/>
      <c r="AO23" s="79">
        <v>39566.268</v>
      </c>
      <c r="AR23" s="32"/>
      <c r="AS23" s="61"/>
      <c r="AV23" s="32"/>
      <c r="AW23" s="61"/>
      <c r="AX23" s="32"/>
      <c r="AY23" s="63">
        <f>AK23+AO23+AS23</f>
        <v>118698.804</v>
      </c>
    </row>
    <row r="24" ht="15.75" customHeight="1">
      <c r="A24" s="64"/>
      <c r="B24" s="64"/>
      <c r="C24" s="65"/>
      <c r="D24" s="65"/>
      <c r="E24" s="65"/>
      <c r="F24" s="64"/>
      <c r="G24" s="100">
        <v>0.5</v>
      </c>
      <c r="H24" s="108"/>
      <c r="I24" s="110" t="s">
        <v>53</v>
      </c>
      <c r="J24" s="111"/>
      <c r="K24" s="45" t="s">
        <v>78</v>
      </c>
      <c r="L24" s="73" t="s">
        <v>63</v>
      </c>
      <c r="M24" s="51">
        <v>2.0</v>
      </c>
      <c r="N24" s="51">
        <v>3.0</v>
      </c>
      <c r="O24" s="51">
        <f t="shared" si="8"/>
        <v>6</v>
      </c>
      <c r="P24" s="80">
        <v>0.25</v>
      </c>
      <c r="Q24" s="81">
        <f>H22*P24</f>
        <v>164859.45</v>
      </c>
      <c r="R24" s="82" t="s">
        <v>44</v>
      </c>
      <c r="S24" s="83">
        <v>0.34</v>
      </c>
      <c r="T24" s="74"/>
      <c r="U24" s="74"/>
      <c r="V24" s="83">
        <f t="shared" si="5"/>
        <v>47.25</v>
      </c>
      <c r="W24" s="51">
        <f t="shared" si="6"/>
        <v>484880.7353</v>
      </c>
      <c r="X24" s="74"/>
      <c r="Y24" s="74"/>
      <c r="Z24" s="84">
        <f t="shared" si="7"/>
        <v>3489088.889</v>
      </c>
      <c r="AA24" s="61"/>
      <c r="AC24" s="60"/>
      <c r="AF24" s="32"/>
      <c r="AG24" s="77">
        <v>164859.44999999998</v>
      </c>
      <c r="AJ24" s="32"/>
      <c r="AK24" s="61"/>
      <c r="AL24" s="60"/>
      <c r="AM24" s="60"/>
      <c r="AN24" s="62"/>
      <c r="AO24" s="61"/>
      <c r="AP24" s="60"/>
      <c r="AQ24" s="60"/>
      <c r="AR24" s="62"/>
      <c r="AS24" s="61"/>
      <c r="AT24" s="60"/>
      <c r="AU24" s="60"/>
      <c r="AV24" s="62"/>
      <c r="AW24" s="61"/>
      <c r="AX24" s="62"/>
      <c r="AY24" s="63">
        <f>AG24</f>
        <v>164859.45</v>
      </c>
    </row>
    <row r="25" ht="7.5" customHeight="1">
      <c r="A25" s="64"/>
      <c r="B25" s="64"/>
      <c r="C25" s="112"/>
      <c r="D25" s="112"/>
      <c r="E25" s="113"/>
      <c r="F25" s="114"/>
      <c r="G25" s="115"/>
      <c r="H25" s="114"/>
      <c r="I25" s="114"/>
      <c r="J25" s="114"/>
      <c r="K25" s="116"/>
      <c r="L25" s="117"/>
      <c r="M25" s="118"/>
      <c r="N25" s="118"/>
      <c r="O25" s="91"/>
      <c r="P25" s="117"/>
      <c r="Q25" s="119"/>
      <c r="R25" s="120"/>
      <c r="S25" s="121"/>
      <c r="T25" s="121"/>
      <c r="U25" s="121"/>
      <c r="V25" s="121"/>
      <c r="W25" s="118"/>
      <c r="X25" s="121"/>
      <c r="Y25" s="121"/>
      <c r="Z25" s="122"/>
      <c r="AA25" s="123"/>
      <c r="AB25" s="124"/>
      <c r="AC25" s="124"/>
      <c r="AD25" s="124"/>
      <c r="AE25" s="124"/>
      <c r="AF25" s="125"/>
      <c r="AG25" s="123"/>
      <c r="AH25" s="124"/>
      <c r="AI25" s="124"/>
      <c r="AJ25" s="125"/>
      <c r="AK25" s="123"/>
      <c r="AL25" s="124"/>
      <c r="AM25" s="124"/>
      <c r="AN25" s="125"/>
      <c r="AO25" s="123"/>
      <c r="AP25" s="124"/>
      <c r="AQ25" s="124"/>
      <c r="AR25" s="125"/>
      <c r="AS25" s="123"/>
      <c r="AT25" s="124"/>
      <c r="AU25" s="124"/>
      <c r="AV25" s="125"/>
      <c r="AW25" s="123"/>
      <c r="AX25" s="125"/>
      <c r="AY25" s="124"/>
      <c r="AZ25" s="124"/>
    </row>
    <row r="26" ht="15.75" customHeight="1">
      <c r="A26" s="64"/>
      <c r="B26" s="64"/>
      <c r="C26" s="69" t="s">
        <v>84</v>
      </c>
      <c r="D26" s="70">
        <v>0.4</v>
      </c>
      <c r="E26" s="71">
        <f>B5*D26</f>
        <v>879250.4</v>
      </c>
      <c r="F26" s="161" t="s">
        <v>135</v>
      </c>
      <c r="G26" s="72">
        <v>0.46</v>
      </c>
      <c r="H26" s="48">
        <f>E26*G26</f>
        <v>404455.184</v>
      </c>
      <c r="I26" s="46" t="s">
        <v>53</v>
      </c>
      <c r="J26" s="126" t="s">
        <v>86</v>
      </c>
      <c r="K26" s="45" t="s">
        <v>87</v>
      </c>
      <c r="L26" s="73" t="s">
        <v>56</v>
      </c>
      <c r="M26" s="51">
        <v>1.0</v>
      </c>
      <c r="N26" s="51">
        <v>1.0</v>
      </c>
      <c r="O26" s="51">
        <f t="shared" ref="O26:O30" si="9">M26*N26</f>
        <v>1</v>
      </c>
      <c r="P26" s="80">
        <v>0.2</v>
      </c>
      <c r="Q26" s="81">
        <f>H26*P26</f>
        <v>80891.0368</v>
      </c>
      <c r="R26" s="127" t="s">
        <v>88</v>
      </c>
      <c r="S26" s="74"/>
      <c r="T26" s="74"/>
      <c r="U26" s="74"/>
      <c r="V26" s="83">
        <v>2.5</v>
      </c>
      <c r="W26" s="74"/>
      <c r="X26" s="74"/>
      <c r="Y26" s="74"/>
      <c r="Z26" s="84">
        <f t="shared" ref="Z26:Z27" si="10">Q26/V26*1000</f>
        <v>32356414.72</v>
      </c>
      <c r="AA26" s="59">
        <f>Q26</f>
        <v>80891.0368</v>
      </c>
      <c r="AC26" s="77"/>
      <c r="AD26" s="77"/>
      <c r="AE26" s="77"/>
      <c r="AF26" s="128"/>
      <c r="AG26" s="61"/>
      <c r="AH26" s="60"/>
      <c r="AI26" s="60"/>
      <c r="AJ26" s="62"/>
      <c r="AK26" s="61"/>
      <c r="AL26" s="60"/>
      <c r="AM26" s="60"/>
      <c r="AN26" s="62"/>
      <c r="AO26" s="61"/>
      <c r="AP26" s="60"/>
      <c r="AQ26" s="60"/>
      <c r="AR26" s="62"/>
      <c r="AS26" s="61"/>
      <c r="AT26" s="60"/>
      <c r="AU26" s="60"/>
      <c r="AV26" s="62"/>
      <c r="AW26" s="61"/>
      <c r="AX26" s="62"/>
      <c r="AY26" s="63">
        <f>AA26</f>
        <v>80891.0368</v>
      </c>
      <c r="AZ26" s="60"/>
    </row>
    <row r="27" ht="15.75" customHeight="1">
      <c r="A27" s="64"/>
      <c r="B27" s="64"/>
      <c r="C27" s="64"/>
      <c r="D27" s="64"/>
      <c r="E27" s="64"/>
      <c r="F27" s="64"/>
      <c r="G27" s="64"/>
      <c r="H27" s="64"/>
      <c r="I27" s="64"/>
      <c r="J27" s="46" t="s">
        <v>89</v>
      </c>
      <c r="K27" s="45" t="s">
        <v>90</v>
      </c>
      <c r="L27" s="73" t="s">
        <v>63</v>
      </c>
      <c r="M27" s="51">
        <v>1.0</v>
      </c>
      <c r="N27" s="51">
        <v>2.0</v>
      </c>
      <c r="O27" s="51">
        <f t="shared" si="9"/>
        <v>2</v>
      </c>
      <c r="P27" s="52">
        <v>0.2</v>
      </c>
      <c r="Q27" s="53">
        <f>H26*P27</f>
        <v>80891.0368</v>
      </c>
      <c r="R27" s="129" t="s">
        <v>136</v>
      </c>
      <c r="S27" s="57">
        <v>0.5</v>
      </c>
      <c r="T27" s="74"/>
      <c r="U27" s="74"/>
      <c r="V27" s="57">
        <v>2.5</v>
      </c>
      <c r="W27" s="75">
        <f>Q27/S27</f>
        <v>161782.0736</v>
      </c>
      <c r="X27" s="74"/>
      <c r="Y27" s="74"/>
      <c r="Z27" s="76">
        <f t="shared" si="10"/>
        <v>32356414.72</v>
      </c>
      <c r="AA27" s="61"/>
      <c r="AC27" s="77">
        <f>Q27</f>
        <v>80891.0368</v>
      </c>
      <c r="AF27" s="32"/>
      <c r="AG27" s="61"/>
      <c r="AH27" s="60"/>
      <c r="AI27" s="60"/>
      <c r="AJ27" s="62"/>
      <c r="AK27" s="61"/>
      <c r="AL27" s="60"/>
      <c r="AM27" s="60"/>
      <c r="AN27" s="62"/>
      <c r="AO27" s="61"/>
      <c r="AP27" s="60"/>
      <c r="AQ27" s="60"/>
      <c r="AR27" s="62"/>
      <c r="AS27" s="61"/>
      <c r="AT27" s="60"/>
      <c r="AU27" s="60"/>
      <c r="AV27" s="62"/>
      <c r="AW27" s="61"/>
      <c r="AX27" s="62"/>
      <c r="AY27" s="63">
        <f>AC27</f>
        <v>80891.0368</v>
      </c>
    </row>
    <row r="28" ht="15.75" customHeight="1">
      <c r="A28" s="64"/>
      <c r="B28" s="64"/>
      <c r="C28" s="64"/>
      <c r="D28" s="64"/>
      <c r="E28" s="64"/>
      <c r="F28" s="64"/>
      <c r="G28" s="64"/>
      <c r="H28" s="64"/>
      <c r="I28" s="65"/>
      <c r="J28" s="64"/>
      <c r="K28" s="45" t="s">
        <v>92</v>
      </c>
      <c r="L28" s="73" t="s">
        <v>63</v>
      </c>
      <c r="M28" s="51">
        <v>1.0</v>
      </c>
      <c r="N28" s="51">
        <v>2.0</v>
      </c>
      <c r="O28" s="51">
        <f t="shared" si="9"/>
        <v>2</v>
      </c>
      <c r="P28" s="65"/>
      <c r="Q28" s="65"/>
      <c r="R28" s="65"/>
      <c r="S28" s="65"/>
      <c r="T28" s="74"/>
      <c r="U28" s="74"/>
      <c r="V28" s="65"/>
      <c r="W28" s="65"/>
      <c r="X28" s="74"/>
      <c r="Y28" s="74"/>
      <c r="Z28" s="78"/>
      <c r="AA28" s="66"/>
      <c r="AF28" s="32"/>
      <c r="AG28" s="61"/>
      <c r="AH28" s="60"/>
      <c r="AI28" s="60"/>
      <c r="AJ28" s="62"/>
      <c r="AK28" s="61"/>
      <c r="AL28" s="60"/>
      <c r="AM28" s="60"/>
      <c r="AN28" s="62"/>
      <c r="AO28" s="61"/>
      <c r="AP28" s="60"/>
      <c r="AQ28" s="60"/>
      <c r="AR28" s="62"/>
      <c r="AS28" s="61"/>
      <c r="AT28" s="60"/>
      <c r="AU28" s="60"/>
      <c r="AV28" s="62"/>
      <c r="AW28" s="61"/>
      <c r="AX28" s="62"/>
    </row>
    <row r="29" ht="15.75" customHeight="1">
      <c r="A29" s="64"/>
      <c r="B29" s="64"/>
      <c r="C29" s="64"/>
      <c r="D29" s="64"/>
      <c r="E29" s="64"/>
      <c r="F29" s="64"/>
      <c r="G29" s="64"/>
      <c r="H29" s="64"/>
      <c r="I29" s="46" t="s">
        <v>65</v>
      </c>
      <c r="J29" s="64"/>
      <c r="K29" s="45" t="s">
        <v>93</v>
      </c>
      <c r="L29" s="73" t="s">
        <v>63</v>
      </c>
      <c r="M29" s="51">
        <v>1.0</v>
      </c>
      <c r="N29" s="51">
        <v>4.0</v>
      </c>
      <c r="O29" s="51">
        <f t="shared" si="9"/>
        <v>4</v>
      </c>
      <c r="P29" s="52">
        <v>0.3</v>
      </c>
      <c r="Q29" s="53">
        <f>H26*P29</f>
        <v>121336.5552</v>
      </c>
      <c r="R29" s="129" t="s">
        <v>137</v>
      </c>
      <c r="S29" s="57">
        <v>0.5</v>
      </c>
      <c r="T29" s="74"/>
      <c r="U29" s="74"/>
      <c r="V29" s="57">
        <v>2.5</v>
      </c>
      <c r="W29" s="75">
        <f>Q29/S29</f>
        <v>242673.1104</v>
      </c>
      <c r="X29" s="74"/>
      <c r="Y29" s="74"/>
      <c r="Z29" s="76">
        <f>Q29/V29*1000</f>
        <v>48534622.08</v>
      </c>
      <c r="AA29" s="61"/>
      <c r="AB29" s="60"/>
      <c r="AC29" s="60"/>
      <c r="AD29" s="60"/>
      <c r="AE29" s="60"/>
      <c r="AF29" s="62"/>
      <c r="AG29" s="79">
        <v>30334.1388</v>
      </c>
      <c r="AJ29" s="32"/>
      <c r="AK29" s="79">
        <v>40334.1388</v>
      </c>
      <c r="AN29" s="32"/>
      <c r="AO29" s="79">
        <v>30334.1388</v>
      </c>
      <c r="AR29" s="32"/>
      <c r="AS29" s="79">
        <v>20334.1388</v>
      </c>
      <c r="AV29" s="32"/>
      <c r="AW29" s="61"/>
      <c r="AX29" s="62"/>
      <c r="AY29" s="63">
        <f>AG29+AK29+AO29+AS29</f>
        <v>121336.5552</v>
      </c>
    </row>
    <row r="30" ht="15.75" customHeight="1">
      <c r="A30" s="64"/>
      <c r="B30" s="64"/>
      <c r="C30" s="64"/>
      <c r="D30" s="64"/>
      <c r="E30" s="64"/>
      <c r="F30" s="64"/>
      <c r="G30" s="64"/>
      <c r="H30" s="64"/>
      <c r="I30" s="64"/>
      <c r="J30" s="64"/>
      <c r="K30" s="45" t="s">
        <v>95</v>
      </c>
      <c r="L30" s="73" t="s">
        <v>63</v>
      </c>
      <c r="M30" s="51">
        <v>1.0</v>
      </c>
      <c r="N30" s="51">
        <v>4.0</v>
      </c>
      <c r="O30" s="51">
        <f t="shared" si="9"/>
        <v>4</v>
      </c>
      <c r="P30" s="65"/>
      <c r="Q30" s="65"/>
      <c r="R30" s="65"/>
      <c r="S30" s="65"/>
      <c r="T30" s="74"/>
      <c r="U30" s="74"/>
      <c r="V30" s="65"/>
      <c r="W30" s="65"/>
      <c r="X30" s="74"/>
      <c r="Y30" s="74"/>
      <c r="Z30" s="78"/>
      <c r="AA30" s="61"/>
      <c r="AB30" s="60"/>
      <c r="AC30" s="60"/>
      <c r="AD30" s="60"/>
      <c r="AE30" s="60"/>
      <c r="AF30" s="62"/>
      <c r="AG30" s="66"/>
      <c r="AJ30" s="32"/>
      <c r="AK30" s="66"/>
      <c r="AN30" s="32"/>
      <c r="AO30" s="66"/>
      <c r="AR30" s="32"/>
      <c r="AS30" s="66"/>
      <c r="AV30" s="32"/>
      <c r="AW30" s="61"/>
      <c r="AX30" s="62"/>
    </row>
    <row r="31" ht="15.75" customHeight="1">
      <c r="A31" s="64"/>
      <c r="B31" s="64"/>
      <c r="C31" s="64"/>
      <c r="D31" s="64"/>
      <c r="E31" s="64"/>
      <c r="F31" s="64"/>
      <c r="G31" s="65"/>
      <c r="H31" s="65"/>
      <c r="I31" s="65"/>
      <c r="J31" s="64"/>
      <c r="K31" s="45" t="s">
        <v>68</v>
      </c>
      <c r="L31" s="73" t="s">
        <v>69</v>
      </c>
      <c r="M31" s="51" t="s">
        <v>70</v>
      </c>
      <c r="N31" s="51" t="s">
        <v>70</v>
      </c>
      <c r="O31" s="51" t="s">
        <v>70</v>
      </c>
      <c r="P31" s="80">
        <v>0.3</v>
      </c>
      <c r="Q31" s="81">
        <f>H26*P31</f>
        <v>121336.5552</v>
      </c>
      <c r="R31" s="127" t="s">
        <v>96</v>
      </c>
      <c r="S31" s="83">
        <v>0.5</v>
      </c>
      <c r="T31" s="74"/>
      <c r="U31" s="74"/>
      <c r="V31" s="83">
        <v>2.5</v>
      </c>
      <c r="W31" s="51">
        <f>Q31/S31</f>
        <v>242673.1104</v>
      </c>
      <c r="X31" s="74"/>
      <c r="Y31" s="74"/>
      <c r="Z31" s="84">
        <f>Q31/V31*1000</f>
        <v>48534622.08</v>
      </c>
      <c r="AA31" s="61"/>
      <c r="AB31" s="60"/>
      <c r="AC31" s="60"/>
      <c r="AD31" s="60"/>
      <c r="AE31" s="60"/>
      <c r="AF31" s="62"/>
      <c r="AG31" s="85">
        <f>Q31/3</f>
        <v>40445.5184</v>
      </c>
      <c r="AJ31" s="32"/>
      <c r="AK31" s="85">
        <f>Q31/3</f>
        <v>40445.5184</v>
      </c>
      <c r="AN31" s="32"/>
      <c r="AO31" s="85">
        <v>40445.5184</v>
      </c>
      <c r="AR31" s="32"/>
      <c r="AS31" s="61"/>
      <c r="AV31" s="32"/>
      <c r="AW31" s="61"/>
      <c r="AX31" s="62"/>
      <c r="AY31" s="63">
        <f>AK31+AO31+AS31+AG31</f>
        <v>121336.5552</v>
      </c>
    </row>
    <row r="32" ht="15.75" customHeight="1">
      <c r="A32" s="64"/>
      <c r="B32" s="64"/>
      <c r="C32" s="64"/>
      <c r="D32" s="64"/>
      <c r="E32" s="64"/>
      <c r="F32" s="102" t="s">
        <v>97</v>
      </c>
      <c r="G32" s="130">
        <v>0.2</v>
      </c>
      <c r="H32" s="131">
        <f>E26*G32</f>
        <v>175850.08</v>
      </c>
      <c r="I32" s="132" t="s">
        <v>98</v>
      </c>
      <c r="J32" s="43" t="s">
        <v>99</v>
      </c>
      <c r="K32" s="45" t="s">
        <v>100</v>
      </c>
      <c r="L32" s="82" t="s">
        <v>101</v>
      </c>
      <c r="M32" s="51">
        <v>1.0</v>
      </c>
      <c r="N32" s="51">
        <v>5.0</v>
      </c>
      <c r="O32" s="51">
        <f t="shared" ref="O32:O33" si="11">M32*N32</f>
        <v>5</v>
      </c>
      <c r="P32" s="80">
        <v>1.0</v>
      </c>
      <c r="Q32" s="81">
        <f t="shared" ref="Q32:Q33" si="12">H32*P32</f>
        <v>175850.08</v>
      </c>
      <c r="R32" s="82" t="s">
        <v>102</v>
      </c>
      <c r="S32" s="74"/>
      <c r="T32" s="74"/>
      <c r="U32" s="83">
        <v>1.2</v>
      </c>
      <c r="V32" s="74"/>
      <c r="W32" s="133"/>
      <c r="X32" s="74"/>
      <c r="Y32" s="51">
        <f t="shared" ref="Y32:Y33" si="13">Q32/U32</f>
        <v>146541.7333</v>
      </c>
      <c r="Z32" s="74"/>
      <c r="AA32" s="61"/>
      <c r="AC32" s="134">
        <v>55340.0</v>
      </c>
      <c r="AF32" s="32"/>
      <c r="AG32" s="135">
        <v>50170.016</v>
      </c>
      <c r="AJ32" s="32"/>
      <c r="AK32" s="135">
        <v>35170.016</v>
      </c>
      <c r="AN32" s="32"/>
      <c r="AO32" s="135">
        <v>35170.016</v>
      </c>
      <c r="AR32" s="32"/>
      <c r="AS32" s="60"/>
      <c r="AW32" s="61"/>
      <c r="AX32" s="62"/>
      <c r="AY32" s="63">
        <f>AC32+AG32+AK32+AO32+AS32</f>
        <v>175850.048</v>
      </c>
    </row>
    <row r="33" ht="15.75" customHeight="1">
      <c r="A33" s="64"/>
      <c r="B33" s="64"/>
      <c r="C33" s="64"/>
      <c r="D33" s="64"/>
      <c r="E33" s="64"/>
      <c r="F33" s="43" t="s">
        <v>103</v>
      </c>
      <c r="G33" s="136">
        <v>0.08</v>
      </c>
      <c r="H33" s="131">
        <f>E26*G33</f>
        <v>70340.032</v>
      </c>
      <c r="I33" s="132" t="s">
        <v>98</v>
      </c>
      <c r="J33" s="45" t="s">
        <v>104</v>
      </c>
      <c r="K33" s="45" t="s">
        <v>104</v>
      </c>
      <c r="L33" s="82" t="s">
        <v>101</v>
      </c>
      <c r="M33" s="51">
        <v>1.0</v>
      </c>
      <c r="N33" s="51">
        <v>5.0</v>
      </c>
      <c r="O33" s="51">
        <f t="shared" si="11"/>
        <v>5</v>
      </c>
      <c r="P33" s="80">
        <v>1.0</v>
      </c>
      <c r="Q33" s="81">
        <f t="shared" si="12"/>
        <v>70340.032</v>
      </c>
      <c r="R33" s="82" t="s">
        <v>102</v>
      </c>
      <c r="S33" s="74"/>
      <c r="T33" s="74"/>
      <c r="U33" s="83">
        <v>0.45</v>
      </c>
      <c r="V33" s="74"/>
      <c r="W33" s="133"/>
      <c r="X33" s="74"/>
      <c r="Y33" s="51">
        <f t="shared" si="13"/>
        <v>156311.1822</v>
      </c>
      <c r="Z33" s="74"/>
      <c r="AA33" s="61"/>
      <c r="AB33" s="60"/>
      <c r="AC33" s="134">
        <f>Q33/3</f>
        <v>23446.67733</v>
      </c>
      <c r="AF33" s="32"/>
      <c r="AG33" s="135">
        <v>23446.677333333337</v>
      </c>
      <c r="AJ33" s="32"/>
      <c r="AK33" s="135">
        <v>23446.677333333337</v>
      </c>
      <c r="AN33" s="32"/>
      <c r="AO33" s="61"/>
      <c r="AP33" s="60"/>
      <c r="AQ33" s="60"/>
      <c r="AR33" s="62"/>
      <c r="AS33" s="61"/>
      <c r="AT33" s="60"/>
      <c r="AU33" s="60"/>
      <c r="AV33" s="62"/>
      <c r="AW33" s="61"/>
      <c r="AX33" s="62"/>
      <c r="AY33" s="63">
        <f>AG33+AK33+AC33</f>
        <v>70340.032</v>
      </c>
      <c r="AZ33" s="60"/>
    </row>
    <row r="34" ht="10.5" customHeight="1">
      <c r="A34" s="64"/>
      <c r="B34" s="64"/>
      <c r="C34" s="64"/>
      <c r="D34" s="64"/>
      <c r="E34" s="64"/>
      <c r="F34" s="89"/>
      <c r="G34" s="137"/>
      <c r="H34" s="138"/>
      <c r="I34" s="89"/>
      <c r="J34" s="89"/>
      <c r="K34" s="89"/>
      <c r="L34" s="93"/>
      <c r="M34" s="91"/>
      <c r="N34" s="91"/>
      <c r="O34" s="91"/>
      <c r="P34" s="90"/>
      <c r="Q34" s="92"/>
      <c r="R34" s="93"/>
      <c r="S34" s="94"/>
      <c r="T34" s="94"/>
      <c r="U34" s="94"/>
      <c r="V34" s="94"/>
      <c r="W34" s="91"/>
      <c r="X34" s="94"/>
      <c r="Y34" s="94"/>
      <c r="Z34" s="95"/>
      <c r="AA34" s="96"/>
      <c r="AB34" s="97"/>
      <c r="AC34" s="97"/>
      <c r="AD34" s="97"/>
      <c r="AE34" s="97"/>
      <c r="AF34" s="98"/>
      <c r="AG34" s="96"/>
      <c r="AH34" s="97"/>
      <c r="AI34" s="97"/>
      <c r="AJ34" s="98"/>
      <c r="AK34" s="96"/>
      <c r="AL34" s="97"/>
      <c r="AM34" s="97"/>
      <c r="AN34" s="98"/>
      <c r="AO34" s="96"/>
      <c r="AP34" s="97"/>
      <c r="AQ34" s="97"/>
      <c r="AR34" s="98"/>
      <c r="AS34" s="96"/>
      <c r="AT34" s="97"/>
      <c r="AU34" s="97"/>
      <c r="AV34" s="98"/>
      <c r="AW34" s="96"/>
      <c r="AX34" s="98"/>
      <c r="AY34" s="97"/>
      <c r="AZ34" s="97"/>
    </row>
    <row r="35" ht="15.75" customHeight="1">
      <c r="A35" s="64"/>
      <c r="B35" s="64"/>
      <c r="C35" s="64"/>
      <c r="D35" s="64"/>
      <c r="E35" s="64"/>
      <c r="F35" s="46" t="s">
        <v>105</v>
      </c>
      <c r="G35" s="72">
        <v>0.06</v>
      </c>
      <c r="H35" s="48">
        <f>E26*G35</f>
        <v>52755.024</v>
      </c>
      <c r="I35" s="46" t="s">
        <v>71</v>
      </c>
      <c r="J35" s="46" t="s">
        <v>106</v>
      </c>
      <c r="K35" s="45" t="s">
        <v>107</v>
      </c>
      <c r="L35" s="82" t="s">
        <v>108</v>
      </c>
      <c r="M35" s="51">
        <v>2.0</v>
      </c>
      <c r="N35" s="51">
        <v>3.0</v>
      </c>
      <c r="O35" s="51">
        <f t="shared" ref="O35:O37" si="14">M35*N35</f>
        <v>6</v>
      </c>
      <c r="P35" s="52">
        <v>1.0</v>
      </c>
      <c r="Q35" s="53">
        <f>H35*P35</f>
        <v>52755.024</v>
      </c>
      <c r="R35" s="54" t="s">
        <v>59</v>
      </c>
      <c r="S35" s="74"/>
      <c r="T35" s="74"/>
      <c r="U35" s="74"/>
      <c r="V35" s="57">
        <f>45/18.77</f>
        <v>2.397442728</v>
      </c>
      <c r="W35" s="133"/>
      <c r="X35" s="74"/>
      <c r="Y35" s="74"/>
      <c r="Z35" s="76">
        <f>Q35/V35*1000</f>
        <v>22004706.68</v>
      </c>
      <c r="AA35" s="61"/>
      <c r="AC35" s="60"/>
      <c r="AF35" s="32"/>
      <c r="AG35" s="61"/>
      <c r="AJ35" s="32"/>
      <c r="AK35" s="139">
        <v>36377.512</v>
      </c>
      <c r="AN35" s="32"/>
      <c r="AO35" s="61"/>
      <c r="AR35" s="32"/>
      <c r="AS35" s="139">
        <v>10377.512</v>
      </c>
      <c r="AV35" s="32"/>
      <c r="AW35" s="139">
        <v>6378.0</v>
      </c>
      <c r="AX35" s="32"/>
      <c r="AY35" s="63">
        <f>AK35+AS35+AW35</f>
        <v>53133.024</v>
      </c>
    </row>
    <row r="36" ht="15.75" customHeight="1">
      <c r="A36" s="64"/>
      <c r="B36" s="64"/>
      <c r="C36" s="64"/>
      <c r="D36" s="64"/>
      <c r="E36" s="64"/>
      <c r="F36" s="64"/>
      <c r="G36" s="64"/>
      <c r="H36" s="64"/>
      <c r="I36" s="64"/>
      <c r="J36" s="64"/>
      <c r="K36" s="45" t="s">
        <v>107</v>
      </c>
      <c r="L36" s="82" t="s">
        <v>108</v>
      </c>
      <c r="M36" s="51">
        <v>2.0</v>
      </c>
      <c r="N36" s="51">
        <v>3.0</v>
      </c>
      <c r="O36" s="51">
        <f t="shared" si="14"/>
        <v>6</v>
      </c>
      <c r="P36" s="64"/>
      <c r="Q36" s="64"/>
      <c r="R36" s="64"/>
      <c r="S36" s="74"/>
      <c r="T36" s="74"/>
      <c r="U36" s="74"/>
      <c r="V36" s="64"/>
      <c r="W36" s="133"/>
      <c r="X36" s="74"/>
      <c r="Y36" s="74"/>
      <c r="Z36" s="108"/>
      <c r="AA36" s="61"/>
      <c r="AC36" s="60"/>
      <c r="AF36" s="32"/>
      <c r="AG36" s="61"/>
      <c r="AJ36" s="32"/>
      <c r="AK36" s="66"/>
      <c r="AN36" s="32"/>
      <c r="AO36" s="61"/>
      <c r="AR36" s="32"/>
      <c r="AS36" s="66"/>
      <c r="AV36" s="32"/>
      <c r="AW36" s="66"/>
      <c r="AX36" s="32"/>
    </row>
    <row r="37" ht="15.75" customHeight="1">
      <c r="A37" s="64"/>
      <c r="B37" s="64"/>
      <c r="C37" s="64"/>
      <c r="D37" s="64"/>
      <c r="E37" s="64"/>
      <c r="F37" s="65"/>
      <c r="G37" s="65"/>
      <c r="H37" s="65"/>
      <c r="I37" s="65"/>
      <c r="J37" s="65"/>
      <c r="K37" s="45" t="s">
        <v>109</v>
      </c>
      <c r="L37" s="82" t="s">
        <v>108</v>
      </c>
      <c r="M37" s="51">
        <v>2.0</v>
      </c>
      <c r="N37" s="51">
        <v>3.0</v>
      </c>
      <c r="O37" s="51">
        <f t="shared" si="14"/>
        <v>6</v>
      </c>
      <c r="P37" s="65"/>
      <c r="Q37" s="65"/>
      <c r="R37" s="65"/>
      <c r="S37" s="74"/>
      <c r="T37" s="74"/>
      <c r="U37" s="74"/>
      <c r="V37" s="65"/>
      <c r="W37" s="133"/>
      <c r="X37" s="74"/>
      <c r="Y37" s="74"/>
      <c r="Z37" s="78"/>
      <c r="AA37" s="140"/>
      <c r="AB37" s="141"/>
      <c r="AC37" s="142"/>
      <c r="AD37" s="141"/>
      <c r="AE37" s="141"/>
      <c r="AF37" s="143"/>
      <c r="AG37" s="61"/>
      <c r="AJ37" s="32"/>
      <c r="AK37" s="66"/>
      <c r="AN37" s="32"/>
      <c r="AO37" s="61"/>
      <c r="AR37" s="32"/>
      <c r="AS37" s="66"/>
      <c r="AV37" s="32"/>
      <c r="AW37" s="66"/>
      <c r="AX37" s="32"/>
    </row>
    <row r="38" ht="12.0" customHeight="1">
      <c r="A38" s="64"/>
      <c r="B38" s="64"/>
      <c r="C38" s="64"/>
      <c r="D38" s="64"/>
      <c r="E38" s="64"/>
      <c r="F38" s="89"/>
      <c r="G38" s="137"/>
      <c r="H38" s="138"/>
      <c r="I38" s="144"/>
      <c r="J38" s="89"/>
      <c r="K38" s="89"/>
      <c r="L38" s="93"/>
      <c r="M38" s="91"/>
      <c r="N38" s="91"/>
      <c r="O38" s="91"/>
      <c r="P38" s="90"/>
      <c r="Q38" s="92"/>
      <c r="R38" s="93"/>
      <c r="S38" s="94"/>
      <c r="T38" s="94"/>
      <c r="U38" s="94"/>
      <c r="V38" s="94"/>
      <c r="W38" s="91"/>
      <c r="X38" s="94"/>
      <c r="Y38" s="91"/>
      <c r="Z38" s="91"/>
      <c r="AA38" s="97"/>
      <c r="AB38" s="97"/>
      <c r="AC38" s="97"/>
      <c r="AD38" s="97"/>
      <c r="AE38" s="97"/>
      <c r="AF38" s="97"/>
      <c r="AG38" s="96"/>
      <c r="AH38" s="97"/>
      <c r="AI38" s="97"/>
      <c r="AJ38" s="98"/>
      <c r="AK38" s="96"/>
      <c r="AL38" s="97"/>
      <c r="AM38" s="97"/>
      <c r="AN38" s="98"/>
      <c r="AO38" s="96"/>
      <c r="AP38" s="97"/>
      <c r="AQ38" s="97"/>
      <c r="AR38" s="98"/>
      <c r="AS38" s="96"/>
      <c r="AT38" s="97"/>
      <c r="AU38" s="97"/>
      <c r="AV38" s="98"/>
      <c r="AW38" s="96"/>
      <c r="AX38" s="98"/>
      <c r="AY38" s="97"/>
      <c r="AZ38" s="97"/>
    </row>
    <row r="39" ht="15.75" customHeight="1">
      <c r="A39" s="65"/>
      <c r="B39" s="65"/>
      <c r="C39" s="65"/>
      <c r="D39" s="65"/>
      <c r="E39" s="65"/>
      <c r="F39" s="45" t="s">
        <v>110</v>
      </c>
      <c r="G39" s="136">
        <v>0.2</v>
      </c>
      <c r="H39" s="131">
        <f>E26*G39</f>
        <v>175850.08</v>
      </c>
      <c r="I39" s="102" t="s">
        <v>76</v>
      </c>
      <c r="J39" s="45" t="s">
        <v>111</v>
      </c>
      <c r="K39" s="45" t="s">
        <v>112</v>
      </c>
      <c r="L39" s="82" t="s">
        <v>113</v>
      </c>
      <c r="M39" s="51">
        <v>2.0</v>
      </c>
      <c r="N39" s="51">
        <v>2.0</v>
      </c>
      <c r="O39" s="51">
        <f>M39*N39</f>
        <v>4</v>
      </c>
      <c r="P39" s="80">
        <v>1.0</v>
      </c>
      <c r="Q39" s="81">
        <f>H39*P39</f>
        <v>175850.08</v>
      </c>
      <c r="R39" s="82" t="s">
        <v>114</v>
      </c>
      <c r="S39" s="74"/>
      <c r="T39" s="74"/>
      <c r="U39" s="74"/>
      <c r="V39" s="83">
        <v>4.85</v>
      </c>
      <c r="W39" s="133"/>
      <c r="X39" s="74"/>
      <c r="Y39" s="74"/>
      <c r="Z39" s="51">
        <f>Q39/V39*1000</f>
        <v>36257748.45</v>
      </c>
      <c r="AA39" s="77">
        <f>Q39/2</f>
        <v>87925.04</v>
      </c>
      <c r="AC39" s="77">
        <v>87925.04000000001</v>
      </c>
      <c r="AG39" s="140"/>
      <c r="AH39" s="141"/>
      <c r="AI39" s="141"/>
      <c r="AJ39" s="143"/>
      <c r="AK39" s="140"/>
      <c r="AL39" s="141"/>
      <c r="AM39" s="141"/>
      <c r="AN39" s="143"/>
      <c r="AO39" s="140"/>
      <c r="AP39" s="141"/>
      <c r="AQ39" s="141"/>
      <c r="AR39" s="143"/>
      <c r="AS39" s="140"/>
      <c r="AT39" s="141"/>
      <c r="AU39" s="141"/>
      <c r="AV39" s="143"/>
      <c r="AW39" s="140"/>
      <c r="AX39" s="143"/>
      <c r="AY39" s="63">
        <f>AA39+AC39</f>
        <v>175850.08</v>
      </c>
    </row>
    <row r="40" ht="15.75" customHeight="1">
      <c r="A40" s="145" t="s">
        <v>115</v>
      </c>
      <c r="B40" s="145"/>
      <c r="C40" s="145"/>
      <c r="D40" s="145"/>
      <c r="E40" s="146">
        <f>SUM(E13:E39)</f>
        <v>2198126</v>
      </c>
      <c r="F40" s="145"/>
      <c r="G40" s="145"/>
      <c r="H40" s="145"/>
      <c r="I40" s="145"/>
      <c r="J40" s="145"/>
      <c r="K40" s="145"/>
      <c r="L40" s="147"/>
      <c r="M40" s="147"/>
      <c r="N40" s="147"/>
      <c r="O40" s="148">
        <f>O13+O14+O15+O16+O18+O19+O21+O23+O24+O27+O28+O29+O30+O32+O35+O36+O37+O39</f>
        <v>74</v>
      </c>
      <c r="P40" s="147"/>
      <c r="Q40" s="149">
        <f>SUM(Q13:Q39)+Q11</f>
        <v>2198126</v>
      </c>
      <c r="R40" s="147"/>
      <c r="S40" s="150"/>
      <c r="T40" s="150"/>
      <c r="U40" s="150"/>
      <c r="V40" s="150"/>
      <c r="W40" s="151">
        <f>W13+W15+W17+W18+W27+W29+W31</f>
        <v>2405629.094</v>
      </c>
      <c r="X40" s="152"/>
      <c r="Y40" s="151">
        <f>Y32+Y33</f>
        <v>302852.9156</v>
      </c>
      <c r="Z40" s="151">
        <f>Z13+Z15+Z17+Z18+Z21+Z22+Z23+Z24+Z27+Z29+Z31+Z35+Z39+Z26+Z11</f>
        <v>343413784.3</v>
      </c>
      <c r="AA40" s="149">
        <f>AA39+AA26+AA11</f>
        <v>300703.6368</v>
      </c>
      <c r="AC40" s="149">
        <f>AC13+AC21+AC22+AC24+AC27+AC32+AC33+AC39</f>
        <v>624968.2451</v>
      </c>
      <c r="AG40" s="149">
        <f>AG15+AG17+AG22+AG24+AG29+AG31+AG32+AG33</f>
        <v>544176.8335</v>
      </c>
      <c r="AK40" s="149">
        <f>AK15+AK17+AK18+AK23+AK29+AK31+AK32+AK35+AK33</f>
        <v>378992.0845</v>
      </c>
      <c r="AO40" s="149">
        <f>AO15+AO17+AO23+AO29+AO31+AO32</f>
        <v>230035.3592</v>
      </c>
      <c r="AS40" s="149">
        <f>AS15+AS22+AS29+AS32+AS17+AS23+AS31</f>
        <v>63306.0288</v>
      </c>
      <c r="AW40" s="149">
        <f>AW35</f>
        <v>6378</v>
      </c>
      <c r="AY40" s="149">
        <f>AY11+AY13+AY15+AY17+AY18+AY21+AY22+AY23+AY24+AY26+AY27+AY29+AY31+AY32+AY33+AY35+AY39</f>
        <v>2198503.968</v>
      </c>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row>
    <row r="42" ht="15.75" customHeight="1">
      <c r="A42" s="3"/>
      <c r="B42" s="3"/>
      <c r="C42" s="3"/>
      <c r="D42" s="3"/>
      <c r="E42" s="3"/>
      <c r="F42" s="3"/>
      <c r="G42" s="3"/>
      <c r="H42" s="3"/>
      <c r="I42" s="3"/>
      <c r="J42" s="3"/>
      <c r="K42" s="3"/>
      <c r="L42" s="3"/>
      <c r="M42" s="3"/>
      <c r="N42" s="3"/>
      <c r="O42" s="3"/>
      <c r="P42" s="3"/>
      <c r="Q42" s="3"/>
      <c r="R42" s="3"/>
      <c r="S42" s="3"/>
      <c r="T42" s="3"/>
      <c r="U42" s="3"/>
      <c r="V42" s="3"/>
      <c r="W42" s="15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row>
    <row r="43" ht="15.75" customHeight="1">
      <c r="A43" s="3"/>
      <c r="B43" s="3"/>
      <c r="C43" s="3"/>
      <c r="D43" s="3"/>
      <c r="E43" s="3"/>
      <c r="F43" s="3"/>
      <c r="G43" s="3"/>
      <c r="H43" s="3"/>
      <c r="I43" s="3"/>
      <c r="J43" s="3"/>
      <c r="K43" s="3"/>
      <c r="L43" s="3"/>
      <c r="M43" s="3"/>
      <c r="N43" s="3"/>
      <c r="O43" s="3"/>
      <c r="P43" s="3"/>
      <c r="Q43" s="162"/>
      <c r="R43" s="162"/>
      <c r="S43" s="163"/>
      <c r="T43" s="163"/>
      <c r="U43" s="163"/>
      <c r="V43" s="163"/>
      <c r="W43" s="162"/>
      <c r="X43" s="162"/>
      <c r="Y43" s="162"/>
      <c r="Z43" s="162"/>
      <c r="AA43" s="162"/>
      <c r="AB43" s="162"/>
      <c r="AC43" s="162"/>
      <c r="AD43" s="3"/>
      <c r="AE43" s="3"/>
      <c r="AF43" s="3"/>
      <c r="AG43" s="3"/>
      <c r="AH43" s="3"/>
      <c r="AL43" s="3"/>
      <c r="AM43" s="3"/>
      <c r="AN43" s="3"/>
      <c r="AO43" s="3"/>
      <c r="AP43" s="3"/>
      <c r="AQ43" s="3"/>
      <c r="AR43" s="3"/>
      <c r="AS43" s="3"/>
      <c r="AT43" s="3"/>
      <c r="AU43" s="3"/>
      <c r="AV43" s="3"/>
      <c r="AW43" s="3"/>
      <c r="AX43" s="3"/>
      <c r="AY43" s="3"/>
      <c r="AZ43" s="3"/>
    </row>
    <row r="44" ht="15.75" customHeight="1">
      <c r="A44" s="3"/>
      <c r="B44" s="3"/>
      <c r="C44" s="3"/>
      <c r="D44" s="3"/>
      <c r="E44" s="3"/>
      <c r="F44" s="3"/>
      <c r="G44" s="3"/>
      <c r="H44" s="3"/>
      <c r="I44" s="3"/>
      <c r="J44" s="3"/>
      <c r="K44" s="3"/>
      <c r="L44" s="3"/>
      <c r="M44" s="3"/>
      <c r="N44" s="3"/>
      <c r="O44" s="3"/>
      <c r="P44" s="3"/>
      <c r="Q44" s="162"/>
      <c r="R44" s="162"/>
      <c r="S44" s="163"/>
      <c r="T44" s="163"/>
      <c r="U44" s="163"/>
      <c r="V44" s="163"/>
      <c r="W44" s="162"/>
      <c r="X44" s="162"/>
      <c r="Y44" s="162"/>
      <c r="Z44" s="162"/>
      <c r="AA44" s="162"/>
      <c r="AB44" s="162"/>
      <c r="AC44" s="162"/>
      <c r="AD44" s="163"/>
      <c r="AE44" s="3"/>
      <c r="AF44" s="3"/>
      <c r="AG44" s="3"/>
      <c r="AL44" s="3"/>
      <c r="AM44" s="3"/>
      <c r="AN44" s="3"/>
      <c r="AO44" s="3"/>
      <c r="AP44" s="3"/>
      <c r="AQ44" s="3"/>
      <c r="AR44" s="3"/>
      <c r="AS44" s="3"/>
      <c r="AT44" s="3"/>
      <c r="AU44" s="3"/>
      <c r="AV44" s="3"/>
      <c r="AW44" s="3"/>
      <c r="AX44" s="3"/>
      <c r="AY44" s="3"/>
      <c r="AZ44" s="3"/>
    </row>
    <row r="45" ht="15.75" customHeight="1">
      <c r="A45" s="3"/>
      <c r="B45" s="3"/>
      <c r="C45" s="3"/>
      <c r="D45" s="3"/>
      <c r="E45" s="3"/>
      <c r="F45" s="154"/>
      <c r="G45" s="3"/>
      <c r="H45" s="3"/>
      <c r="I45" s="3"/>
      <c r="J45" s="3"/>
      <c r="K45" s="3"/>
      <c r="L45" s="3"/>
      <c r="M45" s="3"/>
      <c r="N45" s="3"/>
      <c r="O45" s="3"/>
      <c r="P45" s="3"/>
      <c r="Q45" s="162"/>
      <c r="R45" s="162"/>
      <c r="S45" s="163"/>
      <c r="T45" s="163"/>
      <c r="U45" s="163"/>
      <c r="V45" s="163"/>
      <c r="W45" s="162"/>
      <c r="X45" s="162"/>
      <c r="Y45" s="162"/>
      <c r="Z45" s="162"/>
      <c r="AA45" s="164" t="s">
        <v>117</v>
      </c>
      <c r="AC45" s="162"/>
      <c r="AD45" s="163"/>
      <c r="AE45" s="3"/>
      <c r="AF45" s="3"/>
      <c r="AG45" s="3"/>
      <c r="AH45" s="3"/>
      <c r="AI45" s="3"/>
      <c r="AJ45" s="3"/>
      <c r="AK45" s="3"/>
      <c r="AL45" s="3"/>
      <c r="AM45" s="3"/>
      <c r="AN45" s="3"/>
      <c r="AO45" s="3"/>
      <c r="AP45" s="3"/>
      <c r="AQ45" s="3"/>
      <c r="AR45" s="3"/>
      <c r="AS45" s="3"/>
      <c r="AT45" s="3"/>
      <c r="AU45" s="3"/>
      <c r="AV45" s="3"/>
      <c r="AW45" s="3"/>
      <c r="AX45" s="3"/>
      <c r="AY45" s="3"/>
      <c r="AZ45" s="3"/>
    </row>
    <row r="46" ht="15.75" customHeight="1">
      <c r="A46" s="3"/>
      <c r="B46" s="3"/>
      <c r="C46" s="3"/>
      <c r="D46" s="155"/>
      <c r="E46" s="3"/>
      <c r="F46" s="3"/>
      <c r="G46" s="3"/>
      <c r="H46" s="3"/>
      <c r="I46" s="3"/>
      <c r="J46" s="3"/>
      <c r="K46" s="3"/>
      <c r="L46" s="3"/>
      <c r="M46" s="3"/>
      <c r="N46" s="3"/>
      <c r="O46" s="3"/>
      <c r="P46" s="3"/>
      <c r="Q46" s="162"/>
      <c r="R46" s="162"/>
      <c r="S46" s="163"/>
      <c r="T46" s="163"/>
      <c r="U46" s="163"/>
      <c r="V46" s="163"/>
      <c r="W46" s="162"/>
      <c r="X46" s="162"/>
      <c r="Y46" s="162"/>
      <c r="Z46" s="162" t="s">
        <v>118</v>
      </c>
      <c r="AA46" s="165">
        <f>AA40</f>
        <v>300703.6368</v>
      </c>
      <c r="AC46" s="162"/>
      <c r="AD46" s="163"/>
      <c r="AE46" s="3"/>
      <c r="AF46" s="3"/>
      <c r="AG46" s="3"/>
      <c r="AH46" s="3"/>
      <c r="AI46" s="3"/>
      <c r="AJ46" s="3"/>
      <c r="AK46" s="3"/>
      <c r="AL46" s="3"/>
      <c r="AM46" s="3"/>
      <c r="AN46" s="3"/>
      <c r="AO46" s="3"/>
      <c r="AP46" s="3"/>
      <c r="AQ46" s="3"/>
      <c r="AR46" s="3"/>
      <c r="AS46" s="3"/>
      <c r="AT46" s="3"/>
      <c r="AU46" s="3"/>
      <c r="AV46" s="3"/>
      <c r="AW46" s="3"/>
      <c r="AX46" s="3"/>
      <c r="AY46" s="3"/>
      <c r="AZ46" s="3"/>
    </row>
    <row r="47" ht="15.75" customHeight="1">
      <c r="A47" s="3"/>
      <c r="B47" s="3"/>
      <c r="C47" s="3"/>
      <c r="D47" s="156"/>
      <c r="E47" s="3"/>
      <c r="F47" s="3"/>
      <c r="G47" s="3"/>
      <c r="H47" s="3"/>
      <c r="I47" s="3"/>
      <c r="J47" s="3"/>
      <c r="K47" s="3"/>
      <c r="L47" s="3"/>
      <c r="M47" s="3" t="s">
        <v>9</v>
      </c>
      <c r="N47" s="3"/>
      <c r="O47" s="3"/>
      <c r="P47" s="3"/>
      <c r="Q47" s="166">
        <f>Q13+Q14+Q21+Q27+Q28+Q39+Q24</f>
        <v>698564.4428</v>
      </c>
      <c r="R47" s="162" t="s">
        <v>119</v>
      </c>
      <c r="S47" s="167">
        <f>Q47+Q48</f>
        <v>1607269.731</v>
      </c>
      <c r="T47" s="163"/>
      <c r="U47" s="163"/>
      <c r="V47" s="163"/>
      <c r="W47" s="162"/>
      <c r="X47" s="162"/>
      <c r="Y47" s="162"/>
      <c r="Z47" s="168" t="s">
        <v>138</v>
      </c>
      <c r="AA47" s="165">
        <f>AC40</f>
        <v>624968.2451</v>
      </c>
      <c r="AC47" s="162"/>
      <c r="AD47" s="163"/>
      <c r="AE47" s="3"/>
      <c r="AF47" s="3"/>
      <c r="AG47" s="3"/>
      <c r="AH47" s="3"/>
      <c r="AI47" s="3"/>
      <c r="AJ47" s="3"/>
      <c r="AK47" s="3"/>
      <c r="AL47" s="3"/>
      <c r="AM47" s="3"/>
      <c r="AN47" s="3"/>
      <c r="AO47" s="3"/>
      <c r="AP47" s="3"/>
      <c r="AQ47" s="3"/>
      <c r="AR47" s="3"/>
      <c r="AS47" s="3"/>
      <c r="AT47" s="3"/>
      <c r="AU47" s="3"/>
      <c r="AV47" s="3"/>
      <c r="AW47" s="3"/>
      <c r="AX47" s="3"/>
      <c r="AY47" s="3"/>
      <c r="AZ47" s="3"/>
    </row>
    <row r="48" ht="15.75" customHeight="1">
      <c r="A48" s="3"/>
      <c r="B48" s="155"/>
      <c r="C48" s="155"/>
      <c r="D48" s="156"/>
      <c r="E48" s="3"/>
      <c r="F48" s="3"/>
      <c r="G48" s="3"/>
      <c r="H48" s="3"/>
      <c r="I48" s="3"/>
      <c r="J48" s="3"/>
      <c r="K48" s="3"/>
      <c r="L48" s="3"/>
      <c r="M48" s="3" t="s">
        <v>121</v>
      </c>
      <c r="N48" s="3"/>
      <c r="O48" s="3"/>
      <c r="P48" s="3"/>
      <c r="Q48" s="166">
        <f>Q15+Q16+Q17+Q22+Q23+Q2+Q29+Q30+Q31</f>
        <v>908705.2884</v>
      </c>
      <c r="R48" s="162" t="s">
        <v>122</v>
      </c>
      <c r="S48" s="163"/>
      <c r="T48" s="163"/>
      <c r="U48" s="163"/>
      <c r="V48" s="163"/>
      <c r="W48" s="162"/>
      <c r="X48" s="162"/>
      <c r="Y48" s="162"/>
      <c r="Z48" s="162" t="s">
        <v>123</v>
      </c>
      <c r="AA48" s="165">
        <f>AG40</f>
        <v>544176.8335</v>
      </c>
      <c r="AC48" s="162"/>
      <c r="AD48" s="163"/>
      <c r="AE48" s="3"/>
      <c r="AF48" s="3"/>
      <c r="AG48" s="3"/>
      <c r="AH48" s="3"/>
      <c r="AI48" s="3"/>
      <c r="AJ48" s="3"/>
      <c r="AK48" s="3"/>
      <c r="AL48" s="3"/>
      <c r="AM48" s="3"/>
      <c r="AN48" s="3"/>
      <c r="AO48" s="3"/>
      <c r="AP48" s="3"/>
      <c r="AQ48" s="3"/>
      <c r="AR48" s="3"/>
      <c r="AS48" s="3"/>
      <c r="AT48" s="3"/>
      <c r="AU48" s="3"/>
      <c r="AV48" s="3"/>
      <c r="AW48" s="3"/>
      <c r="AX48" s="3"/>
      <c r="AY48" s="3"/>
      <c r="AZ48" s="3"/>
    </row>
    <row r="49" ht="15.75" customHeight="1">
      <c r="A49" s="3"/>
      <c r="B49" s="159"/>
      <c r="C49" s="159"/>
      <c r="D49" s="153"/>
      <c r="E49" s="3"/>
      <c r="F49" s="3"/>
      <c r="G49" s="156"/>
      <c r="H49" s="3"/>
      <c r="I49" s="3"/>
      <c r="J49" s="3"/>
      <c r="K49" s="3"/>
      <c r="L49" s="3"/>
      <c r="M49" s="3" t="s">
        <v>124</v>
      </c>
      <c r="N49" s="3"/>
      <c r="O49" s="3"/>
      <c r="P49" s="3"/>
      <c r="Q49" s="166">
        <f>Q18+Q19</f>
        <v>79132.536</v>
      </c>
      <c r="R49" s="162"/>
      <c r="S49" s="167">
        <f>Q48</f>
        <v>908705.2884</v>
      </c>
      <c r="T49" s="163"/>
      <c r="U49" s="163"/>
      <c r="V49" s="163"/>
      <c r="W49" s="162"/>
      <c r="X49" s="162"/>
      <c r="Y49" s="162"/>
      <c r="Z49" s="162" t="s">
        <v>125</v>
      </c>
      <c r="AA49" s="165">
        <f>AK40</f>
        <v>378992.0845</v>
      </c>
      <c r="AC49" s="162"/>
      <c r="AD49" s="163"/>
      <c r="AE49" s="3"/>
      <c r="AF49" s="3"/>
      <c r="AG49" s="3"/>
      <c r="AH49" s="3"/>
      <c r="AI49" s="3"/>
      <c r="AJ49" s="3"/>
      <c r="AK49" s="3"/>
      <c r="AL49" s="3"/>
      <c r="AM49" s="3"/>
      <c r="AN49" s="3"/>
      <c r="AO49" s="3"/>
      <c r="AP49" s="3"/>
      <c r="AQ49" s="3"/>
      <c r="AR49" s="3"/>
      <c r="AS49" s="3"/>
      <c r="AT49" s="3"/>
      <c r="AU49" s="3"/>
      <c r="AV49" s="3"/>
      <c r="AW49" s="3"/>
      <c r="AX49" s="3"/>
      <c r="AY49" s="3"/>
      <c r="AZ49" s="3"/>
    </row>
    <row r="50" ht="15.75" customHeight="1">
      <c r="A50" s="3"/>
      <c r="B50" s="159"/>
      <c r="C50" s="159"/>
      <c r="D50" s="153"/>
      <c r="E50" s="3"/>
      <c r="F50" s="3"/>
      <c r="G50" s="153"/>
      <c r="H50" s="3"/>
      <c r="I50" s="3"/>
      <c r="J50" s="3"/>
      <c r="K50" s="3"/>
      <c r="L50" s="3"/>
      <c r="M50" s="3" t="s">
        <v>126</v>
      </c>
      <c r="N50" s="3"/>
      <c r="O50" s="3"/>
      <c r="P50" s="3"/>
      <c r="Q50" s="166">
        <f>Q35+Q36+Q37</f>
        <v>52755.024</v>
      </c>
      <c r="R50" s="162" t="s">
        <v>127</v>
      </c>
      <c r="S50" s="163"/>
      <c r="T50" s="163"/>
      <c r="U50" s="163"/>
      <c r="V50" s="163"/>
      <c r="W50" s="162"/>
      <c r="X50" s="162"/>
      <c r="Y50" s="162"/>
      <c r="Z50" s="162" t="s">
        <v>128</v>
      </c>
      <c r="AA50" s="165">
        <f>AO40</f>
        <v>230035.3592</v>
      </c>
      <c r="AC50" s="162"/>
      <c r="AD50" s="163"/>
      <c r="AE50" s="3"/>
      <c r="AF50" s="3"/>
      <c r="AG50" s="3"/>
      <c r="AH50" s="3"/>
      <c r="AI50" s="3"/>
      <c r="AJ50" s="3"/>
      <c r="AK50" s="3"/>
      <c r="AL50" s="3"/>
      <c r="AM50" s="3"/>
      <c r="AN50" s="3"/>
      <c r="AO50" s="3"/>
      <c r="AP50" s="3"/>
      <c r="AQ50" s="3"/>
      <c r="AR50" s="3"/>
      <c r="AS50" s="3"/>
      <c r="AT50" s="3"/>
      <c r="AU50" s="3"/>
      <c r="AV50" s="3"/>
      <c r="AW50" s="3"/>
      <c r="AX50" s="3"/>
      <c r="AY50" s="3"/>
      <c r="AZ50" s="3"/>
    </row>
    <row r="51" ht="15.75" customHeight="1">
      <c r="A51" s="3"/>
      <c r="B51" s="159"/>
      <c r="C51" s="159"/>
      <c r="D51" s="153"/>
      <c r="E51" s="3"/>
      <c r="F51" s="3"/>
      <c r="G51" s="153"/>
      <c r="H51" s="3"/>
      <c r="I51" s="3"/>
      <c r="J51" s="3"/>
      <c r="K51" s="3"/>
      <c r="L51" s="3"/>
      <c r="M51" s="3" t="s">
        <v>129</v>
      </c>
      <c r="N51" s="3"/>
      <c r="O51" s="3"/>
      <c r="P51" s="3"/>
      <c r="Q51" s="166">
        <f>Q32</f>
        <v>175850.08</v>
      </c>
      <c r="R51" s="162" t="s">
        <v>130</v>
      </c>
      <c r="S51" s="163"/>
      <c r="T51" s="163"/>
      <c r="U51" s="163"/>
      <c r="V51" s="163"/>
      <c r="W51" s="162"/>
      <c r="X51" s="162"/>
      <c r="Y51" s="162"/>
      <c r="Z51" s="162" t="s">
        <v>131</v>
      </c>
      <c r="AA51" s="165">
        <f>AS40</f>
        <v>63306.0288</v>
      </c>
      <c r="AC51" s="162"/>
      <c r="AD51" s="163"/>
      <c r="AE51" s="3"/>
      <c r="AF51" s="3"/>
      <c r="AG51" s="3"/>
      <c r="AH51" s="3"/>
      <c r="AI51" s="3"/>
      <c r="AJ51" s="3"/>
      <c r="AK51" s="3"/>
      <c r="AL51" s="3"/>
      <c r="AM51" s="3"/>
      <c r="AN51" s="3"/>
      <c r="AO51" s="3"/>
      <c r="AP51" s="3"/>
      <c r="AQ51" s="3"/>
      <c r="AR51" s="3"/>
      <c r="AS51" s="3"/>
      <c r="AT51" s="3"/>
      <c r="AU51" s="3"/>
      <c r="AV51" s="3"/>
      <c r="AW51" s="3"/>
      <c r="AX51" s="3"/>
      <c r="AY51" s="3"/>
      <c r="AZ51" s="3"/>
    </row>
    <row r="52" ht="15.75" customHeight="1">
      <c r="A52" s="3"/>
      <c r="B52" s="159"/>
      <c r="C52" s="159"/>
      <c r="D52" s="153"/>
      <c r="E52" s="3"/>
      <c r="F52" s="3"/>
      <c r="G52" s="153"/>
      <c r="H52" s="3"/>
      <c r="I52" s="3"/>
      <c r="J52" s="3"/>
      <c r="K52" s="3"/>
      <c r="L52" s="3"/>
      <c r="M52" s="3"/>
      <c r="N52" s="3"/>
      <c r="O52" s="3"/>
      <c r="P52" s="3"/>
      <c r="Q52" s="169">
        <f>Q47+Q48+Q49+Q50+Q51</f>
        <v>1915007.371</v>
      </c>
      <c r="R52" s="162"/>
      <c r="S52" s="163"/>
      <c r="T52" s="163"/>
      <c r="U52" s="163"/>
      <c r="V52" s="163"/>
      <c r="W52" s="162"/>
      <c r="X52" s="162"/>
      <c r="Y52" s="162"/>
      <c r="Z52" s="162" t="s">
        <v>132</v>
      </c>
      <c r="AA52" s="165">
        <f>AW40</f>
        <v>6378</v>
      </c>
      <c r="AC52" s="162"/>
      <c r="AD52" s="163"/>
      <c r="AE52" s="3"/>
      <c r="AF52" s="3"/>
      <c r="AG52" s="3"/>
      <c r="AH52" s="3"/>
      <c r="AI52" s="3"/>
      <c r="AJ52" s="3"/>
      <c r="AK52" s="3"/>
      <c r="AL52" s="3"/>
      <c r="AM52" s="3"/>
      <c r="AN52" s="3"/>
      <c r="AO52" s="3"/>
      <c r="AP52" s="3"/>
      <c r="AQ52" s="3"/>
      <c r="AR52" s="3"/>
      <c r="AS52" s="3"/>
      <c r="AT52" s="3"/>
      <c r="AU52" s="3"/>
      <c r="AV52" s="3"/>
      <c r="AW52" s="3"/>
      <c r="AX52" s="3"/>
      <c r="AY52" s="3"/>
      <c r="AZ52" s="3"/>
    </row>
    <row r="53" ht="15.75" customHeight="1">
      <c r="A53" s="3"/>
      <c r="B53" s="155"/>
      <c r="C53" s="155"/>
      <c r="D53" s="3"/>
      <c r="E53" s="3"/>
      <c r="F53" s="3"/>
      <c r="G53" s="153"/>
      <c r="H53" s="3"/>
      <c r="I53" s="3"/>
      <c r="J53" s="3"/>
      <c r="K53" s="3"/>
      <c r="L53" s="3"/>
      <c r="M53" s="3"/>
      <c r="N53" s="3"/>
      <c r="O53" s="3"/>
      <c r="P53" s="3"/>
      <c r="Q53" s="162"/>
      <c r="R53" s="162"/>
      <c r="S53" s="163"/>
      <c r="T53" s="163"/>
      <c r="U53" s="163"/>
      <c r="V53" s="163"/>
      <c r="W53" s="162"/>
      <c r="X53" s="162"/>
      <c r="Y53" s="162"/>
      <c r="Z53" s="162"/>
      <c r="AA53" s="162"/>
      <c r="AB53" s="162"/>
      <c r="AC53" s="162"/>
      <c r="AD53" s="163"/>
      <c r="AE53" s="3"/>
      <c r="AF53" s="3"/>
      <c r="AG53" s="3"/>
      <c r="AH53" s="3"/>
      <c r="AI53" s="3"/>
      <c r="AJ53" s="3"/>
      <c r="AK53" s="3"/>
      <c r="AL53" s="3"/>
      <c r="AM53" s="3"/>
      <c r="AN53" s="3"/>
      <c r="AO53" s="3"/>
      <c r="AP53" s="3"/>
      <c r="AQ53" s="3"/>
      <c r="AR53" s="3"/>
      <c r="AS53" s="3"/>
      <c r="AT53" s="3"/>
      <c r="AU53" s="3"/>
      <c r="AV53" s="3"/>
      <c r="AW53" s="3"/>
      <c r="AX53" s="3"/>
      <c r="AY53" s="3"/>
      <c r="AZ53" s="3"/>
    </row>
    <row r="54" ht="15.75" customHeight="1">
      <c r="A54" s="3"/>
      <c r="B54" s="155"/>
      <c r="C54" s="155"/>
      <c r="D54" s="3"/>
      <c r="E54" s="3"/>
      <c r="F54" s="3"/>
      <c r="G54" s="3"/>
      <c r="H54" s="3"/>
      <c r="I54" s="3"/>
      <c r="J54" s="3"/>
      <c r="K54" s="3"/>
      <c r="L54" s="3"/>
      <c r="M54" s="3"/>
      <c r="N54" s="3"/>
      <c r="O54" s="3"/>
      <c r="P54" s="3"/>
      <c r="Q54" s="162"/>
      <c r="R54" s="163"/>
      <c r="S54" s="163"/>
      <c r="T54" s="163"/>
      <c r="U54" s="163"/>
      <c r="V54" s="163"/>
      <c r="W54" s="162"/>
      <c r="X54" s="162"/>
      <c r="Y54" s="162"/>
      <c r="Z54" s="162"/>
      <c r="AA54" s="162"/>
      <c r="AB54" s="162"/>
      <c r="AC54" s="162"/>
      <c r="AD54" s="163"/>
      <c r="AE54" s="3"/>
      <c r="AF54" s="3"/>
      <c r="AG54" s="3"/>
      <c r="AH54" s="3"/>
      <c r="AI54" s="3"/>
      <c r="AJ54" s="3"/>
      <c r="AK54" s="3"/>
      <c r="AL54" s="3"/>
      <c r="AM54" s="3"/>
      <c r="AN54" s="3"/>
      <c r="AO54" s="3"/>
      <c r="AP54" s="3"/>
      <c r="AQ54" s="3"/>
      <c r="AR54" s="3"/>
      <c r="AS54" s="3"/>
      <c r="AT54" s="3"/>
      <c r="AU54" s="3"/>
      <c r="AV54" s="3"/>
      <c r="AW54" s="3"/>
      <c r="AX54" s="3"/>
      <c r="AY54" s="3"/>
      <c r="AZ54" s="3"/>
    </row>
    <row r="55" ht="15.75" customHeight="1">
      <c r="A55" s="3"/>
      <c r="B55" s="155"/>
      <c r="C55" s="155"/>
      <c r="D55" s="3"/>
      <c r="E55" s="3"/>
      <c r="F55" s="3"/>
      <c r="G55" s="3"/>
      <c r="H55" s="3"/>
      <c r="I55" s="3"/>
      <c r="J55" s="3"/>
      <c r="K55" s="3"/>
      <c r="L55" s="3"/>
      <c r="M55" s="3"/>
      <c r="N55" s="3"/>
      <c r="O55" s="3"/>
      <c r="P55" s="3"/>
      <c r="Q55" s="162"/>
      <c r="R55" s="163"/>
      <c r="S55" s="163"/>
      <c r="T55" s="163"/>
      <c r="U55" s="163"/>
      <c r="V55" s="163"/>
      <c r="W55" s="163"/>
      <c r="X55" s="163"/>
      <c r="Y55" s="163"/>
      <c r="Z55" s="163"/>
      <c r="AA55" s="163"/>
      <c r="AB55" s="163"/>
      <c r="AC55" s="163"/>
      <c r="AD55" s="163"/>
      <c r="AE55" s="3"/>
      <c r="AF55" s="3"/>
      <c r="AG55" s="3"/>
      <c r="AH55" s="3"/>
      <c r="AI55" s="3"/>
      <c r="AJ55" s="3"/>
      <c r="AK55" s="3"/>
      <c r="AL55" s="3"/>
      <c r="AM55" s="3"/>
      <c r="AN55" s="3"/>
      <c r="AO55" s="3"/>
      <c r="AP55" s="3"/>
      <c r="AQ55" s="3"/>
      <c r="AR55" s="3"/>
      <c r="AS55" s="3"/>
      <c r="AT55" s="3"/>
      <c r="AU55" s="3"/>
      <c r="AV55" s="3"/>
      <c r="AW55" s="3"/>
      <c r="AX55" s="3"/>
      <c r="AY55" s="3"/>
      <c r="AZ55" s="3"/>
    </row>
    <row r="56" ht="15.75" customHeight="1">
      <c r="A56" s="3"/>
      <c r="B56" s="3"/>
      <c r="C56" s="3"/>
      <c r="D56" s="3"/>
      <c r="E56" s="3"/>
      <c r="F56" s="3"/>
      <c r="G56" s="3"/>
      <c r="H56" s="3"/>
      <c r="I56" s="3"/>
      <c r="J56" s="3"/>
      <c r="K56" s="3"/>
      <c r="L56" s="3"/>
      <c r="M56" s="3"/>
      <c r="N56" s="3"/>
      <c r="O56" s="3"/>
      <c r="P56" s="3"/>
      <c r="Q56" s="162"/>
      <c r="R56" s="163"/>
      <c r="S56" s="163"/>
      <c r="T56" s="163"/>
      <c r="U56" s="163"/>
      <c r="V56" s="163"/>
      <c r="W56" s="163"/>
      <c r="X56" s="163"/>
      <c r="Y56" s="163"/>
      <c r="Z56" s="163"/>
      <c r="AA56" s="163"/>
      <c r="AB56" s="163"/>
      <c r="AC56" s="163"/>
      <c r="AD56" s="163"/>
      <c r="AE56" s="3"/>
      <c r="AF56" s="3"/>
      <c r="AG56" s="3"/>
      <c r="AH56" s="3"/>
      <c r="AI56" s="3"/>
      <c r="AJ56" s="3"/>
      <c r="AK56" s="3"/>
      <c r="AL56" s="3"/>
      <c r="AM56" s="3"/>
      <c r="AN56" s="3"/>
      <c r="AO56" s="3"/>
      <c r="AP56" s="3"/>
      <c r="AQ56" s="3"/>
      <c r="AR56" s="3"/>
      <c r="AS56" s="3"/>
      <c r="AT56" s="3"/>
      <c r="AU56" s="3"/>
      <c r="AV56" s="3"/>
      <c r="AW56" s="3"/>
      <c r="AX56" s="3"/>
      <c r="AY56" s="3"/>
      <c r="AZ56" s="3"/>
    </row>
    <row r="57" ht="15.75" customHeight="1">
      <c r="A57" s="3"/>
      <c r="B57" s="3"/>
      <c r="C57" s="3"/>
      <c r="D57" s="3"/>
      <c r="E57" s="3"/>
      <c r="F57" s="3"/>
      <c r="G57" s="3"/>
      <c r="H57" s="3"/>
      <c r="I57" s="3"/>
      <c r="J57" s="3"/>
      <c r="K57" s="3"/>
      <c r="L57" s="3"/>
      <c r="M57" s="3"/>
      <c r="N57" s="3"/>
      <c r="O57" s="3"/>
      <c r="P57" s="3"/>
      <c r="Q57" s="162"/>
      <c r="R57" s="163"/>
      <c r="S57" s="163"/>
      <c r="T57" s="163"/>
      <c r="U57" s="163"/>
      <c r="V57" s="163"/>
      <c r="W57" s="163"/>
      <c r="X57" s="163"/>
      <c r="Y57" s="163"/>
      <c r="Z57" s="163"/>
      <c r="AA57" s="163"/>
      <c r="AB57" s="163"/>
      <c r="AC57" s="163"/>
      <c r="AD57" s="163"/>
      <c r="AE57" s="3"/>
      <c r="AF57" s="3"/>
      <c r="AG57" s="3"/>
      <c r="AH57" s="3"/>
      <c r="AI57" s="3"/>
      <c r="AJ57" s="3"/>
      <c r="AK57" s="3"/>
      <c r="AL57" s="3"/>
      <c r="AM57" s="3"/>
      <c r="AN57" s="3"/>
      <c r="AO57" s="3"/>
      <c r="AP57" s="3"/>
      <c r="AQ57" s="3"/>
      <c r="AR57" s="3"/>
      <c r="AS57" s="3"/>
      <c r="AT57" s="3"/>
      <c r="AU57" s="3"/>
      <c r="AV57" s="3"/>
      <c r="AW57" s="3"/>
      <c r="AX57" s="3"/>
      <c r="AY57" s="3"/>
      <c r="AZ57" s="3"/>
    </row>
    <row r="58" ht="15.75" customHeight="1">
      <c r="A58" s="3"/>
      <c r="B58" s="3"/>
      <c r="C58" s="3"/>
      <c r="D58" s="3"/>
      <c r="E58" s="3"/>
      <c r="F58" s="3"/>
      <c r="G58" s="3"/>
      <c r="H58" s="3"/>
      <c r="I58" s="3"/>
      <c r="J58" s="3"/>
      <c r="K58" s="3"/>
      <c r="L58" s="3"/>
      <c r="M58" s="3"/>
      <c r="N58" s="3"/>
      <c r="O58" s="3"/>
      <c r="P58" s="3"/>
      <c r="Q58" s="162"/>
      <c r="R58" s="163"/>
      <c r="S58" s="163"/>
      <c r="T58" s="163"/>
      <c r="U58" s="163"/>
      <c r="V58" s="163"/>
      <c r="W58" s="163"/>
      <c r="X58" s="163"/>
      <c r="Y58" s="163"/>
      <c r="Z58" s="163"/>
      <c r="AA58" s="163"/>
      <c r="AB58" s="163"/>
      <c r="AC58" s="163"/>
      <c r="AD58" s="163"/>
      <c r="AE58" s="3"/>
      <c r="AF58" s="3"/>
      <c r="AG58" s="3"/>
      <c r="AH58" s="3"/>
      <c r="AI58" s="3"/>
      <c r="AJ58" s="3"/>
      <c r="AK58" s="3"/>
      <c r="AL58" s="3"/>
      <c r="AM58" s="3"/>
      <c r="AN58" s="3"/>
      <c r="AO58" s="3"/>
      <c r="AP58" s="3"/>
      <c r="AQ58" s="3"/>
      <c r="AR58" s="3"/>
      <c r="AS58" s="3"/>
      <c r="AT58" s="3"/>
      <c r="AU58" s="3"/>
      <c r="AV58" s="3"/>
      <c r="AW58" s="3"/>
      <c r="AX58" s="3"/>
      <c r="AY58" s="3"/>
      <c r="AZ58" s="3"/>
    </row>
    <row r="59" ht="15.75" customHeight="1">
      <c r="A59" s="3"/>
      <c r="B59" s="3"/>
      <c r="C59" s="3"/>
      <c r="D59" s="3"/>
      <c r="E59" s="3"/>
      <c r="F59" s="3"/>
      <c r="G59" s="3"/>
      <c r="H59" s="3"/>
      <c r="I59" s="3"/>
      <c r="J59" s="3"/>
      <c r="K59" s="3"/>
      <c r="L59" s="3"/>
      <c r="M59" s="3"/>
      <c r="N59" s="3"/>
      <c r="O59" s="3"/>
      <c r="P59" s="3"/>
      <c r="Q59" s="162"/>
      <c r="R59" s="163"/>
      <c r="S59" s="163"/>
      <c r="T59" s="163"/>
      <c r="U59" s="163"/>
      <c r="V59" s="163"/>
      <c r="W59" s="163"/>
      <c r="X59" s="163"/>
      <c r="Y59" s="163"/>
      <c r="Z59" s="163"/>
      <c r="AA59" s="163"/>
      <c r="AB59" s="163"/>
      <c r="AC59" s="163"/>
      <c r="AD59" s="163"/>
      <c r="AE59" s="3"/>
      <c r="AF59" s="3"/>
      <c r="AG59" s="3"/>
      <c r="AH59" s="3"/>
      <c r="AI59" s="3"/>
      <c r="AJ59" s="3"/>
      <c r="AK59" s="3"/>
      <c r="AL59" s="3"/>
      <c r="AM59" s="3"/>
      <c r="AN59" s="3"/>
      <c r="AO59" s="3"/>
      <c r="AP59" s="3"/>
      <c r="AQ59" s="3"/>
      <c r="AR59" s="3"/>
      <c r="AS59" s="3"/>
      <c r="AT59" s="3"/>
      <c r="AU59" s="3"/>
      <c r="AV59" s="3"/>
      <c r="AW59" s="3"/>
      <c r="AX59" s="3"/>
      <c r="AY59" s="3"/>
      <c r="AZ59" s="3"/>
    </row>
    <row r="60" ht="15.75" customHeight="1">
      <c r="A60" s="3"/>
      <c r="B60" s="3"/>
      <c r="C60" s="3"/>
      <c r="D60" s="3"/>
      <c r="E60" s="3"/>
      <c r="F60" s="3"/>
      <c r="G60" s="3"/>
      <c r="H60" s="3"/>
      <c r="I60" s="3"/>
      <c r="J60" s="3"/>
      <c r="K60" s="3"/>
      <c r="L60" s="3"/>
      <c r="M60" s="3"/>
      <c r="N60" s="3"/>
      <c r="O60" s="3"/>
      <c r="P60" s="3"/>
      <c r="Q60" s="162"/>
      <c r="R60" s="163"/>
      <c r="S60" s="163"/>
      <c r="T60" s="163"/>
      <c r="U60" s="163"/>
      <c r="V60" s="163"/>
      <c r="W60" s="163"/>
      <c r="X60" s="163"/>
      <c r="Y60" s="163"/>
      <c r="Z60" s="163"/>
      <c r="AA60" s="163"/>
      <c r="AB60" s="163" t="s">
        <v>139</v>
      </c>
      <c r="AC60" s="163"/>
      <c r="AD60" s="163"/>
      <c r="AE60" s="3"/>
      <c r="AF60" s="3"/>
      <c r="AG60" s="3"/>
      <c r="AH60" s="3"/>
      <c r="AI60" s="3"/>
      <c r="AJ60" s="3"/>
      <c r="AK60" s="3"/>
      <c r="AL60" s="3"/>
      <c r="AM60" s="3"/>
      <c r="AN60" s="3"/>
      <c r="AO60" s="3"/>
      <c r="AP60" s="3"/>
      <c r="AQ60" s="3"/>
      <c r="AR60" s="3"/>
      <c r="AS60" s="3"/>
      <c r="AT60" s="3"/>
      <c r="AU60" s="3"/>
      <c r="AV60" s="3"/>
      <c r="AW60" s="3"/>
      <c r="AX60" s="3"/>
      <c r="AY60" s="3"/>
      <c r="AZ60" s="3"/>
    </row>
    <row r="61" ht="15.75" customHeight="1">
      <c r="A61" s="3"/>
      <c r="B61" s="3"/>
      <c r="C61" s="3"/>
      <c r="D61" s="3"/>
      <c r="E61" s="3"/>
      <c r="F61" s="3"/>
      <c r="G61" s="3"/>
      <c r="H61" s="3"/>
      <c r="I61" s="3"/>
      <c r="J61" s="3"/>
      <c r="K61" s="3"/>
      <c r="L61" s="3"/>
      <c r="M61" s="3"/>
      <c r="N61" s="3"/>
      <c r="O61" s="3"/>
      <c r="P61" s="3"/>
      <c r="Q61" s="162"/>
      <c r="R61" s="163"/>
      <c r="S61" s="163"/>
      <c r="T61" s="163"/>
      <c r="U61" s="163"/>
      <c r="V61" s="163"/>
      <c r="W61" s="163"/>
      <c r="X61" s="163"/>
      <c r="Y61" s="163"/>
      <c r="Z61" s="163"/>
      <c r="AA61" s="163"/>
      <c r="AB61" s="163"/>
      <c r="AC61" s="163"/>
      <c r="AD61" s="163"/>
      <c r="AE61" s="3"/>
      <c r="AF61" s="3"/>
      <c r="AG61" s="3"/>
      <c r="AH61" s="3"/>
      <c r="AI61" s="3"/>
      <c r="AJ61" s="3"/>
      <c r="AK61" s="3"/>
      <c r="AL61" s="3"/>
      <c r="AM61" s="3"/>
      <c r="AN61" s="3"/>
      <c r="AO61" s="3"/>
      <c r="AP61" s="3"/>
      <c r="AQ61" s="3"/>
      <c r="AR61" s="3"/>
      <c r="AS61" s="3"/>
      <c r="AT61" s="3"/>
      <c r="AU61" s="3"/>
      <c r="AV61" s="3"/>
      <c r="AW61" s="3"/>
      <c r="AX61" s="3"/>
      <c r="AY61" s="3"/>
      <c r="AZ61" s="3"/>
    </row>
    <row r="62" ht="15.75" customHeight="1">
      <c r="A62" s="3"/>
      <c r="B62" s="3"/>
      <c r="C62" s="3"/>
      <c r="D62" s="3"/>
      <c r="E62" s="3"/>
      <c r="F62" s="3"/>
      <c r="G62" s="3"/>
      <c r="H62" s="3"/>
      <c r="I62" s="3"/>
      <c r="J62" s="3"/>
      <c r="K62" s="3"/>
      <c r="L62" s="3"/>
      <c r="M62" s="3"/>
      <c r="N62" s="3"/>
      <c r="O62" s="3"/>
      <c r="P62" s="3"/>
      <c r="Q62" s="162"/>
      <c r="R62" s="163"/>
      <c r="S62" s="163"/>
      <c r="T62" s="163"/>
      <c r="U62" s="163"/>
      <c r="V62" s="163"/>
      <c r="W62" s="163"/>
      <c r="X62" s="163"/>
      <c r="Y62" s="163"/>
      <c r="Z62" s="163"/>
      <c r="AA62" s="163"/>
      <c r="AB62" s="163"/>
      <c r="AC62" s="163"/>
      <c r="AD62" s="163"/>
      <c r="AE62" s="3"/>
      <c r="AF62" s="3"/>
      <c r="AG62" s="3"/>
      <c r="AH62" s="3"/>
      <c r="AI62" s="3"/>
      <c r="AJ62" s="3"/>
      <c r="AK62" s="3"/>
      <c r="AL62" s="3"/>
      <c r="AM62" s="3"/>
      <c r="AN62" s="3"/>
      <c r="AO62" s="3"/>
      <c r="AP62" s="3"/>
      <c r="AQ62" s="3"/>
      <c r="AR62" s="3"/>
      <c r="AS62" s="3"/>
      <c r="AT62" s="3"/>
      <c r="AU62" s="3"/>
      <c r="AV62" s="3"/>
      <c r="AW62" s="3"/>
      <c r="AX62" s="3"/>
      <c r="AY62" s="3"/>
      <c r="AZ62" s="3"/>
    </row>
    <row r="63" ht="15.75" customHeight="1">
      <c r="A63" s="3"/>
      <c r="B63" s="3"/>
      <c r="C63" s="3"/>
      <c r="D63" s="3"/>
      <c r="E63" s="3"/>
      <c r="F63" s="3"/>
      <c r="G63" s="3"/>
      <c r="H63" s="3"/>
      <c r="I63" s="3"/>
      <c r="J63" s="3"/>
      <c r="K63" s="3"/>
      <c r="L63" s="3"/>
      <c r="M63" s="3"/>
      <c r="N63" s="3"/>
      <c r="O63" s="3"/>
      <c r="P63" s="3"/>
      <c r="Q63" s="162"/>
      <c r="R63" s="163"/>
      <c r="S63" s="163"/>
      <c r="T63" s="163"/>
      <c r="U63" s="163"/>
      <c r="V63" s="163"/>
      <c r="W63" s="163"/>
      <c r="X63" s="163"/>
      <c r="Y63" s="163"/>
      <c r="Z63" s="163"/>
      <c r="AA63" s="163"/>
      <c r="AB63" s="163"/>
      <c r="AC63" s="163"/>
      <c r="AD63" s="163"/>
      <c r="AE63" s="3"/>
      <c r="AF63" s="3"/>
      <c r="AG63" s="3"/>
      <c r="AH63" s="3"/>
      <c r="AI63" s="3"/>
      <c r="AJ63" s="3"/>
      <c r="AK63" s="3"/>
      <c r="AL63" s="3"/>
      <c r="AM63" s="3"/>
      <c r="AN63" s="3"/>
      <c r="AO63" s="3"/>
      <c r="AP63" s="3"/>
      <c r="AQ63" s="3"/>
      <c r="AR63" s="3"/>
      <c r="AS63" s="3"/>
      <c r="AT63" s="3"/>
      <c r="AU63" s="3"/>
      <c r="AV63" s="3"/>
      <c r="AW63" s="3"/>
      <c r="AX63" s="3"/>
      <c r="AY63" s="3"/>
      <c r="AZ63" s="3"/>
    </row>
    <row r="64" ht="15.75" customHeight="1">
      <c r="A64" s="3"/>
      <c r="B64" s="3"/>
      <c r="C64" s="3"/>
      <c r="D64" s="3"/>
      <c r="E64" s="3"/>
      <c r="F64" s="3"/>
      <c r="G64" s="3"/>
      <c r="H64" s="3"/>
      <c r="I64" s="3"/>
      <c r="J64" s="3"/>
      <c r="K64" s="3"/>
      <c r="L64" s="3"/>
      <c r="M64" s="3"/>
      <c r="N64" s="3"/>
      <c r="O64" s="3"/>
      <c r="P64" s="3"/>
      <c r="Q64" s="162"/>
      <c r="R64" s="163"/>
      <c r="S64" s="163"/>
      <c r="T64" s="163"/>
      <c r="U64" s="163"/>
      <c r="V64" s="163"/>
      <c r="W64" s="163"/>
      <c r="X64" s="163"/>
      <c r="Y64" s="163"/>
      <c r="Z64" s="163"/>
      <c r="AA64" s="163"/>
      <c r="AB64" s="163"/>
      <c r="AC64" s="163"/>
      <c r="AD64" s="163"/>
      <c r="AE64" s="3"/>
      <c r="AF64" s="3"/>
      <c r="AG64" s="3"/>
      <c r="AH64" s="3"/>
      <c r="AI64" s="3"/>
      <c r="AJ64" s="3"/>
      <c r="AK64" s="3"/>
      <c r="AL64" s="3"/>
      <c r="AM64" s="3"/>
      <c r="AN64" s="3"/>
      <c r="AO64" s="3"/>
      <c r="AP64" s="3"/>
      <c r="AQ64" s="3"/>
      <c r="AR64" s="3"/>
      <c r="AS64" s="3"/>
      <c r="AT64" s="3"/>
      <c r="AU64" s="3"/>
      <c r="AV64" s="3"/>
      <c r="AW64" s="3"/>
      <c r="AX64" s="3"/>
      <c r="AY64" s="3"/>
      <c r="AZ64" s="3"/>
    </row>
    <row r="65" ht="15.75" customHeight="1">
      <c r="A65" s="3"/>
      <c r="B65" s="3"/>
      <c r="C65" s="3"/>
      <c r="D65" s="3"/>
      <c r="E65" s="3"/>
      <c r="F65" s="3"/>
      <c r="G65" s="3"/>
      <c r="H65" s="3"/>
      <c r="I65" s="3"/>
      <c r="J65" s="3"/>
      <c r="K65" s="3"/>
      <c r="L65" s="3"/>
      <c r="M65" s="3"/>
      <c r="N65" s="3"/>
      <c r="O65" s="3"/>
      <c r="P65" s="3"/>
      <c r="Q65" s="3"/>
      <c r="R65" s="163"/>
      <c r="S65" s="163"/>
      <c r="T65" s="163"/>
      <c r="U65" s="163"/>
      <c r="V65" s="163"/>
      <c r="W65" s="163"/>
      <c r="X65" s="163"/>
      <c r="Y65" s="163"/>
      <c r="Z65" s="163"/>
      <c r="AA65" s="163"/>
      <c r="AB65" s="163"/>
      <c r="AC65" s="163"/>
      <c r="AD65" s="163"/>
      <c r="AE65" s="3"/>
      <c r="AF65" s="3"/>
      <c r="AG65" s="3"/>
      <c r="AH65" s="3"/>
      <c r="AI65" s="3"/>
      <c r="AJ65" s="3"/>
      <c r="AK65" s="3"/>
      <c r="AL65" s="3"/>
      <c r="AM65" s="3"/>
      <c r="AN65" s="3"/>
      <c r="AO65" s="3"/>
      <c r="AP65" s="3"/>
      <c r="AQ65" s="3"/>
      <c r="AR65" s="3"/>
      <c r="AS65" s="3"/>
      <c r="AT65" s="3"/>
      <c r="AU65" s="3"/>
      <c r="AV65" s="3"/>
      <c r="AW65" s="3"/>
      <c r="AX65" s="3"/>
      <c r="AY65" s="3"/>
      <c r="AZ65" s="3"/>
    </row>
    <row r="66" ht="15.75" customHeight="1">
      <c r="A66" s="3"/>
      <c r="B66" s="3"/>
      <c r="C66" s="3"/>
      <c r="D66" s="3"/>
      <c r="E66" s="3"/>
      <c r="F66" s="3"/>
      <c r="G66" s="3"/>
      <c r="H66" s="3"/>
      <c r="I66" s="3"/>
      <c r="J66" s="3"/>
      <c r="K66" s="3"/>
      <c r="L66" s="3"/>
      <c r="M66" s="3"/>
      <c r="N66" s="3"/>
      <c r="O66" s="3"/>
      <c r="P66" s="3"/>
      <c r="Q66" s="3"/>
      <c r="R66" s="163"/>
      <c r="S66" s="163"/>
      <c r="T66" s="163"/>
      <c r="U66" s="163"/>
      <c r="V66" s="163"/>
      <c r="W66" s="163"/>
      <c r="X66" s="163"/>
      <c r="Y66" s="163"/>
      <c r="Z66" s="163"/>
      <c r="AA66" s="163"/>
      <c r="AB66" s="163"/>
      <c r="AC66" s="163"/>
      <c r="AD66" s="163"/>
      <c r="AE66" s="3"/>
      <c r="AF66" s="3"/>
      <c r="AG66" s="3"/>
      <c r="AH66" s="3"/>
      <c r="AI66" s="3"/>
      <c r="AJ66" s="3"/>
      <c r="AK66" s="3"/>
      <c r="AL66" s="3"/>
      <c r="AM66" s="3"/>
      <c r="AN66" s="3"/>
      <c r="AO66" s="3"/>
      <c r="AP66" s="3"/>
      <c r="AQ66" s="3"/>
      <c r="AR66" s="3"/>
      <c r="AS66" s="3"/>
      <c r="AT66" s="3"/>
      <c r="AU66" s="3"/>
      <c r="AV66" s="3"/>
      <c r="AW66" s="3"/>
      <c r="AX66" s="3"/>
      <c r="AY66" s="3"/>
      <c r="AZ66" s="3"/>
    </row>
    <row r="67" ht="15.75" customHeight="1">
      <c r="A67" s="3"/>
      <c r="B67" s="3"/>
      <c r="C67" s="3"/>
      <c r="D67" s="3"/>
      <c r="E67" s="3"/>
      <c r="F67" s="3"/>
      <c r="G67" s="3"/>
      <c r="H67" s="3"/>
      <c r="I67" s="3"/>
      <c r="J67" s="3"/>
      <c r="K67" s="3"/>
      <c r="L67" s="3"/>
      <c r="M67" s="3"/>
      <c r="N67" s="3"/>
      <c r="O67" s="3"/>
      <c r="P67" s="3"/>
      <c r="Q67" s="3"/>
      <c r="R67" s="163"/>
      <c r="S67" s="163"/>
      <c r="T67" s="163"/>
      <c r="U67" s="163"/>
      <c r="V67" s="163"/>
      <c r="W67" s="163"/>
      <c r="X67" s="163"/>
      <c r="Y67" s="163"/>
      <c r="Z67" s="163"/>
      <c r="AA67" s="163"/>
      <c r="AB67" s="163"/>
      <c r="AC67" s="163"/>
      <c r="AD67" s="163"/>
      <c r="AE67" s="3"/>
      <c r="AF67" s="3"/>
      <c r="AG67" s="3"/>
      <c r="AH67" s="3"/>
      <c r="AI67" s="3"/>
      <c r="AJ67" s="3"/>
      <c r="AK67" s="3"/>
      <c r="AL67" s="3"/>
      <c r="AM67" s="3"/>
      <c r="AN67" s="3"/>
      <c r="AO67" s="3"/>
      <c r="AP67" s="3"/>
      <c r="AQ67" s="3"/>
      <c r="AR67" s="3"/>
      <c r="AS67" s="3"/>
      <c r="AT67" s="3"/>
      <c r="AU67" s="3"/>
      <c r="AV67" s="3"/>
      <c r="AW67" s="3"/>
      <c r="AX67" s="3"/>
      <c r="AY67" s="3"/>
      <c r="AZ67" s="3"/>
    </row>
    <row r="68" ht="15.75" customHeight="1">
      <c r="A68" s="3"/>
      <c r="B68" s="3"/>
      <c r="C68" s="3"/>
      <c r="D68" s="3"/>
      <c r="E68" s="3"/>
      <c r="F68" s="3"/>
      <c r="G68" s="3"/>
      <c r="H68" s="3"/>
      <c r="I68" s="3"/>
      <c r="J68" s="3"/>
      <c r="K68" s="3"/>
      <c r="L68" s="3"/>
      <c r="M68" s="3"/>
      <c r="N68" s="3"/>
      <c r="O68" s="3"/>
      <c r="P68" s="3"/>
      <c r="Q68" s="3"/>
      <c r="R68" s="163"/>
      <c r="S68" s="163"/>
      <c r="T68" s="163"/>
      <c r="U68" s="163"/>
      <c r="V68" s="163"/>
      <c r="W68" s="163"/>
      <c r="X68" s="163"/>
      <c r="Y68" s="163"/>
      <c r="Z68" s="163"/>
      <c r="AA68" s="163"/>
      <c r="AB68" s="163"/>
      <c r="AC68" s="163"/>
      <c r="AD68" s="163"/>
      <c r="AE68" s="3"/>
      <c r="AF68" s="3"/>
      <c r="AG68" s="3"/>
      <c r="AH68" s="3"/>
      <c r="AI68" s="3"/>
      <c r="AJ68" s="3"/>
      <c r="AK68" s="3"/>
      <c r="AL68" s="3"/>
      <c r="AM68" s="3"/>
      <c r="AN68" s="3"/>
      <c r="AO68" s="3"/>
      <c r="AP68" s="3"/>
      <c r="AQ68" s="3"/>
      <c r="AR68" s="3"/>
      <c r="AS68" s="3"/>
      <c r="AT68" s="3"/>
      <c r="AU68" s="3"/>
      <c r="AV68" s="3"/>
      <c r="AW68" s="3"/>
      <c r="AX68" s="3"/>
      <c r="AY68" s="3"/>
      <c r="A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row>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32">
    <mergeCell ref="C1:AB1"/>
    <mergeCell ref="AA7:AF7"/>
    <mergeCell ref="AG7:AV7"/>
    <mergeCell ref="AW7:AX7"/>
    <mergeCell ref="AA9:AB9"/>
    <mergeCell ref="AC9:AF9"/>
    <mergeCell ref="AG9:AJ9"/>
    <mergeCell ref="Q11:Q12"/>
    <mergeCell ref="R11:R12"/>
    <mergeCell ref="S11:S12"/>
    <mergeCell ref="V11:V12"/>
    <mergeCell ref="P13:P14"/>
    <mergeCell ref="Q13:Q14"/>
    <mergeCell ref="R15:R16"/>
    <mergeCell ref="S15:S16"/>
    <mergeCell ref="V15:V16"/>
    <mergeCell ref="W15:W16"/>
    <mergeCell ref="Z15:Z16"/>
    <mergeCell ref="AA11:AB12"/>
    <mergeCell ref="AC11:AF11"/>
    <mergeCell ref="AC12:AF12"/>
    <mergeCell ref="AC15:AF15"/>
    <mergeCell ref="AG15:AJ16"/>
    <mergeCell ref="AK15:AN16"/>
    <mergeCell ref="AK18:AN19"/>
    <mergeCell ref="AA22:AB22"/>
    <mergeCell ref="AC23:AF23"/>
    <mergeCell ref="AG23:AJ23"/>
    <mergeCell ref="AK23:AN23"/>
    <mergeCell ref="AO23:AR23"/>
    <mergeCell ref="AS23:AV23"/>
    <mergeCell ref="AW23:AX23"/>
    <mergeCell ref="AO32:AR32"/>
    <mergeCell ref="AS32:AV32"/>
    <mergeCell ref="AK29:AN30"/>
    <mergeCell ref="AO29:AR30"/>
    <mergeCell ref="AS29:AV30"/>
    <mergeCell ref="AK31:AN31"/>
    <mergeCell ref="AO31:AR31"/>
    <mergeCell ref="AS31:AV31"/>
    <mergeCell ref="AK32:AN32"/>
    <mergeCell ref="AK33:AN33"/>
    <mergeCell ref="E13:E24"/>
    <mergeCell ref="G35:G37"/>
    <mergeCell ref="P29:P30"/>
    <mergeCell ref="P35:P37"/>
    <mergeCell ref="L11:L12"/>
    <mergeCell ref="P11:P12"/>
    <mergeCell ref="A13:A39"/>
    <mergeCell ref="B13:B39"/>
    <mergeCell ref="C13:C24"/>
    <mergeCell ref="D13:D24"/>
    <mergeCell ref="J35:J37"/>
    <mergeCell ref="F21:F24"/>
    <mergeCell ref="H22:H24"/>
    <mergeCell ref="I22:I23"/>
    <mergeCell ref="J23:J24"/>
    <mergeCell ref="C26:C39"/>
    <mergeCell ref="D26:D39"/>
    <mergeCell ref="E26:E39"/>
    <mergeCell ref="F26:F31"/>
    <mergeCell ref="F35:F37"/>
    <mergeCell ref="G26:G31"/>
    <mergeCell ref="H26:H31"/>
    <mergeCell ref="I26:I28"/>
    <mergeCell ref="J27:J31"/>
    <mergeCell ref="I29:I31"/>
    <mergeCell ref="R29:R30"/>
    <mergeCell ref="S29:S30"/>
    <mergeCell ref="V29:V30"/>
    <mergeCell ref="W29:W30"/>
    <mergeCell ref="Z29:Z30"/>
    <mergeCell ref="H35:H37"/>
    <mergeCell ref="I35:I37"/>
    <mergeCell ref="Q35:Q37"/>
    <mergeCell ref="R35:R37"/>
    <mergeCell ref="V35:V37"/>
    <mergeCell ref="Z35:Z37"/>
    <mergeCell ref="AA39:AB39"/>
    <mergeCell ref="AA40:AB40"/>
    <mergeCell ref="AW39:AX39"/>
    <mergeCell ref="AY39:AZ39"/>
    <mergeCell ref="AC37:AF37"/>
    <mergeCell ref="AG37:AJ37"/>
    <mergeCell ref="AC39:AF39"/>
    <mergeCell ref="AG39:AJ39"/>
    <mergeCell ref="AK39:AN39"/>
    <mergeCell ref="AO39:AR39"/>
    <mergeCell ref="AS39:AV39"/>
    <mergeCell ref="AC18:AF18"/>
    <mergeCell ref="AG18:AJ18"/>
    <mergeCell ref="AA23:AB23"/>
    <mergeCell ref="AA24:AB24"/>
    <mergeCell ref="AC24:AF24"/>
    <mergeCell ref="AG24:AJ24"/>
    <mergeCell ref="AC27:AF28"/>
    <mergeCell ref="AG29:AJ30"/>
    <mergeCell ref="AG31:AJ31"/>
    <mergeCell ref="AO35:AR35"/>
    <mergeCell ref="AS35:AV37"/>
    <mergeCell ref="AW35:AX37"/>
    <mergeCell ref="AY35:AZ37"/>
    <mergeCell ref="AO36:AR36"/>
    <mergeCell ref="AO37:AR37"/>
    <mergeCell ref="AC36:AF36"/>
    <mergeCell ref="AG36:AJ36"/>
    <mergeCell ref="AH43:AK44"/>
    <mergeCell ref="AC32:AF32"/>
    <mergeCell ref="AG32:AJ32"/>
    <mergeCell ref="AC33:AF33"/>
    <mergeCell ref="AG33:AJ33"/>
    <mergeCell ref="AC35:AF35"/>
    <mergeCell ref="AG35:AJ35"/>
    <mergeCell ref="AK35:AN37"/>
    <mergeCell ref="AC40:AF40"/>
    <mergeCell ref="AG40:AJ40"/>
    <mergeCell ref="AK40:AN40"/>
    <mergeCell ref="AO40:AR40"/>
    <mergeCell ref="AS40:AV40"/>
    <mergeCell ref="AW40:AX40"/>
    <mergeCell ref="AY40:AZ40"/>
    <mergeCell ref="AA47:AB47"/>
    <mergeCell ref="AA48:AB48"/>
    <mergeCell ref="AA49:AB49"/>
    <mergeCell ref="AA50:AB50"/>
    <mergeCell ref="AA51:AB51"/>
    <mergeCell ref="AA52:AB52"/>
    <mergeCell ref="AA26:AB26"/>
    <mergeCell ref="AA32:AB32"/>
    <mergeCell ref="AA35:AB35"/>
    <mergeCell ref="AA36:AB36"/>
    <mergeCell ref="AA37:AB37"/>
    <mergeCell ref="AA45:AB45"/>
    <mergeCell ref="AA46:AB46"/>
    <mergeCell ref="R13:R14"/>
    <mergeCell ref="S13:S14"/>
    <mergeCell ref="V13:V14"/>
    <mergeCell ref="W13:W14"/>
    <mergeCell ref="Z13:Z14"/>
    <mergeCell ref="AA13:AB14"/>
    <mergeCell ref="AC13:AF14"/>
    <mergeCell ref="AG13:AJ13"/>
    <mergeCell ref="AG14:AJ14"/>
    <mergeCell ref="AK13:AN13"/>
    <mergeCell ref="AO13:AR13"/>
    <mergeCell ref="AK14:AN14"/>
    <mergeCell ref="AO14:AR14"/>
    <mergeCell ref="P15:P16"/>
    <mergeCell ref="Q15:Q16"/>
    <mergeCell ref="AW14:AX14"/>
    <mergeCell ref="AW15:AX15"/>
    <mergeCell ref="AY15:AZ16"/>
    <mergeCell ref="AW16:AX16"/>
    <mergeCell ref="AY17:AZ17"/>
    <mergeCell ref="AS9:AV9"/>
    <mergeCell ref="AW9:AX9"/>
    <mergeCell ref="AY9:AZ9"/>
    <mergeCell ref="AY10:AZ10"/>
    <mergeCell ref="AY11:AZ12"/>
    <mergeCell ref="AW13:AX13"/>
    <mergeCell ref="AY13:AZ14"/>
    <mergeCell ref="K11:K12"/>
    <mergeCell ref="P18:P19"/>
    <mergeCell ref="AA19:AB19"/>
    <mergeCell ref="AC19:AF19"/>
    <mergeCell ref="AK9:AN9"/>
    <mergeCell ref="AO9:AR9"/>
    <mergeCell ref="F11:F19"/>
    <mergeCell ref="H11:H19"/>
    <mergeCell ref="I11:I14"/>
    <mergeCell ref="J11:J12"/>
    <mergeCell ref="AO17:AR17"/>
    <mergeCell ref="AG19:AJ19"/>
    <mergeCell ref="G13:G19"/>
    <mergeCell ref="J13:J19"/>
    <mergeCell ref="I15:I17"/>
    <mergeCell ref="I18:I19"/>
    <mergeCell ref="AA16:AB16"/>
    <mergeCell ref="AC16:AF16"/>
    <mergeCell ref="AA17:AB17"/>
    <mergeCell ref="AC17:AF17"/>
    <mergeCell ref="AG17:AJ17"/>
    <mergeCell ref="AK17:AN17"/>
    <mergeCell ref="Q18:Q19"/>
    <mergeCell ref="R18:R19"/>
    <mergeCell ref="S18:S19"/>
    <mergeCell ref="V18:V19"/>
    <mergeCell ref="W18:W19"/>
    <mergeCell ref="Z18:Z19"/>
    <mergeCell ref="AS13:AV13"/>
    <mergeCell ref="AS14:AV14"/>
    <mergeCell ref="AO15:AR16"/>
    <mergeCell ref="AS15:AV16"/>
    <mergeCell ref="AS17:AV17"/>
    <mergeCell ref="AW17:AX17"/>
    <mergeCell ref="AO18:AR19"/>
    <mergeCell ref="AY23:AZ23"/>
    <mergeCell ref="AY24:AZ24"/>
    <mergeCell ref="AY27:AZ28"/>
    <mergeCell ref="AY29:AZ30"/>
    <mergeCell ref="AY31:AZ31"/>
    <mergeCell ref="AY32:AZ32"/>
    <mergeCell ref="AS18:AV18"/>
    <mergeCell ref="AW18:AX18"/>
    <mergeCell ref="AY18:AZ19"/>
    <mergeCell ref="AS19:AV19"/>
    <mergeCell ref="AW19:AX19"/>
    <mergeCell ref="AY21:AZ21"/>
    <mergeCell ref="AY22:AZ22"/>
    <mergeCell ref="AA18:AB18"/>
    <mergeCell ref="AC21:AF21"/>
    <mergeCell ref="AG21:AJ21"/>
    <mergeCell ref="AK21:AN21"/>
    <mergeCell ref="AO21:AR21"/>
    <mergeCell ref="AS21:AV21"/>
    <mergeCell ref="AW21:AX21"/>
    <mergeCell ref="AA21:AB21"/>
    <mergeCell ref="AC22:AF22"/>
    <mergeCell ref="AG22:AJ22"/>
    <mergeCell ref="AK22:AN22"/>
    <mergeCell ref="AO22:AR22"/>
    <mergeCell ref="AS22:AV22"/>
    <mergeCell ref="AW22:AX22"/>
    <mergeCell ref="Q27:Q28"/>
    <mergeCell ref="Q29:Q30"/>
    <mergeCell ref="P27:P28"/>
    <mergeCell ref="R27:R28"/>
    <mergeCell ref="S27:S28"/>
    <mergeCell ref="V27:V28"/>
    <mergeCell ref="W27:W28"/>
    <mergeCell ref="Z27:Z28"/>
    <mergeCell ref="AA27:AB2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1" max="1" width="19.57"/>
    <col customWidth="1" min="2" max="3" width="23.86"/>
    <col customWidth="1" min="4" max="4" width="18.71"/>
    <col customWidth="1" min="5" max="5" width="20.43"/>
    <col customWidth="1" min="6" max="6" width="27.14"/>
    <col customWidth="1" min="8" max="8" width="17.29"/>
    <col customWidth="1" min="9" max="9" width="32.71"/>
    <col customWidth="1" min="10" max="10" width="34.43"/>
    <col customWidth="1" min="11" max="11" width="75.0"/>
    <col customWidth="1" min="12" max="12" width="20.71"/>
    <col customWidth="1" min="18" max="18" width="25.86"/>
    <col customWidth="1" min="27" max="50" width="6.14"/>
    <col customWidth="1" min="51" max="51" width="18.14"/>
    <col customWidth="1" min="52" max="52" width="6.14"/>
  </cols>
  <sheetData>
    <row r="1" ht="49.5" customHeight="1">
      <c r="A1" s="1"/>
      <c r="B1" s="2"/>
      <c r="C1" s="2"/>
    </row>
    <row r="2" ht="15.75" customHeight="1">
      <c r="A2" s="3"/>
      <c r="B2" s="3"/>
      <c r="C2" s="3"/>
      <c r="D2" s="3"/>
      <c r="E2" s="3"/>
      <c r="F2" s="3"/>
      <c r="G2" s="3"/>
      <c r="H2" s="3"/>
      <c r="I2" s="3"/>
      <c r="J2" s="3"/>
      <c r="K2" s="3"/>
      <c r="L2" s="3"/>
      <c r="M2" s="3"/>
      <c r="N2" s="3"/>
      <c r="O2" s="4"/>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row>
    <row r="3" ht="15.75" customHeight="1">
      <c r="A3" s="5" t="s">
        <v>0</v>
      </c>
      <c r="B3" s="6" t="s">
        <v>1</v>
      </c>
      <c r="C3" s="7"/>
      <c r="E3" s="7"/>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row>
    <row r="4" ht="15.75" customHeight="1">
      <c r="A4" s="5" t="s">
        <v>2</v>
      </c>
      <c r="B4" s="6" t="s">
        <v>3</v>
      </c>
      <c r="C4" s="8"/>
      <c r="E4" s="8"/>
      <c r="F4" s="3"/>
      <c r="G4" s="3"/>
      <c r="H4" s="3"/>
      <c r="I4" s="3"/>
      <c r="J4" s="3"/>
      <c r="K4" s="3"/>
      <c r="L4" s="3"/>
      <c r="M4" s="3"/>
      <c r="N4" s="3"/>
      <c r="O4" s="3"/>
      <c r="P4" s="3"/>
      <c r="Q4" s="3"/>
      <c r="R4" s="3"/>
      <c r="S4" s="9"/>
      <c r="T4" s="9"/>
      <c r="U4" s="9"/>
      <c r="V4" s="10"/>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row>
    <row r="5" ht="15.75" customHeight="1">
      <c r="A5" s="5" t="s">
        <v>4</v>
      </c>
      <c r="B5" s="11">
        <v>2198126.0</v>
      </c>
      <c r="C5" s="12">
        <v>2198126.0</v>
      </c>
      <c r="E5" s="12"/>
      <c r="F5" s="3"/>
      <c r="G5" s="3"/>
      <c r="H5" s="3"/>
      <c r="I5" s="3"/>
      <c r="J5" s="3"/>
      <c r="K5" s="3"/>
      <c r="L5" s="3"/>
      <c r="M5" s="3"/>
      <c r="N5" s="3"/>
      <c r="O5" s="3"/>
      <c r="P5" s="3"/>
      <c r="Q5" s="3"/>
      <c r="R5" s="3"/>
      <c r="S5" s="9"/>
      <c r="T5" s="9"/>
      <c r="U5" s="9"/>
      <c r="V5" s="10"/>
      <c r="W5" s="13"/>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row>
    <row r="6" ht="15.75" customHeight="1">
      <c r="A6" s="5" t="s">
        <v>5</v>
      </c>
      <c r="B6" s="6" t="s">
        <v>6</v>
      </c>
      <c r="C6" s="14"/>
      <c r="E6" s="8"/>
      <c r="F6" s="3"/>
      <c r="G6" s="3"/>
      <c r="H6" s="3"/>
      <c r="I6" s="3"/>
      <c r="J6" s="3"/>
      <c r="K6" s="3"/>
      <c r="L6" s="3"/>
      <c r="M6" s="3"/>
      <c r="N6" s="3"/>
      <c r="O6" s="3"/>
      <c r="P6" s="3"/>
      <c r="Q6" s="3"/>
      <c r="R6" s="3"/>
      <c r="S6" s="9"/>
      <c r="T6" s="9"/>
      <c r="U6" s="15"/>
      <c r="V6" s="10"/>
      <c r="W6" s="10"/>
      <c r="X6" s="9"/>
      <c r="Y6" s="9"/>
      <c r="Z6" s="9"/>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row>
    <row r="7" ht="15.75" customHeight="1">
      <c r="A7" s="7"/>
      <c r="B7" s="6" t="s">
        <v>7</v>
      </c>
      <c r="C7" s="17" t="s">
        <v>8</v>
      </c>
      <c r="E7" s="7"/>
      <c r="F7" s="3"/>
      <c r="G7" s="3"/>
      <c r="H7" s="3"/>
      <c r="I7" s="3"/>
      <c r="J7" s="3"/>
      <c r="K7" s="3"/>
      <c r="L7" s="3"/>
      <c r="M7" s="3"/>
      <c r="N7" s="3"/>
      <c r="O7" s="3"/>
      <c r="P7" s="3"/>
      <c r="Q7" s="3"/>
      <c r="R7" s="3"/>
      <c r="S7" s="9"/>
      <c r="T7" s="9"/>
      <c r="U7" s="9"/>
      <c r="V7" s="9"/>
      <c r="W7" s="9"/>
      <c r="X7" s="9"/>
      <c r="Y7" s="9"/>
      <c r="Z7" s="9"/>
      <c r="AA7" s="18" t="s">
        <v>9</v>
      </c>
      <c r="AG7" s="19" t="s">
        <v>10</v>
      </c>
      <c r="AW7" s="20" t="s">
        <v>11</v>
      </c>
      <c r="AY7" s="16"/>
      <c r="AZ7" s="16"/>
    </row>
    <row r="8" ht="15.75" customHeight="1">
      <c r="A8" s="7"/>
      <c r="B8" s="21" t="s">
        <v>12</v>
      </c>
      <c r="C8" s="22" t="s">
        <v>13</v>
      </c>
      <c r="D8" s="22" t="s">
        <v>14</v>
      </c>
      <c r="E8" s="7"/>
      <c r="F8" s="7"/>
      <c r="G8" s="7"/>
      <c r="H8" s="7"/>
      <c r="I8" s="7"/>
      <c r="J8" s="7"/>
      <c r="K8" s="7"/>
      <c r="L8" s="9"/>
      <c r="M8" s="9"/>
      <c r="N8" s="9"/>
      <c r="O8" s="9"/>
      <c r="P8" s="9"/>
      <c r="Q8" s="9"/>
      <c r="R8" s="9"/>
      <c r="S8" s="23"/>
      <c r="T8" s="23"/>
      <c r="U8" s="23"/>
      <c r="V8" s="23"/>
      <c r="W8" s="23"/>
      <c r="X8" s="23"/>
      <c r="Y8" s="23"/>
      <c r="Z8" s="23"/>
      <c r="AA8" s="24"/>
      <c r="AB8" s="25"/>
      <c r="AC8" s="25"/>
      <c r="AD8" s="25"/>
      <c r="AE8" s="25"/>
      <c r="AF8" s="26"/>
      <c r="AG8" s="24"/>
      <c r="AH8" s="25"/>
      <c r="AI8" s="25"/>
      <c r="AJ8" s="26"/>
      <c r="AK8" s="24"/>
      <c r="AL8" s="25"/>
      <c r="AM8" s="25"/>
      <c r="AN8" s="26"/>
      <c r="AO8" s="24"/>
      <c r="AP8" s="25"/>
      <c r="AQ8" s="25"/>
      <c r="AR8" s="26"/>
      <c r="AS8" s="24"/>
      <c r="AT8" s="25"/>
      <c r="AU8" s="25"/>
      <c r="AV8" s="26"/>
      <c r="AW8" s="24"/>
      <c r="AX8" s="26"/>
      <c r="AY8" s="27"/>
      <c r="AZ8" s="27"/>
    </row>
    <row r="9" ht="15.75" customHeight="1">
      <c r="A9" s="7"/>
      <c r="B9" s="28">
        <v>1.6E7</v>
      </c>
      <c r="C9" s="28">
        <f>B9*D9</f>
        <v>10080000</v>
      </c>
      <c r="D9" s="29">
        <v>0.63</v>
      </c>
      <c r="E9" s="7"/>
      <c r="F9" s="7"/>
      <c r="G9" s="7"/>
      <c r="H9" s="7"/>
      <c r="I9" s="7"/>
      <c r="J9" s="7"/>
      <c r="K9" s="7"/>
      <c r="L9" s="9"/>
      <c r="M9" s="9"/>
      <c r="N9" s="30" t="s">
        <v>134</v>
      </c>
      <c r="O9" s="9"/>
      <c r="P9" s="9"/>
      <c r="Q9" s="9"/>
      <c r="R9" s="9"/>
      <c r="S9" s="23"/>
      <c r="T9" s="23"/>
      <c r="U9" s="23" t="s">
        <v>16</v>
      </c>
      <c r="V9" s="23"/>
      <c r="W9" s="23"/>
      <c r="X9" s="23"/>
      <c r="Y9" s="23" t="s">
        <v>17</v>
      </c>
      <c r="Z9" s="23"/>
      <c r="AA9" s="31" t="s">
        <v>18</v>
      </c>
      <c r="AC9" s="27" t="s">
        <v>19</v>
      </c>
      <c r="AF9" s="32"/>
      <c r="AG9" s="31" t="s">
        <v>20</v>
      </c>
      <c r="AJ9" s="32"/>
      <c r="AK9" s="31" t="s">
        <v>21</v>
      </c>
      <c r="AN9" s="32"/>
      <c r="AO9" s="31" t="s">
        <v>22</v>
      </c>
      <c r="AR9" s="32"/>
      <c r="AS9" s="31" t="s">
        <v>23</v>
      </c>
      <c r="AV9" s="32"/>
      <c r="AW9" s="31" t="s">
        <v>24</v>
      </c>
      <c r="AX9" s="32"/>
      <c r="AY9" s="27" t="s">
        <v>25</v>
      </c>
    </row>
    <row r="10" ht="15.75" customHeight="1">
      <c r="A10" s="33" t="s">
        <v>2</v>
      </c>
      <c r="B10" s="34" t="s">
        <v>26</v>
      </c>
      <c r="C10" s="34" t="s">
        <v>5</v>
      </c>
      <c r="D10" s="34" t="s">
        <v>27</v>
      </c>
      <c r="E10" s="35" t="s">
        <v>28</v>
      </c>
      <c r="F10" s="36" t="s">
        <v>29</v>
      </c>
      <c r="G10" s="36" t="s">
        <v>30</v>
      </c>
      <c r="H10" s="36" t="s">
        <v>31</v>
      </c>
      <c r="I10" s="36"/>
      <c r="J10" s="36"/>
      <c r="K10" s="36" t="s">
        <v>32</v>
      </c>
      <c r="L10" s="37" t="s">
        <v>33</v>
      </c>
      <c r="M10" s="37" t="s">
        <v>34</v>
      </c>
      <c r="N10" s="37" t="s">
        <v>35</v>
      </c>
      <c r="O10" s="37" t="s">
        <v>36</v>
      </c>
      <c r="P10" s="37" t="s">
        <v>37</v>
      </c>
      <c r="Q10" s="37" t="s">
        <v>38</v>
      </c>
      <c r="R10" s="37" t="s">
        <v>39</v>
      </c>
      <c r="S10" s="37" t="s">
        <v>40</v>
      </c>
      <c r="T10" s="37" t="s">
        <v>41</v>
      </c>
      <c r="U10" s="37" t="s">
        <v>42</v>
      </c>
      <c r="V10" s="37" t="s">
        <v>43</v>
      </c>
      <c r="W10" s="37" t="s">
        <v>44</v>
      </c>
      <c r="X10" s="37" t="s">
        <v>45</v>
      </c>
      <c r="Y10" s="37" t="s">
        <v>46</v>
      </c>
      <c r="Z10" s="37" t="s">
        <v>47</v>
      </c>
      <c r="AA10" s="38" t="s">
        <v>48</v>
      </c>
      <c r="AB10" s="39" t="s">
        <v>49</v>
      </c>
      <c r="AC10" s="39" t="s">
        <v>50</v>
      </c>
      <c r="AD10" s="39" t="s">
        <v>51</v>
      </c>
      <c r="AE10" s="39" t="s">
        <v>48</v>
      </c>
      <c r="AF10" s="40" t="s">
        <v>49</v>
      </c>
      <c r="AG10" s="38" t="s">
        <v>50</v>
      </c>
      <c r="AH10" s="39" t="s">
        <v>51</v>
      </c>
      <c r="AI10" s="39" t="s">
        <v>48</v>
      </c>
      <c r="AJ10" s="40" t="s">
        <v>49</v>
      </c>
      <c r="AK10" s="38" t="s">
        <v>50</v>
      </c>
      <c r="AL10" s="39" t="s">
        <v>51</v>
      </c>
      <c r="AM10" s="39" t="s">
        <v>48</v>
      </c>
      <c r="AN10" s="40" t="s">
        <v>49</v>
      </c>
      <c r="AO10" s="38" t="s">
        <v>50</v>
      </c>
      <c r="AP10" s="39" t="s">
        <v>51</v>
      </c>
      <c r="AQ10" s="39" t="s">
        <v>48</v>
      </c>
      <c r="AR10" s="40" t="s">
        <v>49</v>
      </c>
      <c r="AS10" s="38" t="s">
        <v>50</v>
      </c>
      <c r="AT10" s="39" t="s">
        <v>51</v>
      </c>
      <c r="AU10" s="39" t="s">
        <v>48</v>
      </c>
      <c r="AV10" s="40" t="s">
        <v>49</v>
      </c>
      <c r="AW10" s="38" t="s">
        <v>50</v>
      </c>
      <c r="AX10" s="40" t="s">
        <v>51</v>
      </c>
      <c r="AY10" s="39"/>
    </row>
    <row r="11" ht="15.75" customHeight="1">
      <c r="A11" s="41"/>
      <c r="B11" s="42"/>
      <c r="C11" s="43"/>
      <c r="D11" s="44"/>
      <c r="E11" s="45"/>
      <c r="F11" s="46" t="s">
        <v>52</v>
      </c>
      <c r="G11" s="47"/>
      <c r="H11" s="48">
        <f>E13*G13</f>
        <v>659437.8</v>
      </c>
      <c r="I11" s="46" t="s">
        <v>53</v>
      </c>
      <c r="J11" s="49" t="s">
        <v>54</v>
      </c>
      <c r="K11" s="46" t="s">
        <v>55</v>
      </c>
      <c r="L11" s="50" t="s">
        <v>56</v>
      </c>
      <c r="M11" s="51">
        <v>1.0</v>
      </c>
      <c r="N11" s="51">
        <v>1.0</v>
      </c>
      <c r="O11" s="51">
        <f t="shared" ref="O11:O16" si="1">M11*N11</f>
        <v>1</v>
      </c>
      <c r="P11" s="52">
        <v>0.2</v>
      </c>
      <c r="Q11" s="53">
        <f>H11*P11</f>
        <v>131887.56</v>
      </c>
      <c r="R11" s="54" t="s">
        <v>57</v>
      </c>
      <c r="S11" s="55"/>
      <c r="T11" s="56"/>
      <c r="U11" s="56"/>
      <c r="V11" s="57">
        <v>4.85</v>
      </c>
      <c r="W11" s="56"/>
      <c r="X11" s="56"/>
      <c r="Y11" s="56"/>
      <c r="Z11" s="58">
        <f>Q11*V11</f>
        <v>639654.666</v>
      </c>
      <c r="AA11" s="59">
        <f>Q11</f>
        <v>131887.56</v>
      </c>
      <c r="AC11" s="60"/>
      <c r="AF11" s="32"/>
      <c r="AG11" s="61"/>
      <c r="AH11" s="60"/>
      <c r="AI11" s="60"/>
      <c r="AJ11" s="62"/>
      <c r="AK11" s="61"/>
      <c r="AL11" s="60"/>
      <c r="AM11" s="60"/>
      <c r="AN11" s="62"/>
      <c r="AO11" s="61"/>
      <c r="AP11" s="60"/>
      <c r="AQ11" s="60"/>
      <c r="AR11" s="62"/>
      <c r="AS11" s="61"/>
      <c r="AT11" s="60"/>
      <c r="AU11" s="60"/>
      <c r="AV11" s="62"/>
      <c r="AW11" s="61"/>
      <c r="AX11" s="62"/>
      <c r="AY11" s="63">
        <f>AA11</f>
        <v>131887.56</v>
      </c>
    </row>
    <row r="12" ht="15.75" customHeight="1">
      <c r="A12" s="41"/>
      <c r="B12" s="42"/>
      <c r="C12" s="43"/>
      <c r="D12" s="44"/>
      <c r="E12" s="45"/>
      <c r="F12" s="64"/>
      <c r="G12" s="47"/>
      <c r="H12" s="64"/>
      <c r="I12" s="64"/>
      <c r="K12" s="65"/>
      <c r="M12" s="51">
        <v>1.0</v>
      </c>
      <c r="N12" s="51">
        <v>1.0</v>
      </c>
      <c r="O12" s="51">
        <f t="shared" si="1"/>
        <v>1</v>
      </c>
      <c r="P12" s="65"/>
      <c r="Q12" s="65"/>
      <c r="R12" s="65"/>
      <c r="S12" s="65"/>
      <c r="T12" s="56"/>
      <c r="U12" s="56"/>
      <c r="V12" s="65"/>
      <c r="W12" s="56"/>
      <c r="X12" s="56"/>
      <c r="Y12" s="56"/>
      <c r="Z12" s="58"/>
      <c r="AA12" s="66"/>
      <c r="AC12" s="60"/>
      <c r="AF12" s="32"/>
      <c r="AG12" s="61"/>
      <c r="AH12" s="60"/>
      <c r="AI12" s="60"/>
      <c r="AJ12" s="62"/>
      <c r="AK12" s="61"/>
      <c r="AL12" s="60"/>
      <c r="AM12" s="60"/>
      <c r="AN12" s="62"/>
      <c r="AO12" s="61"/>
      <c r="AP12" s="60"/>
      <c r="AQ12" s="60"/>
      <c r="AR12" s="62"/>
      <c r="AS12" s="61"/>
      <c r="AT12" s="60"/>
      <c r="AU12" s="60"/>
      <c r="AV12" s="62"/>
      <c r="AW12" s="61"/>
      <c r="AX12" s="62"/>
    </row>
    <row r="13" ht="15.75" customHeight="1">
      <c r="A13" s="67" t="s">
        <v>58</v>
      </c>
      <c r="B13" s="68" t="s">
        <v>59</v>
      </c>
      <c r="C13" s="69" t="s">
        <v>60</v>
      </c>
      <c r="D13" s="70">
        <v>0.6</v>
      </c>
      <c r="E13" s="71">
        <f>B5*D13</f>
        <v>1318875.6</v>
      </c>
      <c r="F13" s="64"/>
      <c r="G13" s="72">
        <v>0.5</v>
      </c>
      <c r="H13" s="64"/>
      <c r="I13" s="64"/>
      <c r="J13" s="46" t="s">
        <v>61</v>
      </c>
      <c r="K13" s="45" t="s">
        <v>62</v>
      </c>
      <c r="L13" s="73" t="s">
        <v>63</v>
      </c>
      <c r="M13" s="51">
        <v>1.0</v>
      </c>
      <c r="N13" s="51">
        <v>2.0</v>
      </c>
      <c r="O13" s="51">
        <f t="shared" si="1"/>
        <v>2</v>
      </c>
      <c r="P13" s="52">
        <v>0.2</v>
      </c>
      <c r="Q13" s="53">
        <f>H11*P13</f>
        <v>131887.56</v>
      </c>
      <c r="R13" s="54" t="s">
        <v>44</v>
      </c>
      <c r="S13" s="57">
        <v>0.3</v>
      </c>
      <c r="T13" s="74"/>
      <c r="U13" s="74"/>
      <c r="V13" s="57">
        <v>4.85</v>
      </c>
      <c r="W13" s="75">
        <f>Q13/S13</f>
        <v>439625.2</v>
      </c>
      <c r="X13" s="74"/>
      <c r="Y13" s="74"/>
      <c r="Z13" s="76">
        <f>Q13/V13*1000</f>
        <v>27193311.34</v>
      </c>
      <c r="AA13" s="61"/>
      <c r="AC13" s="77">
        <f>Q13</f>
        <v>131887.56</v>
      </c>
      <c r="AF13" s="32"/>
      <c r="AG13" s="61"/>
      <c r="AJ13" s="32"/>
      <c r="AK13" s="61"/>
      <c r="AN13" s="32"/>
      <c r="AO13" s="61"/>
      <c r="AR13" s="32"/>
      <c r="AS13" s="61"/>
      <c r="AV13" s="32"/>
      <c r="AW13" s="61"/>
      <c r="AX13" s="32"/>
      <c r="AY13" s="63">
        <f>AC13</f>
        <v>131887.56</v>
      </c>
    </row>
    <row r="14" ht="15.75" customHeight="1">
      <c r="A14" s="64"/>
      <c r="B14" s="64"/>
      <c r="C14" s="64"/>
      <c r="D14" s="64"/>
      <c r="E14" s="64"/>
      <c r="F14" s="64"/>
      <c r="G14" s="64"/>
      <c r="H14" s="64"/>
      <c r="I14" s="65"/>
      <c r="J14" s="64"/>
      <c r="K14" s="45" t="s">
        <v>64</v>
      </c>
      <c r="L14" s="73" t="s">
        <v>63</v>
      </c>
      <c r="M14" s="51">
        <v>1.0</v>
      </c>
      <c r="N14" s="51">
        <v>2.0</v>
      </c>
      <c r="O14" s="51">
        <f t="shared" si="1"/>
        <v>2</v>
      </c>
      <c r="P14" s="65"/>
      <c r="Q14" s="65"/>
      <c r="R14" s="65"/>
      <c r="S14" s="65"/>
      <c r="T14" s="74"/>
      <c r="U14" s="74"/>
      <c r="V14" s="65"/>
      <c r="W14" s="65"/>
      <c r="X14" s="74"/>
      <c r="Y14" s="74"/>
      <c r="Z14" s="78"/>
      <c r="AA14" s="66"/>
      <c r="AF14" s="32"/>
      <c r="AG14" s="61"/>
      <c r="AJ14" s="32"/>
      <c r="AK14" s="61"/>
      <c r="AN14" s="32"/>
      <c r="AO14" s="61"/>
      <c r="AR14" s="32"/>
      <c r="AS14" s="61"/>
      <c r="AV14" s="32"/>
      <c r="AW14" s="61"/>
      <c r="AX14" s="32"/>
    </row>
    <row r="15" ht="15.75" customHeight="1">
      <c r="A15" s="64"/>
      <c r="B15" s="64"/>
      <c r="C15" s="64"/>
      <c r="D15" s="64"/>
      <c r="E15" s="64"/>
      <c r="F15" s="64"/>
      <c r="G15" s="64"/>
      <c r="H15" s="64"/>
      <c r="I15" s="46" t="s">
        <v>65</v>
      </c>
      <c r="J15" s="64"/>
      <c r="K15" s="45" t="s">
        <v>66</v>
      </c>
      <c r="L15" s="73" t="s">
        <v>63</v>
      </c>
      <c r="M15" s="51">
        <v>1.0</v>
      </c>
      <c r="N15" s="51">
        <v>4.0</v>
      </c>
      <c r="O15" s="51">
        <f t="shared" si="1"/>
        <v>4</v>
      </c>
      <c r="P15" s="52">
        <v>0.2</v>
      </c>
      <c r="Q15" s="53">
        <f>H11*P15</f>
        <v>131887.56</v>
      </c>
      <c r="R15" s="54" t="s">
        <v>44</v>
      </c>
      <c r="S15" s="57">
        <v>0.3</v>
      </c>
      <c r="T15" s="74"/>
      <c r="U15" s="74"/>
      <c r="V15" s="57">
        <v>4.85</v>
      </c>
      <c r="W15" s="75">
        <f>Q15/S15</f>
        <v>439625.2</v>
      </c>
      <c r="X15" s="74"/>
      <c r="Y15" s="74"/>
      <c r="Z15" s="76">
        <f>Q15/V15*1000</f>
        <v>27193311.34</v>
      </c>
      <c r="AA15" s="61"/>
      <c r="AB15" s="60"/>
      <c r="AC15" s="60"/>
      <c r="AF15" s="32"/>
      <c r="AG15" s="79">
        <v>42971.89</v>
      </c>
      <c r="AJ15" s="32"/>
      <c r="AK15" s="79">
        <v>32971.89</v>
      </c>
      <c r="AN15" s="32"/>
      <c r="AO15" s="79">
        <v>32971.89</v>
      </c>
      <c r="AR15" s="32"/>
      <c r="AS15" s="79">
        <v>22971.89</v>
      </c>
      <c r="AV15" s="32"/>
      <c r="AW15" s="61"/>
      <c r="AX15" s="32"/>
      <c r="AY15" s="63">
        <f>AG15+AK15+AO15+AS15</f>
        <v>131887.56</v>
      </c>
    </row>
    <row r="16" ht="15.75" customHeight="1">
      <c r="A16" s="64"/>
      <c r="B16" s="64"/>
      <c r="C16" s="64"/>
      <c r="D16" s="64"/>
      <c r="E16" s="64"/>
      <c r="F16" s="64"/>
      <c r="G16" s="64"/>
      <c r="H16" s="64"/>
      <c r="I16" s="64"/>
      <c r="J16" s="64"/>
      <c r="K16" s="45" t="s">
        <v>67</v>
      </c>
      <c r="L16" s="73" t="s">
        <v>63</v>
      </c>
      <c r="M16" s="51">
        <v>1.0</v>
      </c>
      <c r="N16" s="51">
        <v>4.0</v>
      </c>
      <c r="O16" s="51">
        <f t="shared" si="1"/>
        <v>4</v>
      </c>
      <c r="P16" s="65"/>
      <c r="Q16" s="65"/>
      <c r="R16" s="65"/>
      <c r="S16" s="65"/>
      <c r="T16" s="74"/>
      <c r="U16" s="74"/>
      <c r="V16" s="65"/>
      <c r="W16" s="65"/>
      <c r="X16" s="74"/>
      <c r="Y16" s="74"/>
      <c r="Z16" s="78"/>
      <c r="AA16" s="61"/>
      <c r="AC16" s="60"/>
      <c r="AF16" s="32"/>
      <c r="AG16" s="66"/>
      <c r="AJ16" s="32"/>
      <c r="AK16" s="66"/>
      <c r="AN16" s="32"/>
      <c r="AO16" s="66"/>
      <c r="AR16" s="32"/>
      <c r="AS16" s="66"/>
      <c r="AV16" s="32"/>
      <c r="AW16" s="61"/>
      <c r="AX16" s="32"/>
    </row>
    <row r="17" ht="15.75" customHeight="1">
      <c r="A17" s="64"/>
      <c r="B17" s="64"/>
      <c r="C17" s="64"/>
      <c r="D17" s="64"/>
      <c r="E17" s="64"/>
      <c r="F17" s="64"/>
      <c r="G17" s="64"/>
      <c r="H17" s="64"/>
      <c r="I17" s="65"/>
      <c r="J17" s="64"/>
      <c r="K17" s="45" t="s">
        <v>140</v>
      </c>
      <c r="L17" s="73" t="s">
        <v>73</v>
      </c>
      <c r="M17" s="51" t="s">
        <v>70</v>
      </c>
      <c r="N17" s="51" t="s">
        <v>70</v>
      </c>
      <c r="O17" s="51" t="s">
        <v>70</v>
      </c>
      <c r="P17" s="80">
        <v>0.28</v>
      </c>
      <c r="Q17" s="81">
        <f>H11*P17</f>
        <v>184642.584</v>
      </c>
      <c r="R17" s="82" t="s">
        <v>44</v>
      </c>
      <c r="S17" s="83">
        <v>0.3</v>
      </c>
      <c r="T17" s="74"/>
      <c r="U17" s="74"/>
      <c r="V17" s="83">
        <v>4.85</v>
      </c>
      <c r="W17" s="51">
        <f t="shared" ref="W17:W18" si="2">Q17/S17</f>
        <v>615475.28</v>
      </c>
      <c r="X17" s="74"/>
      <c r="Y17" s="74"/>
      <c r="Z17" s="84">
        <f t="shared" ref="Z17:Z18" si="3">Q17/V17*1000</f>
        <v>38070635.88</v>
      </c>
      <c r="AA17" s="61"/>
      <c r="AC17" s="60"/>
      <c r="AF17" s="32"/>
      <c r="AG17" s="85">
        <v>61547.528</v>
      </c>
      <c r="AJ17" s="32"/>
      <c r="AK17" s="85">
        <v>51547.528</v>
      </c>
      <c r="AN17" s="32"/>
      <c r="AO17" s="85">
        <v>51547.528</v>
      </c>
      <c r="AR17" s="32"/>
      <c r="AS17" s="85">
        <v>20000.0</v>
      </c>
      <c r="AV17" s="32"/>
      <c r="AW17" s="61"/>
      <c r="AX17" s="32"/>
      <c r="AY17" s="63">
        <f>AK17+AO17+AS17+AG17</f>
        <v>184642.584</v>
      </c>
    </row>
    <row r="18" ht="15.75" customHeight="1">
      <c r="A18" s="64"/>
      <c r="B18" s="64"/>
      <c r="C18" s="64"/>
      <c r="D18" s="64"/>
      <c r="E18" s="64"/>
      <c r="F18" s="64"/>
      <c r="G18" s="64"/>
      <c r="H18" s="64"/>
      <c r="I18" s="46" t="s">
        <v>71</v>
      </c>
      <c r="J18" s="64"/>
      <c r="K18" s="45" t="s">
        <v>72</v>
      </c>
      <c r="L18" s="73" t="s">
        <v>73</v>
      </c>
      <c r="M18" s="51">
        <v>1.0</v>
      </c>
      <c r="N18" s="51">
        <v>2.0</v>
      </c>
      <c r="O18" s="51">
        <f t="shared" ref="O18:O19" si="4">M18*N18</f>
        <v>2</v>
      </c>
      <c r="P18" s="52">
        <v>0.12</v>
      </c>
      <c r="Q18" s="53">
        <f>H11*P18</f>
        <v>79132.536</v>
      </c>
      <c r="R18" s="54" t="s">
        <v>44</v>
      </c>
      <c r="S18" s="57">
        <v>0.3</v>
      </c>
      <c r="T18" s="74"/>
      <c r="U18" s="74"/>
      <c r="V18" s="57">
        <v>4.85</v>
      </c>
      <c r="W18" s="75">
        <f t="shared" si="2"/>
        <v>263775.12</v>
      </c>
      <c r="X18" s="74"/>
      <c r="Y18" s="74"/>
      <c r="Z18" s="76">
        <f t="shared" si="3"/>
        <v>16315986.8</v>
      </c>
      <c r="AA18" s="61"/>
      <c r="AC18" s="60"/>
      <c r="AF18" s="32"/>
      <c r="AG18" s="61"/>
      <c r="AJ18" s="32"/>
      <c r="AK18" s="86">
        <f>Q18/2</f>
        <v>39566.268</v>
      </c>
      <c r="AN18" s="32"/>
      <c r="AO18" s="86">
        <f>Q18/2</f>
        <v>39566.268</v>
      </c>
      <c r="AR18" s="32"/>
      <c r="AS18" s="61"/>
      <c r="AV18" s="32"/>
      <c r="AW18" s="61"/>
      <c r="AX18" s="32"/>
      <c r="AY18" s="63">
        <f>AK18+AO18</f>
        <v>79132.536</v>
      </c>
    </row>
    <row r="19" ht="15.75" customHeight="1">
      <c r="A19" s="64"/>
      <c r="B19" s="64"/>
      <c r="C19" s="64"/>
      <c r="D19" s="64"/>
      <c r="E19" s="64"/>
      <c r="F19" s="65"/>
      <c r="G19" s="65"/>
      <c r="H19" s="65"/>
      <c r="I19" s="65"/>
      <c r="J19" s="65"/>
      <c r="K19" s="45" t="s">
        <v>74</v>
      </c>
      <c r="L19" s="73" t="s">
        <v>73</v>
      </c>
      <c r="M19" s="51">
        <v>1.0</v>
      </c>
      <c r="N19" s="51">
        <v>2.0</v>
      </c>
      <c r="O19" s="51">
        <f t="shared" si="4"/>
        <v>2</v>
      </c>
      <c r="P19" s="65"/>
      <c r="Q19" s="65"/>
      <c r="R19" s="65"/>
      <c r="S19" s="65"/>
      <c r="T19" s="74"/>
      <c r="U19" s="74"/>
      <c r="V19" s="65"/>
      <c r="W19" s="65"/>
      <c r="X19" s="74"/>
      <c r="Y19" s="74"/>
      <c r="Z19" s="78"/>
      <c r="AA19" s="61"/>
      <c r="AC19" s="60"/>
      <c r="AF19" s="32"/>
      <c r="AG19" s="61"/>
      <c r="AJ19" s="32"/>
      <c r="AK19" s="66"/>
      <c r="AN19" s="32"/>
      <c r="AO19" s="66"/>
      <c r="AR19" s="32"/>
      <c r="AS19" s="61"/>
      <c r="AV19" s="32"/>
      <c r="AW19" s="61"/>
      <c r="AX19" s="32"/>
    </row>
    <row r="20" ht="6.75" customHeight="1">
      <c r="A20" s="64"/>
      <c r="B20" s="64"/>
      <c r="C20" s="64"/>
      <c r="D20" s="64"/>
      <c r="E20" s="64"/>
      <c r="F20" s="87"/>
      <c r="G20" s="88"/>
      <c r="H20" s="87"/>
      <c r="I20" s="87"/>
      <c r="J20" s="87"/>
      <c r="K20" s="89"/>
      <c r="L20" s="90"/>
      <c r="M20" s="91"/>
      <c r="N20" s="91"/>
      <c r="O20" s="91"/>
      <c r="P20" s="90"/>
      <c r="Q20" s="92"/>
      <c r="R20" s="93"/>
      <c r="S20" s="94"/>
      <c r="T20" s="94"/>
      <c r="U20" s="94"/>
      <c r="V20" s="94"/>
      <c r="W20" s="91"/>
      <c r="X20" s="94"/>
      <c r="Y20" s="94"/>
      <c r="Z20" s="95"/>
      <c r="AA20" s="96"/>
      <c r="AB20" s="97"/>
      <c r="AC20" s="97"/>
      <c r="AD20" s="97"/>
      <c r="AE20" s="97"/>
      <c r="AF20" s="98"/>
      <c r="AG20" s="96"/>
      <c r="AH20" s="97"/>
      <c r="AI20" s="97"/>
      <c r="AJ20" s="98"/>
      <c r="AK20" s="96"/>
      <c r="AL20" s="97"/>
      <c r="AM20" s="97"/>
      <c r="AN20" s="98"/>
      <c r="AO20" s="96"/>
      <c r="AP20" s="97"/>
      <c r="AQ20" s="97"/>
      <c r="AR20" s="98"/>
      <c r="AS20" s="96"/>
      <c r="AT20" s="97"/>
      <c r="AU20" s="97"/>
      <c r="AV20" s="98"/>
      <c r="AW20" s="96"/>
      <c r="AX20" s="98"/>
      <c r="AY20" s="97"/>
      <c r="AZ20" s="97"/>
    </row>
    <row r="21" ht="15.75" customHeight="1">
      <c r="A21" s="64"/>
      <c r="B21" s="64"/>
      <c r="C21" s="64"/>
      <c r="D21" s="64"/>
      <c r="E21" s="64"/>
      <c r="F21" s="99" t="s">
        <v>75</v>
      </c>
      <c r="G21" s="100"/>
      <c r="H21" s="101"/>
      <c r="I21" s="102" t="s">
        <v>76</v>
      </c>
      <c r="J21" s="103" t="s">
        <v>77</v>
      </c>
      <c r="K21" s="45" t="s">
        <v>78</v>
      </c>
      <c r="L21" s="73" t="s">
        <v>63</v>
      </c>
      <c r="M21" s="51">
        <v>2.0</v>
      </c>
      <c r="N21" s="51">
        <v>2.0</v>
      </c>
      <c r="O21" s="51">
        <f>M21*N21</f>
        <v>4</v>
      </c>
      <c r="P21" s="80">
        <v>0.22</v>
      </c>
      <c r="Q21" s="81">
        <f>H22*P21</f>
        <v>145076.316</v>
      </c>
      <c r="R21" s="82" t="s">
        <v>44</v>
      </c>
      <c r="S21" s="83">
        <v>0.34</v>
      </c>
      <c r="T21" s="74"/>
      <c r="U21" s="74"/>
      <c r="V21" s="83">
        <f t="shared" ref="V21:V24" si="5">189/4</f>
        <v>47.25</v>
      </c>
      <c r="W21" s="51">
        <f t="shared" ref="W21:W24" si="6">Q21/S21</f>
        <v>426695.0471</v>
      </c>
      <c r="X21" s="74"/>
      <c r="Y21" s="74"/>
      <c r="Z21" s="84">
        <f t="shared" ref="Z21:Z24" si="7">Q21/V21*1000</f>
        <v>3070398.222</v>
      </c>
      <c r="AA21" s="61"/>
      <c r="AC21" s="77">
        <v>145076.316</v>
      </c>
      <c r="AF21" s="32"/>
      <c r="AG21" s="61"/>
      <c r="AJ21" s="32"/>
      <c r="AK21" s="61"/>
      <c r="AN21" s="32"/>
      <c r="AO21" s="61"/>
      <c r="AR21" s="32"/>
      <c r="AS21" s="61"/>
      <c r="AV21" s="32"/>
      <c r="AW21" s="61"/>
      <c r="AX21" s="32"/>
      <c r="AY21" s="63">
        <f>AC21</f>
        <v>145076.316</v>
      </c>
    </row>
    <row r="22" ht="15.75" customHeight="1">
      <c r="A22" s="64"/>
      <c r="B22" s="64"/>
      <c r="C22" s="64"/>
      <c r="D22" s="64"/>
      <c r="E22" s="64"/>
      <c r="F22" s="64"/>
      <c r="G22" s="100"/>
      <c r="H22" s="104">
        <f>E13*G24</f>
        <v>659437.8</v>
      </c>
      <c r="I22" s="105" t="s">
        <v>79</v>
      </c>
      <c r="J22" s="106" t="s">
        <v>80</v>
      </c>
      <c r="K22" s="45" t="s">
        <v>81</v>
      </c>
      <c r="L22" s="82" t="s">
        <v>82</v>
      </c>
      <c r="M22" s="51" t="s">
        <v>70</v>
      </c>
      <c r="N22" s="51" t="s">
        <v>70</v>
      </c>
      <c r="O22" s="51" t="s">
        <v>70</v>
      </c>
      <c r="P22" s="80">
        <v>0.35</v>
      </c>
      <c r="Q22" s="81">
        <f>H22*P22</f>
        <v>230803.23</v>
      </c>
      <c r="R22" s="82" t="s">
        <v>44</v>
      </c>
      <c r="S22" s="83">
        <v>0.34</v>
      </c>
      <c r="T22" s="74"/>
      <c r="U22" s="74"/>
      <c r="V22" s="83">
        <f t="shared" si="5"/>
        <v>47.25</v>
      </c>
      <c r="W22" s="51">
        <f t="shared" si="6"/>
        <v>678833.0294</v>
      </c>
      <c r="X22" s="74"/>
      <c r="Y22" s="74"/>
      <c r="Z22" s="84">
        <f t="shared" si="7"/>
        <v>4884724.444</v>
      </c>
      <c r="AA22" s="61"/>
      <c r="AC22" s="107">
        <v>100401.615</v>
      </c>
      <c r="AF22" s="32"/>
      <c r="AG22" s="79">
        <v>130401.615</v>
      </c>
      <c r="AJ22" s="32"/>
      <c r="AK22" s="61"/>
      <c r="AN22" s="32"/>
      <c r="AO22" s="61"/>
      <c r="AR22" s="32"/>
      <c r="AS22" s="61"/>
      <c r="AV22" s="32"/>
      <c r="AW22" s="61"/>
      <c r="AX22" s="32"/>
      <c r="AY22" s="63">
        <f>AC22+AG22</f>
        <v>230803.23</v>
      </c>
    </row>
    <row r="23" ht="15.75" customHeight="1">
      <c r="A23" s="64"/>
      <c r="B23" s="64"/>
      <c r="C23" s="64"/>
      <c r="D23" s="64"/>
      <c r="E23" s="64"/>
      <c r="F23" s="64"/>
      <c r="G23" s="100"/>
      <c r="H23" s="108"/>
      <c r="I23" s="109"/>
      <c r="J23" s="106" t="s">
        <v>77</v>
      </c>
      <c r="K23" s="45" t="s">
        <v>83</v>
      </c>
      <c r="L23" s="73" t="s">
        <v>63</v>
      </c>
      <c r="M23" s="51">
        <v>3.0</v>
      </c>
      <c r="N23" s="51">
        <v>3.0</v>
      </c>
      <c r="O23" s="51">
        <f t="shared" ref="O23:O24" si="8">M23*N23</f>
        <v>9</v>
      </c>
      <c r="P23" s="80">
        <v>0.18</v>
      </c>
      <c r="Q23" s="81">
        <f>H22*P23</f>
        <v>118698.804</v>
      </c>
      <c r="R23" s="82" t="s">
        <v>44</v>
      </c>
      <c r="S23" s="83">
        <v>0.34</v>
      </c>
      <c r="T23" s="74"/>
      <c r="U23" s="74"/>
      <c r="V23" s="83">
        <f t="shared" si="5"/>
        <v>47.25</v>
      </c>
      <c r="W23" s="51">
        <f t="shared" si="6"/>
        <v>349114.1294</v>
      </c>
      <c r="X23" s="74"/>
      <c r="Y23" s="74"/>
      <c r="Z23" s="84">
        <f t="shared" si="7"/>
        <v>2512144</v>
      </c>
      <c r="AA23" s="61"/>
      <c r="AC23" s="60"/>
      <c r="AF23" s="32"/>
      <c r="AG23" s="61"/>
      <c r="AJ23" s="32"/>
      <c r="AK23" s="79">
        <f>(Q23/3)*2</f>
        <v>79132.536</v>
      </c>
      <c r="AN23" s="32"/>
      <c r="AO23" s="79">
        <v>39566.268</v>
      </c>
      <c r="AR23" s="32"/>
      <c r="AS23" s="61"/>
      <c r="AV23" s="32"/>
      <c r="AW23" s="61"/>
      <c r="AX23" s="32"/>
      <c r="AY23" s="63">
        <f>AK23+AO23+AS23</f>
        <v>118698.804</v>
      </c>
    </row>
    <row r="24" ht="15.75" customHeight="1">
      <c r="A24" s="64"/>
      <c r="B24" s="64"/>
      <c r="C24" s="65"/>
      <c r="D24" s="65"/>
      <c r="E24" s="65"/>
      <c r="F24" s="64"/>
      <c r="G24" s="100">
        <v>0.5</v>
      </c>
      <c r="H24" s="108"/>
      <c r="I24" s="110" t="s">
        <v>53</v>
      </c>
      <c r="J24" s="111"/>
      <c r="K24" s="45" t="s">
        <v>78</v>
      </c>
      <c r="L24" s="73" t="s">
        <v>63</v>
      </c>
      <c r="M24" s="51">
        <v>2.0</v>
      </c>
      <c r="N24" s="51">
        <v>3.0</v>
      </c>
      <c r="O24" s="51">
        <f t="shared" si="8"/>
        <v>6</v>
      </c>
      <c r="P24" s="80">
        <v>0.25</v>
      </c>
      <c r="Q24" s="81">
        <f>H22*P24</f>
        <v>164859.45</v>
      </c>
      <c r="R24" s="82" t="s">
        <v>44</v>
      </c>
      <c r="S24" s="83">
        <v>0.34</v>
      </c>
      <c r="T24" s="74"/>
      <c r="U24" s="74"/>
      <c r="V24" s="83">
        <f t="shared" si="5"/>
        <v>47.25</v>
      </c>
      <c r="W24" s="51">
        <f t="shared" si="6"/>
        <v>484880.7353</v>
      </c>
      <c r="X24" s="74"/>
      <c r="Y24" s="74"/>
      <c r="Z24" s="84">
        <f t="shared" si="7"/>
        <v>3489088.889</v>
      </c>
      <c r="AA24" s="61"/>
      <c r="AC24" s="60"/>
      <c r="AF24" s="32"/>
      <c r="AG24" s="77">
        <v>164859.44999999998</v>
      </c>
      <c r="AJ24" s="32"/>
      <c r="AK24" s="61"/>
      <c r="AL24" s="60"/>
      <c r="AM24" s="60"/>
      <c r="AN24" s="62"/>
      <c r="AO24" s="61"/>
      <c r="AP24" s="60"/>
      <c r="AQ24" s="60"/>
      <c r="AR24" s="62"/>
      <c r="AS24" s="61"/>
      <c r="AT24" s="60"/>
      <c r="AU24" s="60"/>
      <c r="AV24" s="62"/>
      <c r="AW24" s="61"/>
      <c r="AX24" s="62"/>
      <c r="AY24" s="63">
        <f>AG24</f>
        <v>164859.45</v>
      </c>
    </row>
    <row r="25" ht="7.5" customHeight="1">
      <c r="A25" s="64"/>
      <c r="B25" s="64"/>
      <c r="C25" s="112"/>
      <c r="D25" s="112"/>
      <c r="E25" s="113"/>
      <c r="F25" s="114"/>
      <c r="G25" s="115"/>
      <c r="H25" s="114"/>
      <c r="I25" s="114"/>
      <c r="J25" s="114"/>
      <c r="K25" s="116"/>
      <c r="L25" s="117"/>
      <c r="M25" s="118"/>
      <c r="N25" s="118"/>
      <c r="O25" s="91"/>
      <c r="P25" s="117"/>
      <c r="Q25" s="119"/>
      <c r="R25" s="120"/>
      <c r="S25" s="121"/>
      <c r="T25" s="121"/>
      <c r="U25" s="121"/>
      <c r="V25" s="121"/>
      <c r="W25" s="118"/>
      <c r="X25" s="121"/>
      <c r="Y25" s="121"/>
      <c r="Z25" s="122"/>
      <c r="AA25" s="123"/>
      <c r="AB25" s="124"/>
      <c r="AC25" s="124"/>
      <c r="AD25" s="124"/>
      <c r="AE25" s="124"/>
      <c r="AF25" s="125"/>
      <c r="AG25" s="123"/>
      <c r="AH25" s="124"/>
      <c r="AI25" s="124"/>
      <c r="AJ25" s="125"/>
      <c r="AK25" s="123"/>
      <c r="AL25" s="124"/>
      <c r="AM25" s="124"/>
      <c r="AN25" s="125"/>
      <c r="AO25" s="123"/>
      <c r="AP25" s="124"/>
      <c r="AQ25" s="124"/>
      <c r="AR25" s="125"/>
      <c r="AS25" s="123"/>
      <c r="AT25" s="124"/>
      <c r="AU25" s="124"/>
      <c r="AV25" s="125"/>
      <c r="AW25" s="123"/>
      <c r="AX25" s="125"/>
      <c r="AY25" s="124"/>
      <c r="AZ25" s="124"/>
    </row>
    <row r="26" ht="15.75" customHeight="1">
      <c r="A26" s="64"/>
      <c r="B26" s="64"/>
      <c r="C26" s="69" t="s">
        <v>84</v>
      </c>
      <c r="D26" s="70">
        <v>0.4</v>
      </c>
      <c r="E26" s="71">
        <f>B5*D26</f>
        <v>879250.4</v>
      </c>
      <c r="F26" s="161" t="s">
        <v>135</v>
      </c>
      <c r="G26" s="72">
        <v>0.46</v>
      </c>
      <c r="H26" s="48">
        <f>E26*G26</f>
        <v>404455.184</v>
      </c>
      <c r="I26" s="46" t="s">
        <v>53</v>
      </c>
      <c r="J26" s="126" t="s">
        <v>86</v>
      </c>
      <c r="K26" s="45" t="s">
        <v>87</v>
      </c>
      <c r="L26" s="73" t="s">
        <v>56</v>
      </c>
      <c r="M26" s="51">
        <v>1.0</v>
      </c>
      <c r="N26" s="51">
        <v>1.0</v>
      </c>
      <c r="O26" s="51">
        <f t="shared" ref="O26:O30" si="9">M26*N26</f>
        <v>1</v>
      </c>
      <c r="P26" s="80">
        <v>0.2</v>
      </c>
      <c r="Q26" s="81">
        <f>H26*P26</f>
        <v>80891.0368</v>
      </c>
      <c r="R26" s="127" t="s">
        <v>88</v>
      </c>
      <c r="S26" s="74"/>
      <c r="T26" s="74"/>
      <c r="U26" s="74"/>
      <c r="V26" s="83">
        <v>2.5</v>
      </c>
      <c r="W26" s="74"/>
      <c r="X26" s="74"/>
      <c r="Y26" s="74"/>
      <c r="Z26" s="84">
        <f t="shared" ref="Z26:Z27" si="10">Q26/V26*1000</f>
        <v>32356414.72</v>
      </c>
      <c r="AA26" s="59">
        <f>Q26</f>
        <v>80891.0368</v>
      </c>
      <c r="AC26" s="77"/>
      <c r="AD26" s="77"/>
      <c r="AE26" s="77"/>
      <c r="AF26" s="128"/>
      <c r="AG26" s="61"/>
      <c r="AH26" s="60"/>
      <c r="AI26" s="60"/>
      <c r="AJ26" s="62"/>
      <c r="AK26" s="61"/>
      <c r="AL26" s="60"/>
      <c r="AM26" s="60"/>
      <c r="AN26" s="62"/>
      <c r="AO26" s="61"/>
      <c r="AP26" s="60"/>
      <c r="AQ26" s="60"/>
      <c r="AR26" s="62"/>
      <c r="AS26" s="61"/>
      <c r="AT26" s="60"/>
      <c r="AU26" s="60"/>
      <c r="AV26" s="62"/>
      <c r="AW26" s="61"/>
      <c r="AX26" s="62"/>
      <c r="AY26" s="63">
        <f>AA26</f>
        <v>80891.0368</v>
      </c>
      <c r="AZ26" s="60"/>
    </row>
    <row r="27" ht="15.75" customHeight="1">
      <c r="A27" s="64"/>
      <c r="B27" s="64"/>
      <c r="C27" s="64"/>
      <c r="D27" s="64"/>
      <c r="E27" s="64"/>
      <c r="F27" s="64"/>
      <c r="G27" s="64"/>
      <c r="H27" s="64"/>
      <c r="I27" s="64"/>
      <c r="J27" s="46" t="s">
        <v>89</v>
      </c>
      <c r="K27" s="45" t="s">
        <v>90</v>
      </c>
      <c r="L27" s="73" t="s">
        <v>63</v>
      </c>
      <c r="M27" s="51">
        <v>1.0</v>
      </c>
      <c r="N27" s="51">
        <v>2.0</v>
      </c>
      <c r="O27" s="51">
        <f t="shared" si="9"/>
        <v>2</v>
      </c>
      <c r="P27" s="52">
        <v>0.2</v>
      </c>
      <c r="Q27" s="53">
        <f>H26*P27</f>
        <v>80891.0368</v>
      </c>
      <c r="R27" s="129" t="s">
        <v>141</v>
      </c>
      <c r="S27" s="57">
        <v>0.5</v>
      </c>
      <c r="T27" s="74"/>
      <c r="U27" s="74"/>
      <c r="V27" s="57">
        <v>2.5</v>
      </c>
      <c r="W27" s="75">
        <f>Q27/S27</f>
        <v>161782.0736</v>
      </c>
      <c r="X27" s="74"/>
      <c r="Y27" s="74"/>
      <c r="Z27" s="76">
        <f t="shared" si="10"/>
        <v>32356414.72</v>
      </c>
      <c r="AA27" s="61"/>
      <c r="AC27" s="77">
        <f>Q27</f>
        <v>80891.0368</v>
      </c>
      <c r="AF27" s="32"/>
      <c r="AG27" s="61"/>
      <c r="AH27" s="60"/>
      <c r="AI27" s="60"/>
      <c r="AJ27" s="62"/>
      <c r="AK27" s="61"/>
      <c r="AL27" s="60"/>
      <c r="AM27" s="60"/>
      <c r="AN27" s="62"/>
      <c r="AO27" s="61"/>
      <c r="AP27" s="60"/>
      <c r="AQ27" s="60"/>
      <c r="AR27" s="62"/>
      <c r="AS27" s="61"/>
      <c r="AT27" s="60"/>
      <c r="AU27" s="60"/>
      <c r="AV27" s="62"/>
      <c r="AW27" s="61"/>
      <c r="AX27" s="62"/>
      <c r="AY27" s="63">
        <f>AC27</f>
        <v>80891.0368</v>
      </c>
    </row>
    <row r="28" ht="15.75" customHeight="1">
      <c r="A28" s="64"/>
      <c r="B28" s="64"/>
      <c r="C28" s="64"/>
      <c r="D28" s="64"/>
      <c r="E28" s="64"/>
      <c r="F28" s="64"/>
      <c r="G28" s="64"/>
      <c r="H28" s="64"/>
      <c r="I28" s="65"/>
      <c r="J28" s="64"/>
      <c r="K28" s="45" t="s">
        <v>92</v>
      </c>
      <c r="L28" s="73" t="s">
        <v>63</v>
      </c>
      <c r="M28" s="51">
        <v>1.0</v>
      </c>
      <c r="N28" s="51">
        <v>2.0</v>
      </c>
      <c r="O28" s="51">
        <f t="shared" si="9"/>
        <v>2</v>
      </c>
      <c r="P28" s="65"/>
      <c r="Q28" s="65"/>
      <c r="R28" s="65"/>
      <c r="S28" s="65"/>
      <c r="T28" s="74"/>
      <c r="U28" s="74"/>
      <c r="V28" s="65"/>
      <c r="W28" s="65"/>
      <c r="X28" s="74"/>
      <c r="Y28" s="74"/>
      <c r="Z28" s="78"/>
      <c r="AA28" s="66"/>
      <c r="AF28" s="32"/>
      <c r="AG28" s="61"/>
      <c r="AH28" s="60"/>
      <c r="AI28" s="60"/>
      <c r="AJ28" s="62"/>
      <c r="AK28" s="61"/>
      <c r="AL28" s="60"/>
      <c r="AM28" s="60"/>
      <c r="AN28" s="62"/>
      <c r="AO28" s="61"/>
      <c r="AP28" s="60"/>
      <c r="AQ28" s="60"/>
      <c r="AR28" s="62"/>
      <c r="AS28" s="61"/>
      <c r="AT28" s="60"/>
      <c r="AU28" s="60"/>
      <c r="AV28" s="62"/>
      <c r="AW28" s="61"/>
      <c r="AX28" s="62"/>
    </row>
    <row r="29" ht="15.75" customHeight="1">
      <c r="A29" s="64"/>
      <c r="B29" s="64"/>
      <c r="C29" s="64"/>
      <c r="D29" s="64"/>
      <c r="E29" s="64"/>
      <c r="F29" s="64"/>
      <c r="G29" s="64"/>
      <c r="H29" s="64"/>
      <c r="I29" s="46" t="s">
        <v>65</v>
      </c>
      <c r="J29" s="64"/>
      <c r="K29" s="45" t="s">
        <v>93</v>
      </c>
      <c r="L29" s="73" t="s">
        <v>63</v>
      </c>
      <c r="M29" s="51">
        <v>1.0</v>
      </c>
      <c r="N29" s="51">
        <v>4.0</v>
      </c>
      <c r="O29" s="51">
        <f t="shared" si="9"/>
        <v>4</v>
      </c>
      <c r="P29" s="52">
        <v>0.3</v>
      </c>
      <c r="Q29" s="53">
        <f>H26*P29</f>
        <v>121336.5552</v>
      </c>
      <c r="R29" s="129" t="s">
        <v>142</v>
      </c>
      <c r="S29" s="57">
        <v>0.5</v>
      </c>
      <c r="T29" s="74"/>
      <c r="U29" s="74"/>
      <c r="V29" s="57">
        <v>2.5</v>
      </c>
      <c r="W29" s="75">
        <f>Q29/S29</f>
        <v>242673.1104</v>
      </c>
      <c r="X29" s="74"/>
      <c r="Y29" s="74"/>
      <c r="Z29" s="76">
        <f>Q29/V29*1000</f>
        <v>48534622.08</v>
      </c>
      <c r="AA29" s="61"/>
      <c r="AB29" s="60"/>
      <c r="AC29" s="60"/>
      <c r="AD29" s="60"/>
      <c r="AE29" s="60"/>
      <c r="AF29" s="62"/>
      <c r="AG29" s="79">
        <v>30334.1388</v>
      </c>
      <c r="AJ29" s="32"/>
      <c r="AK29" s="79">
        <v>40334.1388</v>
      </c>
      <c r="AN29" s="32"/>
      <c r="AO29" s="79">
        <v>30334.1388</v>
      </c>
      <c r="AR29" s="32"/>
      <c r="AS29" s="79">
        <v>20334.1388</v>
      </c>
      <c r="AV29" s="32"/>
      <c r="AW29" s="61"/>
      <c r="AX29" s="62"/>
      <c r="AY29" s="63">
        <f>AG29+AK29+AO29+AS29</f>
        <v>121336.5552</v>
      </c>
    </row>
    <row r="30" ht="15.75" customHeight="1">
      <c r="A30" s="64"/>
      <c r="B30" s="64"/>
      <c r="C30" s="64"/>
      <c r="D30" s="64"/>
      <c r="E30" s="64"/>
      <c r="F30" s="64"/>
      <c r="G30" s="64"/>
      <c r="H30" s="64"/>
      <c r="I30" s="64"/>
      <c r="J30" s="64"/>
      <c r="K30" s="45" t="s">
        <v>95</v>
      </c>
      <c r="L30" s="73" t="s">
        <v>63</v>
      </c>
      <c r="M30" s="51">
        <v>1.0</v>
      </c>
      <c r="N30" s="51">
        <v>4.0</v>
      </c>
      <c r="O30" s="51">
        <f t="shared" si="9"/>
        <v>4</v>
      </c>
      <c r="P30" s="65"/>
      <c r="Q30" s="65"/>
      <c r="R30" s="65"/>
      <c r="S30" s="65"/>
      <c r="T30" s="74"/>
      <c r="U30" s="74"/>
      <c r="V30" s="65"/>
      <c r="W30" s="65"/>
      <c r="X30" s="74"/>
      <c r="Y30" s="74"/>
      <c r="Z30" s="78"/>
      <c r="AA30" s="61"/>
      <c r="AB30" s="60"/>
      <c r="AC30" s="60"/>
      <c r="AD30" s="60"/>
      <c r="AE30" s="60"/>
      <c r="AF30" s="62"/>
      <c r="AG30" s="66"/>
      <c r="AJ30" s="32"/>
      <c r="AK30" s="66"/>
      <c r="AN30" s="32"/>
      <c r="AO30" s="66"/>
      <c r="AR30" s="32"/>
      <c r="AS30" s="66"/>
      <c r="AV30" s="32"/>
      <c r="AW30" s="61"/>
      <c r="AX30" s="62"/>
    </row>
    <row r="31" ht="28.5" customHeight="1">
      <c r="A31" s="64"/>
      <c r="B31" s="64"/>
      <c r="C31" s="64"/>
      <c r="D31" s="64"/>
      <c r="E31" s="64"/>
      <c r="F31" s="64"/>
      <c r="G31" s="65"/>
      <c r="H31" s="65"/>
      <c r="I31" s="65"/>
      <c r="J31" s="64"/>
      <c r="K31" s="45" t="s">
        <v>143</v>
      </c>
      <c r="L31" s="73">
        <v>15.0</v>
      </c>
      <c r="M31" s="51" t="s">
        <v>70</v>
      </c>
      <c r="N31" s="51" t="s">
        <v>70</v>
      </c>
      <c r="O31" s="51" t="s">
        <v>70</v>
      </c>
      <c r="P31" s="80">
        <v>0.3</v>
      </c>
      <c r="Q31" s="81">
        <f>H26*P31</f>
        <v>121336.5552</v>
      </c>
      <c r="R31" s="127" t="s">
        <v>96</v>
      </c>
      <c r="S31" s="83">
        <v>0.5</v>
      </c>
      <c r="T31" s="74"/>
      <c r="U31" s="74"/>
      <c r="V31" s="83">
        <v>2.5</v>
      </c>
      <c r="W31" s="51">
        <f>Q31/S31</f>
        <v>242673.1104</v>
      </c>
      <c r="X31" s="74"/>
      <c r="Y31" s="74"/>
      <c r="Z31" s="84">
        <f>Q31/V31*1000</f>
        <v>48534622.08</v>
      </c>
      <c r="AA31" s="61"/>
      <c r="AB31" s="60"/>
      <c r="AC31" s="60"/>
      <c r="AD31" s="60"/>
      <c r="AE31" s="60"/>
      <c r="AF31" s="62"/>
      <c r="AG31" s="85">
        <f>Q31/3</f>
        <v>40445.5184</v>
      </c>
      <c r="AJ31" s="32"/>
      <c r="AK31" s="85">
        <f>Q31/3</f>
        <v>40445.5184</v>
      </c>
      <c r="AN31" s="32"/>
      <c r="AO31" s="85">
        <v>40445.5184</v>
      </c>
      <c r="AR31" s="32"/>
      <c r="AS31" s="61"/>
      <c r="AV31" s="32"/>
      <c r="AW31" s="61"/>
      <c r="AX31" s="62"/>
      <c r="AY31" s="63">
        <f>AK31+AO31+AS31+AG31</f>
        <v>121336.5552</v>
      </c>
    </row>
    <row r="32" ht="15.75" customHeight="1">
      <c r="A32" s="64"/>
      <c r="B32" s="64"/>
      <c r="C32" s="64"/>
      <c r="D32" s="64"/>
      <c r="E32" s="64"/>
      <c r="F32" s="102" t="s">
        <v>97</v>
      </c>
      <c r="G32" s="130">
        <v>0.2</v>
      </c>
      <c r="H32" s="131">
        <f>E26*G32</f>
        <v>175850.08</v>
      </c>
      <c r="I32" s="132" t="s">
        <v>98</v>
      </c>
      <c r="J32" s="43" t="s">
        <v>99</v>
      </c>
      <c r="K32" s="45" t="s">
        <v>100</v>
      </c>
      <c r="L32" s="82" t="s">
        <v>101</v>
      </c>
      <c r="M32" s="51">
        <v>1.0</v>
      </c>
      <c r="N32" s="51">
        <v>5.0</v>
      </c>
      <c r="O32" s="51">
        <f t="shared" ref="O32:O33" si="11">M32*N32</f>
        <v>5</v>
      </c>
      <c r="P32" s="80">
        <v>1.0</v>
      </c>
      <c r="Q32" s="81">
        <f t="shared" ref="Q32:Q33" si="12">H32*P32</f>
        <v>175850.08</v>
      </c>
      <c r="R32" s="82" t="s">
        <v>102</v>
      </c>
      <c r="S32" s="74"/>
      <c r="T32" s="74"/>
      <c r="U32" s="83">
        <v>1.2</v>
      </c>
      <c r="V32" s="74"/>
      <c r="W32" s="133"/>
      <c r="X32" s="74"/>
      <c r="Y32" s="51">
        <f t="shared" ref="Y32:Y33" si="13">Q32/U32</f>
        <v>146541.7333</v>
      </c>
      <c r="Z32" s="74"/>
      <c r="AA32" s="61"/>
      <c r="AC32" s="134">
        <v>55340.0</v>
      </c>
      <c r="AF32" s="32"/>
      <c r="AG32" s="135">
        <v>50170.016</v>
      </c>
      <c r="AJ32" s="32"/>
      <c r="AK32" s="135">
        <v>35170.016</v>
      </c>
      <c r="AN32" s="32"/>
      <c r="AO32" s="135">
        <v>35170.016</v>
      </c>
      <c r="AR32" s="32"/>
      <c r="AS32" s="60"/>
      <c r="AW32" s="61"/>
      <c r="AX32" s="62"/>
      <c r="AY32" s="63">
        <f>AC32+AG32+AK32+AO32+AS32</f>
        <v>175850.048</v>
      </c>
    </row>
    <row r="33" ht="15.75" customHeight="1">
      <c r="A33" s="64"/>
      <c r="B33" s="64"/>
      <c r="C33" s="64"/>
      <c r="D33" s="64"/>
      <c r="E33" s="64"/>
      <c r="F33" s="43" t="s">
        <v>103</v>
      </c>
      <c r="G33" s="136">
        <v>0.08</v>
      </c>
      <c r="H33" s="131">
        <f>E26*G33</f>
        <v>70340.032</v>
      </c>
      <c r="I33" s="132" t="s">
        <v>98</v>
      </c>
      <c r="J33" s="45" t="s">
        <v>104</v>
      </c>
      <c r="K33" s="45" t="s">
        <v>104</v>
      </c>
      <c r="L33" s="82" t="s">
        <v>101</v>
      </c>
      <c r="M33" s="51">
        <v>1.0</v>
      </c>
      <c r="N33" s="51">
        <v>5.0</v>
      </c>
      <c r="O33" s="51">
        <f t="shared" si="11"/>
        <v>5</v>
      </c>
      <c r="P33" s="80">
        <v>1.0</v>
      </c>
      <c r="Q33" s="81">
        <f t="shared" si="12"/>
        <v>70340.032</v>
      </c>
      <c r="R33" s="82" t="s">
        <v>102</v>
      </c>
      <c r="S33" s="74"/>
      <c r="T33" s="74"/>
      <c r="U33" s="83">
        <v>0.45</v>
      </c>
      <c r="V33" s="74"/>
      <c r="W33" s="133"/>
      <c r="X33" s="74"/>
      <c r="Y33" s="51">
        <f t="shared" si="13"/>
        <v>156311.1822</v>
      </c>
      <c r="Z33" s="74"/>
      <c r="AA33" s="61"/>
      <c r="AB33" s="60"/>
      <c r="AC33" s="134">
        <f>Q33/3</f>
        <v>23446.67733</v>
      </c>
      <c r="AF33" s="32"/>
      <c r="AG33" s="135">
        <v>23446.677333333337</v>
      </c>
      <c r="AJ33" s="32"/>
      <c r="AK33" s="135">
        <v>23446.677333333337</v>
      </c>
      <c r="AN33" s="32"/>
      <c r="AO33" s="61"/>
      <c r="AP33" s="60"/>
      <c r="AQ33" s="60"/>
      <c r="AR33" s="62"/>
      <c r="AS33" s="61"/>
      <c r="AT33" s="60"/>
      <c r="AU33" s="60"/>
      <c r="AV33" s="62"/>
      <c r="AW33" s="61"/>
      <c r="AX33" s="62"/>
      <c r="AY33" s="63">
        <f>AG33+AK33+AC33</f>
        <v>70340.032</v>
      </c>
      <c r="AZ33" s="60"/>
    </row>
    <row r="34" ht="10.5" customHeight="1">
      <c r="A34" s="64"/>
      <c r="B34" s="64"/>
      <c r="C34" s="64"/>
      <c r="D34" s="64"/>
      <c r="E34" s="64"/>
      <c r="F34" s="89"/>
      <c r="G34" s="137"/>
      <c r="H34" s="138"/>
      <c r="I34" s="89"/>
      <c r="J34" s="89"/>
      <c r="K34" s="89"/>
      <c r="L34" s="93"/>
      <c r="M34" s="91"/>
      <c r="N34" s="91"/>
      <c r="O34" s="91"/>
      <c r="P34" s="90"/>
      <c r="Q34" s="92"/>
      <c r="R34" s="93"/>
      <c r="S34" s="94"/>
      <c r="T34" s="94"/>
      <c r="U34" s="94"/>
      <c r="V34" s="94"/>
      <c r="W34" s="91"/>
      <c r="X34" s="94"/>
      <c r="Y34" s="94"/>
      <c r="Z34" s="95"/>
      <c r="AA34" s="96"/>
      <c r="AB34" s="97"/>
      <c r="AC34" s="97"/>
      <c r="AD34" s="97"/>
      <c r="AE34" s="97"/>
      <c r="AF34" s="98"/>
      <c r="AG34" s="96"/>
      <c r="AH34" s="97"/>
      <c r="AI34" s="97"/>
      <c r="AJ34" s="98"/>
      <c r="AK34" s="96"/>
      <c r="AL34" s="97"/>
      <c r="AM34" s="97"/>
      <c r="AN34" s="98"/>
      <c r="AO34" s="96"/>
      <c r="AP34" s="97"/>
      <c r="AQ34" s="97"/>
      <c r="AR34" s="98"/>
      <c r="AS34" s="96"/>
      <c r="AT34" s="97"/>
      <c r="AU34" s="97"/>
      <c r="AV34" s="98"/>
      <c r="AW34" s="96"/>
      <c r="AX34" s="98"/>
      <c r="AY34" s="97"/>
      <c r="AZ34" s="97"/>
    </row>
    <row r="35" ht="15.75" customHeight="1">
      <c r="A35" s="64"/>
      <c r="B35" s="64"/>
      <c r="C35" s="64"/>
      <c r="D35" s="64"/>
      <c r="E35" s="64"/>
      <c r="F35" s="46" t="s">
        <v>105</v>
      </c>
      <c r="G35" s="72">
        <v>0.06</v>
      </c>
      <c r="H35" s="48">
        <f>E26*G35</f>
        <v>52755.024</v>
      </c>
      <c r="I35" s="46" t="s">
        <v>71</v>
      </c>
      <c r="J35" s="46" t="s">
        <v>106</v>
      </c>
      <c r="K35" s="45" t="s">
        <v>107</v>
      </c>
      <c r="L35" s="82" t="s">
        <v>108</v>
      </c>
      <c r="M35" s="51">
        <v>2.0</v>
      </c>
      <c r="N35" s="51">
        <v>3.0</v>
      </c>
      <c r="O35" s="51">
        <f t="shared" ref="O35:O37" si="14">M35*N35</f>
        <v>6</v>
      </c>
      <c r="P35" s="52">
        <v>1.0</v>
      </c>
      <c r="Q35" s="53">
        <f>H35*P35</f>
        <v>52755.024</v>
      </c>
      <c r="R35" s="54" t="s">
        <v>59</v>
      </c>
      <c r="S35" s="74"/>
      <c r="T35" s="74"/>
      <c r="U35" s="74"/>
      <c r="V35" s="57">
        <f>45/18.77</f>
        <v>2.397442728</v>
      </c>
      <c r="W35" s="133"/>
      <c r="X35" s="74"/>
      <c r="Y35" s="74"/>
      <c r="Z35" s="76">
        <f>Q35/V35*1000</f>
        <v>22004706.68</v>
      </c>
      <c r="AA35" s="61"/>
      <c r="AC35" s="60"/>
      <c r="AF35" s="32"/>
      <c r="AG35" s="61"/>
      <c r="AJ35" s="32"/>
      <c r="AK35" s="139">
        <v>36377.512</v>
      </c>
      <c r="AN35" s="32"/>
      <c r="AO35" s="61"/>
      <c r="AR35" s="32"/>
      <c r="AS35" s="139">
        <v>10377.512</v>
      </c>
      <c r="AV35" s="32"/>
      <c r="AW35" s="139">
        <v>6378.0</v>
      </c>
      <c r="AX35" s="32"/>
      <c r="AY35" s="63">
        <f>AK35+AS35+AW35</f>
        <v>53133.024</v>
      </c>
    </row>
    <row r="36" ht="15.75" customHeight="1">
      <c r="A36" s="64"/>
      <c r="B36" s="64"/>
      <c r="C36" s="64"/>
      <c r="D36" s="64"/>
      <c r="E36" s="64"/>
      <c r="F36" s="64"/>
      <c r="G36" s="64"/>
      <c r="H36" s="64"/>
      <c r="I36" s="64"/>
      <c r="J36" s="64"/>
      <c r="K36" s="45" t="s">
        <v>107</v>
      </c>
      <c r="L36" s="82" t="s">
        <v>108</v>
      </c>
      <c r="M36" s="51">
        <v>2.0</v>
      </c>
      <c r="N36" s="51">
        <v>3.0</v>
      </c>
      <c r="O36" s="51">
        <f t="shared" si="14"/>
        <v>6</v>
      </c>
      <c r="P36" s="64"/>
      <c r="Q36" s="64"/>
      <c r="R36" s="64"/>
      <c r="S36" s="74"/>
      <c r="T36" s="74"/>
      <c r="U36" s="74"/>
      <c r="V36" s="64"/>
      <c r="W36" s="133"/>
      <c r="X36" s="74"/>
      <c r="Y36" s="74"/>
      <c r="Z36" s="108"/>
      <c r="AA36" s="61"/>
      <c r="AC36" s="60"/>
      <c r="AF36" s="32"/>
      <c r="AG36" s="61"/>
      <c r="AJ36" s="32"/>
      <c r="AK36" s="66"/>
      <c r="AN36" s="32"/>
      <c r="AO36" s="61"/>
      <c r="AR36" s="32"/>
      <c r="AS36" s="66"/>
      <c r="AV36" s="32"/>
      <c r="AW36" s="66"/>
      <c r="AX36" s="32"/>
    </row>
    <row r="37" ht="15.75" customHeight="1">
      <c r="A37" s="64"/>
      <c r="B37" s="64"/>
      <c r="C37" s="64"/>
      <c r="D37" s="64"/>
      <c r="E37" s="64"/>
      <c r="F37" s="65"/>
      <c r="G37" s="65"/>
      <c r="H37" s="65"/>
      <c r="I37" s="65"/>
      <c r="J37" s="65"/>
      <c r="K37" s="45" t="s">
        <v>109</v>
      </c>
      <c r="L37" s="82" t="s">
        <v>108</v>
      </c>
      <c r="M37" s="51">
        <v>2.0</v>
      </c>
      <c r="N37" s="51">
        <v>3.0</v>
      </c>
      <c r="O37" s="51">
        <f t="shared" si="14"/>
        <v>6</v>
      </c>
      <c r="P37" s="65"/>
      <c r="Q37" s="65"/>
      <c r="R37" s="65"/>
      <c r="S37" s="74"/>
      <c r="T37" s="74"/>
      <c r="U37" s="74"/>
      <c r="V37" s="65"/>
      <c r="W37" s="133"/>
      <c r="X37" s="74"/>
      <c r="Y37" s="74"/>
      <c r="Z37" s="78"/>
      <c r="AA37" s="140"/>
      <c r="AB37" s="141"/>
      <c r="AC37" s="142"/>
      <c r="AD37" s="141"/>
      <c r="AE37" s="141"/>
      <c r="AF37" s="143"/>
      <c r="AG37" s="61"/>
      <c r="AJ37" s="32"/>
      <c r="AK37" s="66"/>
      <c r="AN37" s="32"/>
      <c r="AO37" s="61"/>
      <c r="AR37" s="32"/>
      <c r="AS37" s="66"/>
      <c r="AV37" s="32"/>
      <c r="AW37" s="66"/>
      <c r="AX37" s="32"/>
    </row>
    <row r="38" ht="12.0" customHeight="1">
      <c r="A38" s="64"/>
      <c r="B38" s="64"/>
      <c r="C38" s="64"/>
      <c r="D38" s="64"/>
      <c r="E38" s="64"/>
      <c r="F38" s="89"/>
      <c r="G38" s="137"/>
      <c r="H38" s="138"/>
      <c r="I38" s="144"/>
      <c r="J38" s="89"/>
      <c r="K38" s="89"/>
      <c r="L38" s="93"/>
      <c r="M38" s="91"/>
      <c r="N38" s="91"/>
      <c r="O38" s="91"/>
      <c r="P38" s="90"/>
      <c r="Q38" s="92"/>
      <c r="R38" s="93"/>
      <c r="S38" s="94"/>
      <c r="T38" s="94"/>
      <c r="U38" s="94"/>
      <c r="V38" s="94"/>
      <c r="W38" s="91"/>
      <c r="X38" s="94"/>
      <c r="Y38" s="91"/>
      <c r="Z38" s="91"/>
      <c r="AA38" s="97"/>
      <c r="AB38" s="97"/>
      <c r="AC38" s="97"/>
      <c r="AD38" s="97"/>
      <c r="AE38" s="97"/>
      <c r="AF38" s="97"/>
      <c r="AG38" s="96"/>
      <c r="AH38" s="97"/>
      <c r="AI38" s="97"/>
      <c r="AJ38" s="98"/>
      <c r="AK38" s="96"/>
      <c r="AL38" s="97"/>
      <c r="AM38" s="97"/>
      <c r="AN38" s="98"/>
      <c r="AO38" s="96"/>
      <c r="AP38" s="97"/>
      <c r="AQ38" s="97"/>
      <c r="AR38" s="98"/>
      <c r="AS38" s="96"/>
      <c r="AT38" s="97"/>
      <c r="AU38" s="97"/>
      <c r="AV38" s="98"/>
      <c r="AW38" s="96"/>
      <c r="AX38" s="98"/>
      <c r="AY38" s="97"/>
      <c r="AZ38" s="97"/>
    </row>
    <row r="39" ht="15.75" customHeight="1">
      <c r="A39" s="65"/>
      <c r="B39" s="65"/>
      <c r="C39" s="65"/>
      <c r="D39" s="65"/>
      <c r="E39" s="65"/>
      <c r="F39" s="45" t="s">
        <v>110</v>
      </c>
      <c r="G39" s="136">
        <v>0.2</v>
      </c>
      <c r="H39" s="131">
        <f>E26*G39</f>
        <v>175850.08</v>
      </c>
      <c r="I39" s="102" t="s">
        <v>76</v>
      </c>
      <c r="J39" s="45" t="s">
        <v>111</v>
      </c>
      <c r="K39" s="45" t="s">
        <v>112</v>
      </c>
      <c r="L39" s="82" t="s">
        <v>113</v>
      </c>
      <c r="M39" s="51">
        <v>2.0</v>
      </c>
      <c r="N39" s="51">
        <v>2.0</v>
      </c>
      <c r="O39" s="51">
        <f>M39*N39</f>
        <v>4</v>
      </c>
      <c r="P39" s="80">
        <v>1.0</v>
      </c>
      <c r="Q39" s="81">
        <f>H39*P39</f>
        <v>175850.08</v>
      </c>
      <c r="R39" s="82" t="s">
        <v>114</v>
      </c>
      <c r="S39" s="74"/>
      <c r="T39" s="74"/>
      <c r="U39" s="74"/>
      <c r="V39" s="83">
        <v>4.85</v>
      </c>
      <c r="W39" s="133"/>
      <c r="X39" s="74"/>
      <c r="Y39" s="74"/>
      <c r="Z39" s="51">
        <f>Q39/V39*1000</f>
        <v>36257748.45</v>
      </c>
      <c r="AA39" s="77">
        <f>Q39/2</f>
        <v>87925.04</v>
      </c>
      <c r="AC39" s="77">
        <v>87925.04000000001</v>
      </c>
      <c r="AG39" s="140"/>
      <c r="AH39" s="141"/>
      <c r="AI39" s="141"/>
      <c r="AJ39" s="143"/>
      <c r="AK39" s="140"/>
      <c r="AL39" s="141"/>
      <c r="AM39" s="141"/>
      <c r="AN39" s="143"/>
      <c r="AO39" s="140"/>
      <c r="AP39" s="141"/>
      <c r="AQ39" s="141"/>
      <c r="AR39" s="143"/>
      <c r="AS39" s="140"/>
      <c r="AT39" s="141"/>
      <c r="AU39" s="141"/>
      <c r="AV39" s="143"/>
      <c r="AW39" s="140"/>
      <c r="AX39" s="143"/>
      <c r="AY39" s="63">
        <f>AA39+AC39</f>
        <v>175850.08</v>
      </c>
    </row>
    <row r="40" ht="15.75" customHeight="1">
      <c r="A40" s="145" t="s">
        <v>115</v>
      </c>
      <c r="B40" s="145"/>
      <c r="C40" s="145"/>
      <c r="D40" s="145"/>
      <c r="E40" s="146">
        <f>SUM(E13:E39)</f>
        <v>2198126</v>
      </c>
      <c r="F40" s="145"/>
      <c r="G40" s="145"/>
      <c r="H40" s="145"/>
      <c r="I40" s="145"/>
      <c r="J40" s="145"/>
      <c r="K40" s="145"/>
      <c r="L40" s="147"/>
      <c r="M40" s="147"/>
      <c r="N40" s="147"/>
      <c r="O40" s="148">
        <f>O13+O14+O15+O16+O18+O19+O21+O23+O24+O27+O28+O29+O30+O32+O35+O36+O37+O39</f>
        <v>74</v>
      </c>
      <c r="P40" s="147"/>
      <c r="Q40" s="149">
        <f>SUM(Q13:Q39)+Q11</f>
        <v>2198126</v>
      </c>
      <c r="R40" s="147"/>
      <c r="S40" s="150"/>
      <c r="T40" s="150"/>
      <c r="U40" s="150"/>
      <c r="V40" s="150"/>
      <c r="W40" s="151">
        <f>W13+W15+W17+W18+W27+W29+W31</f>
        <v>2405629.094</v>
      </c>
      <c r="X40" s="152"/>
      <c r="Y40" s="151">
        <f>Y32+Y33</f>
        <v>302852.9156</v>
      </c>
      <c r="Z40" s="151">
        <f>Z13+Z15+Z17+Z18+Z21+Z22+Z23+Z24+Z27+Z29+Z31+Z35+Z39+Z26+Z11</f>
        <v>343413784.3</v>
      </c>
      <c r="AA40" s="149">
        <f>AA39+AA26+AA11</f>
        <v>300703.6368</v>
      </c>
      <c r="AC40" s="149">
        <f>AC13+AC21+AC22+AC24+AC27+AC32+AC33+AC39</f>
        <v>624968.2451</v>
      </c>
      <c r="AG40" s="149">
        <f>AG15+AG17+AG22+AG24+AG29+AG31+AG32+AG33</f>
        <v>544176.8335</v>
      </c>
      <c r="AK40" s="149">
        <f>AK15+AK17+AK18+AK23+AK29+AK31+AK32+AK35+AK33</f>
        <v>378992.0845</v>
      </c>
      <c r="AO40" s="149">
        <f>AO15+AO17+AO23+AO29+AO31+AO32</f>
        <v>230035.3592</v>
      </c>
      <c r="AS40" s="149">
        <f>AS15+AS22+AS29+AS32+AS17+AS23+AS31</f>
        <v>63306.0288</v>
      </c>
      <c r="AW40" s="149">
        <f>AW35</f>
        <v>6378</v>
      </c>
      <c r="AY40" s="149">
        <f>AY11+AY13+AY15+AY17+AY18+AY21+AY22+AY23+AY24+AY26+AY27+AY29+AY31+AY32+AY33+AY35+AY39</f>
        <v>2198503.968</v>
      </c>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row>
    <row r="42" ht="15.75" customHeight="1">
      <c r="A42" s="3"/>
      <c r="B42" s="3"/>
      <c r="C42" s="3"/>
      <c r="D42" s="3"/>
      <c r="E42" s="3"/>
      <c r="F42" s="3"/>
      <c r="G42" s="3"/>
      <c r="H42" s="3"/>
      <c r="I42" s="3"/>
      <c r="J42" s="3"/>
      <c r="K42" s="3"/>
      <c r="L42" s="3"/>
      <c r="M42" s="3"/>
      <c r="N42" s="3"/>
      <c r="O42" s="3"/>
      <c r="P42" s="3"/>
      <c r="Q42" s="3"/>
      <c r="R42" s="3"/>
      <c r="S42" s="3"/>
      <c r="T42" s="3"/>
      <c r="U42" s="3"/>
      <c r="V42" s="3"/>
      <c r="W42" s="15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row>
    <row r="43" ht="15.75" customHeight="1">
      <c r="A43" s="3"/>
      <c r="B43" s="3"/>
      <c r="C43" s="3"/>
      <c r="D43" s="3"/>
      <c r="E43" s="3"/>
      <c r="F43" s="3"/>
      <c r="G43" s="3"/>
      <c r="H43" s="3"/>
      <c r="I43" s="3"/>
      <c r="J43" s="3"/>
      <c r="K43" s="3"/>
      <c r="L43" s="3"/>
      <c r="M43" s="3"/>
      <c r="N43" s="3"/>
      <c r="O43" s="3"/>
      <c r="P43" s="3"/>
      <c r="Q43" s="162"/>
      <c r="R43" s="162"/>
      <c r="S43" s="163"/>
      <c r="T43" s="163"/>
      <c r="U43" s="163"/>
      <c r="V43" s="163"/>
      <c r="W43" s="162"/>
      <c r="X43" s="162"/>
      <c r="Y43" s="162"/>
      <c r="Z43" s="162"/>
      <c r="AA43" s="162"/>
      <c r="AB43" s="162"/>
      <c r="AC43" s="162"/>
      <c r="AD43" s="3"/>
      <c r="AE43" s="3"/>
      <c r="AF43" s="3"/>
      <c r="AG43" s="3"/>
      <c r="AH43" s="3"/>
      <c r="AL43" s="3"/>
      <c r="AM43" s="3"/>
      <c r="AN43" s="3"/>
      <c r="AO43" s="3"/>
      <c r="AP43" s="3"/>
      <c r="AQ43" s="3"/>
      <c r="AR43" s="3"/>
      <c r="AS43" s="3"/>
      <c r="AT43" s="3"/>
      <c r="AU43" s="3"/>
      <c r="AV43" s="3"/>
      <c r="AW43" s="3"/>
      <c r="AX43" s="3"/>
      <c r="AY43" s="3"/>
      <c r="AZ43" s="3"/>
    </row>
    <row r="44" ht="15.75" customHeight="1">
      <c r="A44" s="3"/>
      <c r="B44" s="3"/>
      <c r="C44" s="3"/>
      <c r="D44" s="3"/>
      <c r="E44" s="3"/>
      <c r="F44" s="3"/>
      <c r="G44" s="3"/>
      <c r="H44" s="3"/>
      <c r="I44" s="3"/>
      <c r="J44" s="3"/>
      <c r="K44" s="3"/>
      <c r="L44" s="3"/>
      <c r="M44" s="3"/>
      <c r="N44" s="3"/>
      <c r="O44" s="3"/>
      <c r="P44" s="3"/>
      <c r="Q44" s="162"/>
      <c r="R44" s="162"/>
      <c r="S44" s="163"/>
      <c r="T44" s="163"/>
      <c r="U44" s="163"/>
      <c r="V44" s="163"/>
      <c r="W44" s="162"/>
      <c r="X44" s="162"/>
      <c r="Y44" s="162"/>
      <c r="Z44" s="162"/>
      <c r="AA44" s="162"/>
      <c r="AB44" s="162"/>
      <c r="AC44" s="162"/>
      <c r="AD44" s="163"/>
      <c r="AE44" s="3"/>
      <c r="AF44" s="3"/>
      <c r="AG44" s="3"/>
      <c r="AL44" s="3"/>
      <c r="AM44" s="3"/>
      <c r="AN44" s="3"/>
      <c r="AO44" s="3"/>
      <c r="AP44" s="3"/>
      <c r="AQ44" s="3"/>
      <c r="AR44" s="3"/>
      <c r="AS44" s="3"/>
      <c r="AT44" s="3"/>
      <c r="AU44" s="3"/>
      <c r="AV44" s="3"/>
      <c r="AW44" s="3"/>
      <c r="AX44" s="3"/>
      <c r="AY44" s="3"/>
      <c r="AZ44" s="3"/>
    </row>
    <row r="45" ht="15.75" customHeight="1">
      <c r="A45" s="3"/>
      <c r="B45" s="3"/>
      <c r="C45" s="3"/>
      <c r="D45" s="3"/>
      <c r="E45" s="3"/>
      <c r="F45" s="154"/>
      <c r="G45" s="3"/>
      <c r="H45" s="3"/>
      <c r="I45" s="3"/>
      <c r="J45" s="3"/>
      <c r="K45" s="3"/>
      <c r="L45" s="3"/>
      <c r="M45" s="3"/>
      <c r="N45" s="3"/>
      <c r="O45" s="3"/>
      <c r="P45" s="3"/>
      <c r="Q45" s="162"/>
      <c r="R45" s="162"/>
      <c r="S45" s="163"/>
      <c r="T45" s="163"/>
      <c r="U45" s="163"/>
      <c r="V45" s="163"/>
      <c r="W45" s="162"/>
      <c r="X45" s="162"/>
      <c r="Y45" s="162"/>
      <c r="Z45" s="162"/>
      <c r="AA45" s="164" t="s">
        <v>117</v>
      </c>
      <c r="AC45" s="162"/>
      <c r="AD45" s="163"/>
      <c r="AE45" s="3"/>
      <c r="AF45" s="3"/>
      <c r="AG45" s="3"/>
      <c r="AH45" s="3"/>
      <c r="AI45" s="3"/>
      <c r="AJ45" s="3"/>
      <c r="AK45" s="3"/>
      <c r="AL45" s="3"/>
      <c r="AM45" s="3"/>
      <c r="AN45" s="3"/>
      <c r="AO45" s="3"/>
      <c r="AP45" s="3"/>
      <c r="AQ45" s="3"/>
      <c r="AR45" s="3"/>
      <c r="AS45" s="3"/>
      <c r="AT45" s="3"/>
      <c r="AU45" s="3"/>
      <c r="AV45" s="3"/>
      <c r="AW45" s="3"/>
      <c r="AX45" s="3"/>
      <c r="AY45" s="3"/>
      <c r="AZ45" s="3"/>
    </row>
    <row r="46" ht="15.75" customHeight="1">
      <c r="A46" s="3"/>
      <c r="B46" s="3"/>
      <c r="C46" s="3"/>
      <c r="D46" s="155"/>
      <c r="E46" s="3"/>
      <c r="F46" s="3"/>
      <c r="G46" s="3"/>
      <c r="H46" s="3"/>
      <c r="I46" s="3"/>
      <c r="J46" s="3"/>
      <c r="K46" s="3"/>
      <c r="L46" s="3"/>
      <c r="M46" s="3"/>
      <c r="N46" s="3"/>
      <c r="O46" s="3"/>
      <c r="P46" s="3"/>
      <c r="Q46" s="162"/>
      <c r="R46" s="162"/>
      <c r="S46" s="163"/>
      <c r="T46" s="163"/>
      <c r="U46" s="163"/>
      <c r="V46" s="163"/>
      <c r="W46" s="162"/>
      <c r="X46" s="162"/>
      <c r="Y46" s="162"/>
      <c r="Z46" s="162" t="s">
        <v>118</v>
      </c>
      <c r="AA46" s="165">
        <f>AA40</f>
        <v>300703.6368</v>
      </c>
      <c r="AC46" s="162"/>
      <c r="AD46" s="163"/>
      <c r="AE46" s="3"/>
      <c r="AF46" s="3"/>
      <c r="AG46" s="3"/>
      <c r="AH46" s="3"/>
      <c r="AI46" s="3"/>
      <c r="AJ46" s="3"/>
      <c r="AK46" s="3"/>
      <c r="AL46" s="3"/>
      <c r="AM46" s="3"/>
      <c r="AN46" s="3"/>
      <c r="AO46" s="3"/>
      <c r="AP46" s="3"/>
      <c r="AQ46" s="3"/>
      <c r="AR46" s="3"/>
      <c r="AS46" s="3"/>
      <c r="AT46" s="3"/>
      <c r="AU46" s="3"/>
      <c r="AV46" s="3"/>
      <c r="AW46" s="3"/>
      <c r="AX46" s="3"/>
      <c r="AY46" s="3"/>
      <c r="AZ46" s="3"/>
    </row>
    <row r="47" ht="15.75" customHeight="1">
      <c r="A47" s="3"/>
      <c r="B47" s="3"/>
      <c r="C47" s="3"/>
      <c r="D47" s="156"/>
      <c r="E47" s="3"/>
      <c r="F47" s="3"/>
      <c r="G47" s="3"/>
      <c r="H47" s="3"/>
      <c r="I47" s="3"/>
      <c r="J47" s="3"/>
      <c r="K47" s="3"/>
      <c r="L47" s="3"/>
      <c r="M47" s="3" t="s">
        <v>9</v>
      </c>
      <c r="N47" s="3"/>
      <c r="O47" s="3"/>
      <c r="P47" s="3"/>
      <c r="Q47" s="166">
        <f>Q13+Q14+Q21+Q27+Q28+Q39+Q24</f>
        <v>698564.4428</v>
      </c>
      <c r="R47" s="162" t="s">
        <v>119</v>
      </c>
      <c r="S47" s="167">
        <f>Q47+Q48</f>
        <v>1607269.731</v>
      </c>
      <c r="T47" s="163"/>
      <c r="U47" s="163"/>
      <c r="V47" s="163"/>
      <c r="W47" s="162"/>
      <c r="X47" s="162"/>
      <c r="Y47" s="162"/>
      <c r="Z47" s="168" t="s">
        <v>138</v>
      </c>
      <c r="AA47" s="165">
        <f>AC40</f>
        <v>624968.2451</v>
      </c>
      <c r="AC47" s="162"/>
      <c r="AD47" s="163"/>
      <c r="AE47" s="3"/>
      <c r="AF47" s="3"/>
      <c r="AG47" s="3"/>
      <c r="AH47" s="3"/>
      <c r="AI47" s="3"/>
      <c r="AJ47" s="3"/>
      <c r="AK47" s="3"/>
      <c r="AL47" s="3"/>
      <c r="AM47" s="3"/>
      <c r="AN47" s="3"/>
      <c r="AO47" s="3"/>
      <c r="AP47" s="3"/>
      <c r="AQ47" s="3"/>
      <c r="AR47" s="3"/>
      <c r="AS47" s="3"/>
      <c r="AT47" s="3"/>
      <c r="AU47" s="3"/>
      <c r="AV47" s="3"/>
      <c r="AW47" s="3"/>
      <c r="AX47" s="3"/>
      <c r="AY47" s="3"/>
      <c r="AZ47" s="3"/>
    </row>
    <row r="48" ht="15.75" customHeight="1">
      <c r="A48" s="3"/>
      <c r="B48" s="155"/>
      <c r="C48" s="155"/>
      <c r="D48" s="156"/>
      <c r="E48" s="3"/>
      <c r="F48" s="3"/>
      <c r="G48" s="3"/>
      <c r="H48" s="3"/>
      <c r="I48" s="3"/>
      <c r="J48" s="3"/>
      <c r="K48" s="3"/>
      <c r="L48" s="3"/>
      <c r="M48" s="3" t="s">
        <v>121</v>
      </c>
      <c r="N48" s="3"/>
      <c r="O48" s="3"/>
      <c r="P48" s="3"/>
      <c r="Q48" s="166">
        <f>Q15+Q16+Q17+Q22+Q23+Q2+Q29+Q30+Q31</f>
        <v>908705.2884</v>
      </c>
      <c r="R48" s="162" t="s">
        <v>122</v>
      </c>
      <c r="S48" s="163"/>
      <c r="T48" s="163"/>
      <c r="U48" s="163"/>
      <c r="V48" s="163"/>
      <c r="W48" s="162"/>
      <c r="X48" s="162"/>
      <c r="Y48" s="162"/>
      <c r="Z48" s="162" t="s">
        <v>123</v>
      </c>
      <c r="AA48" s="165">
        <f>AG40</f>
        <v>544176.8335</v>
      </c>
      <c r="AC48" s="162"/>
      <c r="AD48" s="163"/>
      <c r="AE48" s="3"/>
      <c r="AF48" s="3"/>
      <c r="AG48" s="3"/>
      <c r="AH48" s="3"/>
      <c r="AI48" s="3"/>
      <c r="AJ48" s="3"/>
      <c r="AK48" s="3"/>
      <c r="AL48" s="3"/>
      <c r="AM48" s="3"/>
      <c r="AN48" s="3"/>
      <c r="AO48" s="3"/>
      <c r="AP48" s="3"/>
      <c r="AQ48" s="3"/>
      <c r="AR48" s="3"/>
      <c r="AS48" s="3"/>
      <c r="AT48" s="3"/>
      <c r="AU48" s="3"/>
      <c r="AV48" s="3"/>
      <c r="AW48" s="3"/>
      <c r="AX48" s="3"/>
      <c r="AY48" s="3"/>
      <c r="AZ48" s="3"/>
    </row>
    <row r="49" ht="15.75" customHeight="1">
      <c r="A49" s="3"/>
      <c r="B49" s="159"/>
      <c r="C49" s="159"/>
      <c r="D49" s="153"/>
      <c r="E49" s="3"/>
      <c r="F49" s="3"/>
      <c r="G49" s="156"/>
      <c r="H49" s="3"/>
      <c r="I49" s="3"/>
      <c r="J49" s="3"/>
      <c r="K49" s="3"/>
      <c r="L49" s="3"/>
      <c r="M49" s="3" t="s">
        <v>124</v>
      </c>
      <c r="N49" s="3"/>
      <c r="O49" s="3"/>
      <c r="P49" s="3"/>
      <c r="Q49" s="166">
        <f>Q18+Q19</f>
        <v>79132.536</v>
      </c>
      <c r="R49" s="162"/>
      <c r="S49" s="167">
        <f>Q48</f>
        <v>908705.2884</v>
      </c>
      <c r="T49" s="163"/>
      <c r="U49" s="163"/>
      <c r="V49" s="163"/>
      <c r="W49" s="162"/>
      <c r="X49" s="162"/>
      <c r="Y49" s="162"/>
      <c r="Z49" s="162" t="s">
        <v>125</v>
      </c>
      <c r="AA49" s="165">
        <f>AK40</f>
        <v>378992.0845</v>
      </c>
      <c r="AC49" s="162"/>
      <c r="AD49" s="163"/>
      <c r="AE49" s="3"/>
      <c r="AF49" s="3"/>
      <c r="AG49" s="3"/>
      <c r="AH49" s="3"/>
      <c r="AI49" s="3"/>
      <c r="AJ49" s="3"/>
      <c r="AK49" s="3"/>
      <c r="AL49" s="3"/>
      <c r="AM49" s="3"/>
      <c r="AN49" s="3"/>
      <c r="AO49" s="3"/>
      <c r="AP49" s="3"/>
      <c r="AQ49" s="3"/>
      <c r="AR49" s="3"/>
      <c r="AS49" s="3"/>
      <c r="AT49" s="3"/>
      <c r="AU49" s="3"/>
      <c r="AV49" s="3"/>
      <c r="AW49" s="3"/>
      <c r="AX49" s="3"/>
      <c r="AY49" s="3"/>
      <c r="AZ49" s="3"/>
    </row>
    <row r="50" ht="15.75" customHeight="1">
      <c r="A50" s="3"/>
      <c r="B50" s="159"/>
      <c r="C50" s="159"/>
      <c r="D50" s="153"/>
      <c r="E50" s="3"/>
      <c r="F50" s="3"/>
      <c r="G50" s="153"/>
      <c r="H50" s="3"/>
      <c r="I50" s="3"/>
      <c r="J50" s="3"/>
      <c r="K50" s="3"/>
      <c r="L50" s="3"/>
      <c r="M50" s="3" t="s">
        <v>126</v>
      </c>
      <c r="N50" s="3"/>
      <c r="O50" s="3"/>
      <c r="P50" s="3"/>
      <c r="Q50" s="166">
        <f>Q35+Q36+Q37</f>
        <v>52755.024</v>
      </c>
      <c r="R50" s="162" t="s">
        <v>127</v>
      </c>
      <c r="S50" s="163"/>
      <c r="T50" s="163"/>
      <c r="U50" s="163"/>
      <c r="V50" s="163"/>
      <c r="W50" s="162"/>
      <c r="X50" s="162"/>
      <c r="Y50" s="162"/>
      <c r="Z50" s="162" t="s">
        <v>128</v>
      </c>
      <c r="AA50" s="165">
        <f>AO40</f>
        <v>230035.3592</v>
      </c>
      <c r="AC50" s="162"/>
      <c r="AD50" s="163"/>
      <c r="AE50" s="3"/>
      <c r="AF50" s="3"/>
      <c r="AG50" s="3"/>
      <c r="AH50" s="3"/>
      <c r="AI50" s="3"/>
      <c r="AJ50" s="3"/>
      <c r="AK50" s="3"/>
      <c r="AL50" s="3"/>
      <c r="AM50" s="3"/>
      <c r="AN50" s="3"/>
      <c r="AO50" s="3"/>
      <c r="AP50" s="3"/>
      <c r="AQ50" s="3"/>
      <c r="AR50" s="3"/>
      <c r="AS50" s="3"/>
      <c r="AT50" s="3"/>
      <c r="AU50" s="3"/>
      <c r="AV50" s="3"/>
      <c r="AW50" s="3"/>
      <c r="AX50" s="3"/>
      <c r="AY50" s="3"/>
      <c r="AZ50" s="3"/>
    </row>
    <row r="51" ht="15.75" customHeight="1">
      <c r="A51" s="3"/>
      <c r="B51" s="159"/>
      <c r="C51" s="159"/>
      <c r="D51" s="153"/>
      <c r="E51" s="3"/>
      <c r="F51" s="3"/>
      <c r="G51" s="153"/>
      <c r="H51" s="3"/>
      <c r="I51" s="3"/>
      <c r="J51" s="3"/>
      <c r="K51" s="3"/>
      <c r="L51" s="3"/>
      <c r="M51" s="3" t="s">
        <v>129</v>
      </c>
      <c r="N51" s="3"/>
      <c r="O51" s="3"/>
      <c r="P51" s="3"/>
      <c r="Q51" s="166">
        <f>Q32</f>
        <v>175850.08</v>
      </c>
      <c r="R51" s="162" t="s">
        <v>130</v>
      </c>
      <c r="S51" s="163"/>
      <c r="T51" s="163"/>
      <c r="U51" s="163"/>
      <c r="V51" s="163"/>
      <c r="W51" s="162"/>
      <c r="X51" s="162"/>
      <c r="Y51" s="162"/>
      <c r="Z51" s="162" t="s">
        <v>131</v>
      </c>
      <c r="AA51" s="165">
        <f>AS40</f>
        <v>63306.0288</v>
      </c>
      <c r="AC51" s="162"/>
      <c r="AD51" s="163"/>
      <c r="AE51" s="3"/>
      <c r="AF51" s="3"/>
      <c r="AG51" s="3"/>
      <c r="AH51" s="3"/>
      <c r="AI51" s="3"/>
      <c r="AJ51" s="3"/>
      <c r="AK51" s="3"/>
      <c r="AL51" s="3"/>
      <c r="AM51" s="3"/>
      <c r="AN51" s="3"/>
      <c r="AO51" s="3"/>
      <c r="AP51" s="3"/>
      <c r="AQ51" s="3"/>
      <c r="AR51" s="3"/>
      <c r="AS51" s="3"/>
      <c r="AT51" s="3"/>
      <c r="AU51" s="3"/>
      <c r="AV51" s="3"/>
      <c r="AW51" s="3"/>
      <c r="AX51" s="3"/>
      <c r="AY51" s="3"/>
      <c r="AZ51" s="3"/>
    </row>
    <row r="52" ht="15.75" customHeight="1">
      <c r="A52" s="3"/>
      <c r="B52" s="159"/>
      <c r="C52" s="159"/>
      <c r="D52" s="153"/>
      <c r="E52" s="3"/>
      <c r="F52" s="3"/>
      <c r="G52" s="153"/>
      <c r="H52" s="3"/>
      <c r="I52" s="3"/>
      <c r="J52" s="3"/>
      <c r="K52" s="3"/>
      <c r="L52" s="3"/>
      <c r="M52" s="3"/>
      <c r="N52" s="3"/>
      <c r="O52" s="3"/>
      <c r="P52" s="3"/>
      <c r="Q52" s="169">
        <f>Q47+Q48+Q49+Q50+Q51</f>
        <v>1915007.371</v>
      </c>
      <c r="R52" s="162"/>
      <c r="S52" s="163"/>
      <c r="T52" s="163"/>
      <c r="U52" s="163"/>
      <c r="V52" s="163"/>
      <c r="W52" s="162"/>
      <c r="X52" s="162"/>
      <c r="Y52" s="162"/>
      <c r="Z52" s="162" t="s">
        <v>132</v>
      </c>
      <c r="AA52" s="165">
        <f>AW40</f>
        <v>6378</v>
      </c>
      <c r="AC52" s="162"/>
      <c r="AD52" s="163"/>
      <c r="AE52" s="3"/>
      <c r="AF52" s="3"/>
      <c r="AG52" s="3"/>
      <c r="AH52" s="3"/>
      <c r="AI52" s="3"/>
      <c r="AJ52" s="3"/>
      <c r="AK52" s="3"/>
      <c r="AL52" s="3"/>
      <c r="AM52" s="3"/>
      <c r="AN52" s="3"/>
      <c r="AO52" s="3"/>
      <c r="AP52" s="3"/>
      <c r="AQ52" s="3"/>
      <c r="AR52" s="3"/>
      <c r="AS52" s="3"/>
      <c r="AT52" s="3"/>
      <c r="AU52" s="3"/>
      <c r="AV52" s="3"/>
      <c r="AW52" s="3"/>
      <c r="AX52" s="3"/>
      <c r="AY52" s="3"/>
      <c r="AZ52" s="3"/>
    </row>
    <row r="53" ht="15.75" customHeight="1">
      <c r="A53" s="3"/>
      <c r="B53" s="155"/>
      <c r="C53" s="155"/>
      <c r="D53" s="3"/>
      <c r="E53" s="3"/>
      <c r="F53" s="3"/>
      <c r="G53" s="153"/>
      <c r="H53" s="3"/>
      <c r="I53" s="3"/>
      <c r="J53" s="3"/>
      <c r="K53" s="3"/>
      <c r="L53" s="3"/>
      <c r="M53" s="3"/>
      <c r="N53" s="3"/>
      <c r="O53" s="3"/>
      <c r="P53" s="3"/>
      <c r="Q53" s="162"/>
      <c r="R53" s="162"/>
      <c r="S53" s="163"/>
      <c r="T53" s="163"/>
      <c r="U53" s="163"/>
      <c r="V53" s="163"/>
      <c r="W53" s="162"/>
      <c r="X53" s="162"/>
      <c r="Y53" s="162"/>
      <c r="Z53" s="162"/>
      <c r="AA53" s="162"/>
      <c r="AB53" s="162"/>
      <c r="AC53" s="162"/>
      <c r="AD53" s="163"/>
      <c r="AE53" s="3"/>
      <c r="AF53" s="3"/>
      <c r="AG53" s="3"/>
      <c r="AH53" s="3"/>
      <c r="AI53" s="3"/>
      <c r="AJ53" s="3"/>
      <c r="AK53" s="3"/>
      <c r="AL53" s="3"/>
      <c r="AM53" s="3"/>
      <c r="AN53" s="3"/>
      <c r="AO53" s="3"/>
      <c r="AP53" s="3"/>
      <c r="AQ53" s="3"/>
      <c r="AR53" s="3"/>
      <c r="AS53" s="3"/>
      <c r="AT53" s="3"/>
      <c r="AU53" s="3"/>
      <c r="AV53" s="3"/>
      <c r="AW53" s="3"/>
      <c r="AX53" s="3"/>
      <c r="AY53" s="3"/>
      <c r="AZ53" s="3"/>
    </row>
    <row r="54" ht="15.75" customHeight="1">
      <c r="A54" s="3"/>
      <c r="B54" s="155"/>
      <c r="C54" s="155"/>
      <c r="D54" s="3"/>
      <c r="E54" s="3"/>
      <c r="F54" s="3"/>
      <c r="G54" s="3"/>
      <c r="H54" s="3"/>
      <c r="I54" s="3"/>
      <c r="J54" s="3"/>
      <c r="K54" s="3"/>
      <c r="L54" s="3"/>
      <c r="M54" s="3"/>
      <c r="N54" s="3"/>
      <c r="O54" s="3"/>
      <c r="P54" s="3"/>
      <c r="Q54" s="162"/>
      <c r="R54" s="163"/>
      <c r="S54" s="163"/>
      <c r="T54" s="163"/>
      <c r="U54" s="163"/>
      <c r="V54" s="163"/>
      <c r="W54" s="162"/>
      <c r="X54" s="162"/>
      <c r="Y54" s="162"/>
      <c r="Z54" s="162"/>
      <c r="AA54" s="162"/>
      <c r="AB54" s="162"/>
      <c r="AC54" s="162"/>
      <c r="AD54" s="163"/>
      <c r="AE54" s="3"/>
      <c r="AF54" s="3"/>
      <c r="AG54" s="3"/>
      <c r="AH54" s="3"/>
      <c r="AI54" s="3"/>
      <c r="AJ54" s="3"/>
      <c r="AK54" s="3"/>
      <c r="AL54" s="3"/>
      <c r="AM54" s="3"/>
      <c r="AN54" s="3"/>
      <c r="AO54" s="3"/>
      <c r="AP54" s="3"/>
      <c r="AQ54" s="3"/>
      <c r="AR54" s="3"/>
      <c r="AS54" s="3"/>
      <c r="AT54" s="3"/>
      <c r="AU54" s="3"/>
      <c r="AV54" s="3"/>
      <c r="AW54" s="3"/>
      <c r="AX54" s="3"/>
      <c r="AY54" s="3"/>
      <c r="AZ54" s="3"/>
    </row>
    <row r="55" ht="15.75" customHeight="1">
      <c r="A55" s="3"/>
      <c r="B55" s="155"/>
      <c r="C55" s="155"/>
      <c r="D55" s="3"/>
      <c r="E55" s="3"/>
      <c r="F55" s="3"/>
      <c r="G55" s="3"/>
      <c r="H55" s="3"/>
      <c r="I55" s="3"/>
      <c r="J55" s="3"/>
      <c r="K55" s="3"/>
      <c r="L55" s="3"/>
      <c r="M55" s="3"/>
      <c r="N55" s="3"/>
      <c r="O55" s="3"/>
      <c r="P55" s="3"/>
      <c r="Q55" s="162"/>
      <c r="R55" s="163"/>
      <c r="S55" s="163"/>
      <c r="T55" s="163"/>
      <c r="U55" s="163"/>
      <c r="V55" s="163"/>
      <c r="W55" s="163"/>
      <c r="X55" s="163"/>
      <c r="Y55" s="163"/>
      <c r="Z55" s="163"/>
      <c r="AA55" s="163"/>
      <c r="AB55" s="163"/>
      <c r="AC55" s="163"/>
      <c r="AD55" s="163"/>
      <c r="AE55" s="3"/>
      <c r="AF55" s="3"/>
      <c r="AG55" s="3"/>
      <c r="AH55" s="3"/>
      <c r="AI55" s="3"/>
      <c r="AJ55" s="3"/>
      <c r="AK55" s="3"/>
      <c r="AL55" s="3"/>
      <c r="AM55" s="3"/>
      <c r="AN55" s="3"/>
      <c r="AO55" s="3"/>
      <c r="AP55" s="3"/>
      <c r="AQ55" s="3"/>
      <c r="AR55" s="3"/>
      <c r="AS55" s="3"/>
      <c r="AT55" s="3"/>
      <c r="AU55" s="3"/>
      <c r="AV55" s="3"/>
      <c r="AW55" s="3"/>
      <c r="AX55" s="3"/>
      <c r="AY55" s="3"/>
      <c r="AZ55" s="3"/>
    </row>
    <row r="56" ht="15.75" customHeight="1">
      <c r="A56" s="3"/>
      <c r="B56" s="3"/>
      <c r="C56" s="3"/>
      <c r="D56" s="3"/>
      <c r="E56" s="3"/>
      <c r="F56" s="3"/>
      <c r="G56" s="3"/>
      <c r="H56" s="3"/>
      <c r="I56" s="3"/>
      <c r="J56" s="3"/>
      <c r="K56" s="3"/>
      <c r="L56" s="3"/>
      <c r="M56" s="3"/>
      <c r="N56" s="3"/>
      <c r="O56" s="3"/>
      <c r="P56" s="3"/>
      <c r="Q56" s="162"/>
      <c r="R56" s="163"/>
      <c r="S56" s="163"/>
      <c r="T56" s="163"/>
      <c r="U56" s="163"/>
      <c r="V56" s="163"/>
      <c r="W56" s="163"/>
      <c r="X56" s="163"/>
      <c r="Y56" s="163"/>
      <c r="Z56" s="163"/>
      <c r="AA56" s="163"/>
      <c r="AB56" s="163"/>
      <c r="AC56" s="163"/>
      <c r="AD56" s="163"/>
      <c r="AE56" s="3"/>
      <c r="AF56" s="3"/>
      <c r="AG56" s="3"/>
      <c r="AH56" s="3"/>
      <c r="AI56" s="3"/>
      <c r="AJ56" s="3"/>
      <c r="AK56" s="3"/>
      <c r="AL56" s="3"/>
      <c r="AM56" s="3"/>
      <c r="AN56" s="3"/>
      <c r="AO56" s="3"/>
      <c r="AP56" s="3"/>
      <c r="AQ56" s="3"/>
      <c r="AR56" s="3"/>
      <c r="AS56" s="3"/>
      <c r="AT56" s="3"/>
      <c r="AU56" s="3"/>
      <c r="AV56" s="3"/>
      <c r="AW56" s="3"/>
      <c r="AX56" s="3"/>
      <c r="AY56" s="3"/>
      <c r="AZ56" s="3"/>
    </row>
    <row r="57" ht="15.75" customHeight="1">
      <c r="A57" s="3"/>
      <c r="B57" s="3"/>
      <c r="C57" s="3"/>
      <c r="D57" s="3"/>
      <c r="E57" s="3"/>
      <c r="F57" s="3"/>
      <c r="G57" s="3"/>
      <c r="H57" s="3"/>
      <c r="I57" s="3"/>
      <c r="J57" s="3"/>
      <c r="K57" s="3"/>
      <c r="L57" s="3"/>
      <c r="M57" s="3"/>
      <c r="N57" s="3"/>
      <c r="O57" s="3"/>
      <c r="P57" s="3"/>
      <c r="Q57" s="162"/>
      <c r="R57" s="163"/>
      <c r="S57" s="163"/>
      <c r="T57" s="163"/>
      <c r="U57" s="163"/>
      <c r="V57" s="163"/>
      <c r="W57" s="163"/>
      <c r="X57" s="163"/>
      <c r="Y57" s="163"/>
      <c r="Z57" s="163"/>
      <c r="AA57" s="163"/>
      <c r="AB57" s="163"/>
      <c r="AC57" s="163"/>
      <c r="AD57" s="163"/>
      <c r="AE57" s="3"/>
      <c r="AF57" s="3"/>
      <c r="AG57" s="3"/>
      <c r="AH57" s="3"/>
      <c r="AI57" s="3"/>
      <c r="AJ57" s="3"/>
      <c r="AK57" s="3"/>
      <c r="AL57" s="3"/>
      <c r="AM57" s="3"/>
      <c r="AN57" s="3"/>
      <c r="AO57" s="3"/>
      <c r="AP57" s="3"/>
      <c r="AQ57" s="3"/>
      <c r="AR57" s="3"/>
      <c r="AS57" s="3"/>
      <c r="AT57" s="3"/>
      <c r="AU57" s="3"/>
      <c r="AV57" s="3"/>
      <c r="AW57" s="3"/>
      <c r="AX57" s="3"/>
      <c r="AY57" s="3"/>
      <c r="AZ57" s="3"/>
    </row>
    <row r="58" ht="15.75" customHeight="1">
      <c r="A58" s="3"/>
      <c r="B58" s="3"/>
      <c r="C58" s="3"/>
      <c r="D58" s="3"/>
      <c r="E58" s="3"/>
      <c r="F58" s="3"/>
      <c r="G58" s="3"/>
      <c r="H58" s="3"/>
      <c r="I58" s="3"/>
      <c r="J58" s="3"/>
      <c r="K58" s="3"/>
      <c r="L58" s="3"/>
      <c r="M58" s="3"/>
      <c r="N58" s="3"/>
      <c r="O58" s="3"/>
      <c r="P58" s="3"/>
      <c r="Q58" s="162"/>
      <c r="R58" s="163"/>
      <c r="S58" s="163"/>
      <c r="T58" s="163"/>
      <c r="U58" s="163"/>
      <c r="V58" s="163"/>
      <c r="W58" s="163"/>
      <c r="X58" s="163"/>
      <c r="Y58" s="163"/>
      <c r="Z58" s="163"/>
      <c r="AA58" s="163"/>
      <c r="AB58" s="163"/>
      <c r="AC58" s="163"/>
      <c r="AD58" s="163"/>
      <c r="AE58" s="3"/>
      <c r="AF58" s="3"/>
      <c r="AG58" s="3"/>
      <c r="AH58" s="3"/>
      <c r="AI58" s="3"/>
      <c r="AJ58" s="3"/>
      <c r="AK58" s="3"/>
      <c r="AL58" s="3"/>
      <c r="AM58" s="3"/>
      <c r="AN58" s="3"/>
      <c r="AO58" s="3"/>
      <c r="AP58" s="3"/>
      <c r="AQ58" s="3"/>
      <c r="AR58" s="3"/>
      <c r="AS58" s="3"/>
      <c r="AT58" s="3"/>
      <c r="AU58" s="3"/>
      <c r="AV58" s="3"/>
      <c r="AW58" s="3"/>
      <c r="AX58" s="3"/>
      <c r="AY58" s="3"/>
      <c r="AZ58" s="3"/>
    </row>
    <row r="59" ht="15.75" customHeight="1">
      <c r="A59" s="3"/>
      <c r="B59" s="3"/>
      <c r="C59" s="3"/>
      <c r="D59" s="3"/>
      <c r="E59" s="3"/>
      <c r="F59" s="3"/>
      <c r="G59" s="3"/>
      <c r="H59" s="3"/>
      <c r="I59" s="3"/>
      <c r="J59" s="3"/>
      <c r="K59" s="3"/>
      <c r="L59" s="3"/>
      <c r="M59" s="3"/>
      <c r="N59" s="3"/>
      <c r="O59" s="3"/>
      <c r="P59" s="3"/>
      <c r="Q59" s="162"/>
      <c r="R59" s="163"/>
      <c r="S59" s="163"/>
      <c r="T59" s="163"/>
      <c r="U59" s="163"/>
      <c r="V59" s="163"/>
      <c r="W59" s="163"/>
      <c r="X59" s="163"/>
      <c r="Y59" s="163"/>
      <c r="Z59" s="163"/>
      <c r="AA59" s="163"/>
      <c r="AB59" s="163"/>
      <c r="AC59" s="163"/>
      <c r="AD59" s="163"/>
      <c r="AE59" s="3"/>
      <c r="AF59" s="3"/>
      <c r="AG59" s="3"/>
      <c r="AH59" s="3"/>
      <c r="AI59" s="3"/>
      <c r="AJ59" s="3"/>
      <c r="AK59" s="3"/>
      <c r="AL59" s="3"/>
      <c r="AM59" s="3"/>
      <c r="AN59" s="3"/>
      <c r="AO59" s="3"/>
      <c r="AP59" s="3"/>
      <c r="AQ59" s="3"/>
      <c r="AR59" s="3"/>
      <c r="AS59" s="3"/>
      <c r="AT59" s="3"/>
      <c r="AU59" s="3"/>
      <c r="AV59" s="3"/>
      <c r="AW59" s="3"/>
      <c r="AX59" s="3"/>
      <c r="AY59" s="3"/>
      <c r="AZ59" s="3"/>
    </row>
    <row r="60" ht="15.75" customHeight="1">
      <c r="A60" s="3"/>
      <c r="B60" s="3"/>
      <c r="C60" s="3"/>
      <c r="D60" s="3"/>
      <c r="E60" s="3"/>
      <c r="F60" s="3"/>
      <c r="G60" s="3"/>
      <c r="H60" s="3"/>
      <c r="I60" s="3"/>
      <c r="J60" s="3"/>
      <c r="K60" s="3"/>
      <c r="L60" s="3"/>
      <c r="M60" s="3"/>
      <c r="N60" s="3"/>
      <c r="O60" s="3"/>
      <c r="P60" s="3"/>
      <c r="Q60" s="162"/>
      <c r="R60" s="163"/>
      <c r="S60" s="163"/>
      <c r="T60" s="163"/>
      <c r="U60" s="163"/>
      <c r="V60" s="163"/>
      <c r="W60" s="163"/>
      <c r="X60" s="163"/>
      <c r="Y60" s="163"/>
      <c r="Z60" s="163"/>
      <c r="AA60" s="163"/>
      <c r="AB60" s="163" t="s">
        <v>139</v>
      </c>
      <c r="AC60" s="163"/>
      <c r="AD60" s="163"/>
      <c r="AE60" s="3"/>
      <c r="AF60" s="3"/>
      <c r="AG60" s="3"/>
      <c r="AH60" s="3"/>
      <c r="AI60" s="3"/>
      <c r="AJ60" s="3"/>
      <c r="AK60" s="3"/>
      <c r="AL60" s="3"/>
      <c r="AM60" s="3"/>
      <c r="AN60" s="3"/>
      <c r="AO60" s="3"/>
      <c r="AP60" s="3"/>
      <c r="AQ60" s="3"/>
      <c r="AR60" s="3"/>
      <c r="AS60" s="3"/>
      <c r="AT60" s="3"/>
      <c r="AU60" s="3"/>
      <c r="AV60" s="3"/>
      <c r="AW60" s="3"/>
      <c r="AX60" s="3"/>
      <c r="AY60" s="3"/>
      <c r="AZ60" s="3"/>
    </row>
    <row r="61" ht="15.75" customHeight="1">
      <c r="A61" s="3"/>
      <c r="B61" s="3"/>
      <c r="C61" s="3"/>
      <c r="D61" s="3"/>
      <c r="E61" s="3"/>
      <c r="F61" s="3"/>
      <c r="G61" s="3"/>
      <c r="H61" s="3"/>
      <c r="I61" s="3"/>
      <c r="J61" s="3"/>
      <c r="K61" s="3"/>
      <c r="L61" s="3"/>
      <c r="M61" s="3"/>
      <c r="N61" s="3"/>
      <c r="O61" s="3"/>
      <c r="P61" s="3"/>
      <c r="Q61" s="162"/>
      <c r="R61" s="163"/>
      <c r="S61" s="163"/>
      <c r="T61" s="163"/>
      <c r="U61" s="163"/>
      <c r="V61" s="163"/>
      <c r="W61" s="163"/>
      <c r="X61" s="163"/>
      <c r="Y61" s="163"/>
      <c r="Z61" s="163"/>
      <c r="AA61" s="163"/>
      <c r="AB61" s="163"/>
      <c r="AC61" s="163"/>
      <c r="AD61" s="163"/>
      <c r="AE61" s="3"/>
      <c r="AF61" s="3"/>
      <c r="AG61" s="3"/>
      <c r="AH61" s="3"/>
      <c r="AI61" s="3"/>
      <c r="AJ61" s="3"/>
      <c r="AK61" s="3"/>
      <c r="AL61" s="3"/>
      <c r="AM61" s="3"/>
      <c r="AN61" s="3"/>
      <c r="AO61" s="3"/>
      <c r="AP61" s="3"/>
      <c r="AQ61" s="3"/>
      <c r="AR61" s="3"/>
      <c r="AS61" s="3"/>
      <c r="AT61" s="3"/>
      <c r="AU61" s="3"/>
      <c r="AV61" s="3"/>
      <c r="AW61" s="3"/>
      <c r="AX61" s="3"/>
      <c r="AY61" s="3"/>
      <c r="AZ61" s="3"/>
    </row>
    <row r="62" ht="15.75" customHeight="1">
      <c r="A62" s="3"/>
      <c r="B62" s="3"/>
      <c r="C62" s="3"/>
      <c r="D62" s="3"/>
      <c r="E62" s="3"/>
      <c r="F62" s="3"/>
      <c r="G62" s="3"/>
      <c r="H62" s="3"/>
      <c r="I62" s="3"/>
      <c r="J62" s="3"/>
      <c r="K62" s="3"/>
      <c r="L62" s="3"/>
      <c r="M62" s="3"/>
      <c r="N62" s="3"/>
      <c r="O62" s="3"/>
      <c r="P62" s="3"/>
      <c r="Q62" s="162"/>
      <c r="R62" s="163"/>
      <c r="S62" s="163"/>
      <c r="T62" s="163"/>
      <c r="U62" s="163"/>
      <c r="V62" s="163"/>
      <c r="W62" s="163"/>
      <c r="X62" s="163"/>
      <c r="Y62" s="163"/>
      <c r="Z62" s="163"/>
      <c r="AA62" s="163"/>
      <c r="AB62" s="163"/>
      <c r="AC62" s="163"/>
      <c r="AD62" s="163"/>
      <c r="AE62" s="3"/>
      <c r="AF62" s="3"/>
      <c r="AG62" s="3"/>
      <c r="AH62" s="3"/>
      <c r="AI62" s="3"/>
      <c r="AJ62" s="3"/>
      <c r="AK62" s="3"/>
      <c r="AL62" s="3"/>
      <c r="AM62" s="3"/>
      <c r="AN62" s="3"/>
      <c r="AO62" s="3"/>
      <c r="AP62" s="3"/>
      <c r="AQ62" s="3"/>
      <c r="AR62" s="3"/>
      <c r="AS62" s="3"/>
      <c r="AT62" s="3"/>
      <c r="AU62" s="3"/>
      <c r="AV62" s="3"/>
      <c r="AW62" s="3"/>
      <c r="AX62" s="3"/>
      <c r="AY62" s="3"/>
      <c r="AZ62" s="3"/>
    </row>
    <row r="63" ht="15.75" customHeight="1">
      <c r="A63" s="3"/>
      <c r="B63" s="3"/>
      <c r="C63" s="3"/>
      <c r="D63" s="3"/>
      <c r="E63" s="3"/>
      <c r="F63" s="3"/>
      <c r="G63" s="3"/>
      <c r="H63" s="3"/>
      <c r="I63" s="3"/>
      <c r="J63" s="3"/>
      <c r="K63" s="3"/>
      <c r="L63" s="3"/>
      <c r="M63" s="3"/>
      <c r="N63" s="3"/>
      <c r="O63" s="3"/>
      <c r="P63" s="3"/>
      <c r="Q63" s="162"/>
      <c r="R63" s="163"/>
      <c r="S63" s="163"/>
      <c r="T63" s="163"/>
      <c r="U63" s="163"/>
      <c r="V63" s="163"/>
      <c r="W63" s="163"/>
      <c r="X63" s="163"/>
      <c r="Y63" s="163"/>
      <c r="Z63" s="163"/>
      <c r="AA63" s="163"/>
      <c r="AB63" s="163"/>
      <c r="AC63" s="163"/>
      <c r="AD63" s="163"/>
      <c r="AE63" s="3"/>
      <c r="AF63" s="3"/>
      <c r="AG63" s="3"/>
      <c r="AH63" s="3"/>
      <c r="AI63" s="3"/>
      <c r="AJ63" s="3"/>
      <c r="AK63" s="3"/>
      <c r="AL63" s="3"/>
      <c r="AM63" s="3"/>
      <c r="AN63" s="3"/>
      <c r="AO63" s="3"/>
      <c r="AP63" s="3"/>
      <c r="AQ63" s="3"/>
      <c r="AR63" s="3"/>
      <c r="AS63" s="3"/>
      <c r="AT63" s="3"/>
      <c r="AU63" s="3"/>
      <c r="AV63" s="3"/>
      <c r="AW63" s="3"/>
      <c r="AX63" s="3"/>
      <c r="AY63" s="3"/>
      <c r="AZ63" s="3"/>
    </row>
    <row r="64" ht="15.75" customHeight="1">
      <c r="A64" s="3"/>
      <c r="B64" s="3"/>
      <c r="C64" s="3"/>
      <c r="D64" s="3"/>
      <c r="E64" s="3"/>
      <c r="F64" s="3"/>
      <c r="G64" s="3"/>
      <c r="H64" s="3"/>
      <c r="I64" s="3"/>
      <c r="J64" s="3"/>
      <c r="K64" s="3"/>
      <c r="L64" s="3"/>
      <c r="M64" s="3"/>
      <c r="N64" s="3"/>
      <c r="O64" s="3"/>
      <c r="P64" s="3"/>
      <c r="Q64" s="162"/>
      <c r="R64" s="163"/>
      <c r="S64" s="163"/>
      <c r="T64" s="163"/>
      <c r="U64" s="163"/>
      <c r="V64" s="163"/>
      <c r="W64" s="163"/>
      <c r="X64" s="163"/>
      <c r="Y64" s="163"/>
      <c r="Z64" s="163"/>
      <c r="AA64" s="163"/>
      <c r="AB64" s="163"/>
      <c r="AC64" s="163"/>
      <c r="AD64" s="163"/>
      <c r="AE64" s="3"/>
      <c r="AF64" s="3"/>
      <c r="AG64" s="3"/>
      <c r="AH64" s="3"/>
      <c r="AI64" s="3"/>
      <c r="AJ64" s="3"/>
      <c r="AK64" s="3"/>
      <c r="AL64" s="3"/>
      <c r="AM64" s="3"/>
      <c r="AN64" s="3"/>
      <c r="AO64" s="3"/>
      <c r="AP64" s="3"/>
      <c r="AQ64" s="3"/>
      <c r="AR64" s="3"/>
      <c r="AS64" s="3"/>
      <c r="AT64" s="3"/>
      <c r="AU64" s="3"/>
      <c r="AV64" s="3"/>
      <c r="AW64" s="3"/>
      <c r="AX64" s="3"/>
      <c r="AY64" s="3"/>
      <c r="AZ64" s="3"/>
    </row>
    <row r="65" ht="15.75" customHeight="1">
      <c r="A65" s="3"/>
      <c r="B65" s="3"/>
      <c r="C65" s="3"/>
      <c r="D65" s="3"/>
      <c r="E65" s="3"/>
      <c r="F65" s="3"/>
      <c r="G65" s="3"/>
      <c r="H65" s="3"/>
      <c r="I65" s="3"/>
      <c r="J65" s="3"/>
      <c r="K65" s="3"/>
      <c r="L65" s="3"/>
      <c r="M65" s="3"/>
      <c r="N65" s="3"/>
      <c r="O65" s="3"/>
      <c r="P65" s="3"/>
      <c r="Q65" s="3"/>
      <c r="R65" s="163"/>
      <c r="S65" s="163"/>
      <c r="T65" s="163"/>
      <c r="U65" s="163"/>
      <c r="V65" s="163"/>
      <c r="W65" s="163"/>
      <c r="X65" s="163"/>
      <c r="Y65" s="163"/>
      <c r="Z65" s="163"/>
      <c r="AA65" s="163"/>
      <c r="AB65" s="163"/>
      <c r="AC65" s="163"/>
      <c r="AD65" s="163"/>
      <c r="AE65" s="3"/>
      <c r="AF65" s="3"/>
      <c r="AG65" s="3"/>
      <c r="AH65" s="3"/>
      <c r="AI65" s="3"/>
      <c r="AJ65" s="3"/>
      <c r="AK65" s="3"/>
      <c r="AL65" s="3"/>
      <c r="AM65" s="3"/>
      <c r="AN65" s="3"/>
      <c r="AO65" s="3"/>
      <c r="AP65" s="3"/>
      <c r="AQ65" s="3"/>
      <c r="AR65" s="3"/>
      <c r="AS65" s="3"/>
      <c r="AT65" s="3"/>
      <c r="AU65" s="3"/>
      <c r="AV65" s="3"/>
      <c r="AW65" s="3"/>
      <c r="AX65" s="3"/>
      <c r="AY65" s="3"/>
      <c r="AZ65" s="3"/>
    </row>
    <row r="66" ht="15.75" customHeight="1">
      <c r="A66" s="3"/>
      <c r="B66" s="3"/>
      <c r="C66" s="3"/>
      <c r="D66" s="3"/>
      <c r="E66" s="3"/>
      <c r="F66" s="3"/>
      <c r="G66" s="3"/>
      <c r="H66" s="3"/>
      <c r="I66" s="3"/>
      <c r="J66" s="3"/>
      <c r="K66" s="3"/>
      <c r="L66" s="3"/>
      <c r="M66" s="3"/>
      <c r="N66" s="3"/>
      <c r="O66" s="3"/>
      <c r="P66" s="3"/>
      <c r="Q66" s="3"/>
      <c r="R66" s="163"/>
      <c r="S66" s="163"/>
      <c r="T66" s="163"/>
      <c r="U66" s="163"/>
      <c r="V66" s="163"/>
      <c r="W66" s="163"/>
      <c r="X66" s="163"/>
      <c r="Y66" s="163"/>
      <c r="Z66" s="163"/>
      <c r="AA66" s="163"/>
      <c r="AB66" s="163"/>
      <c r="AC66" s="163"/>
      <c r="AD66" s="163"/>
      <c r="AE66" s="3"/>
      <c r="AF66" s="3"/>
      <c r="AG66" s="3"/>
      <c r="AH66" s="3"/>
      <c r="AI66" s="3"/>
      <c r="AJ66" s="3"/>
      <c r="AK66" s="3"/>
      <c r="AL66" s="3"/>
      <c r="AM66" s="3"/>
      <c r="AN66" s="3"/>
      <c r="AO66" s="3"/>
      <c r="AP66" s="3"/>
      <c r="AQ66" s="3"/>
      <c r="AR66" s="3"/>
      <c r="AS66" s="3"/>
      <c r="AT66" s="3"/>
      <c r="AU66" s="3"/>
      <c r="AV66" s="3"/>
      <c r="AW66" s="3"/>
      <c r="AX66" s="3"/>
      <c r="AY66" s="3"/>
      <c r="AZ66" s="3"/>
    </row>
    <row r="67" ht="15.75" customHeight="1">
      <c r="A67" s="3"/>
      <c r="B67" s="3"/>
      <c r="C67" s="3"/>
      <c r="D67" s="3"/>
      <c r="E67" s="3"/>
      <c r="F67" s="3"/>
      <c r="G67" s="3"/>
      <c r="H67" s="3"/>
      <c r="I67" s="3"/>
      <c r="J67" s="3"/>
      <c r="K67" s="3"/>
      <c r="L67" s="3"/>
      <c r="M67" s="3"/>
      <c r="N67" s="3"/>
      <c r="O67" s="3"/>
      <c r="P67" s="3"/>
      <c r="Q67" s="3"/>
      <c r="R67" s="163"/>
      <c r="S67" s="163"/>
      <c r="T67" s="163"/>
      <c r="U67" s="163"/>
      <c r="V67" s="163"/>
      <c r="W67" s="163"/>
      <c r="X67" s="163"/>
      <c r="Y67" s="163"/>
      <c r="Z67" s="163"/>
      <c r="AA67" s="163"/>
      <c r="AB67" s="163"/>
      <c r="AC67" s="163"/>
      <c r="AD67" s="163"/>
      <c r="AE67" s="3"/>
      <c r="AF67" s="3"/>
      <c r="AG67" s="3"/>
      <c r="AH67" s="3"/>
      <c r="AI67" s="3"/>
      <c r="AJ67" s="3"/>
      <c r="AK67" s="3"/>
      <c r="AL67" s="3"/>
      <c r="AM67" s="3"/>
      <c r="AN67" s="3"/>
      <c r="AO67" s="3"/>
      <c r="AP67" s="3"/>
      <c r="AQ67" s="3"/>
      <c r="AR67" s="3"/>
      <c r="AS67" s="3"/>
      <c r="AT67" s="3"/>
      <c r="AU67" s="3"/>
      <c r="AV67" s="3"/>
      <c r="AW67" s="3"/>
      <c r="AX67" s="3"/>
      <c r="AY67" s="3"/>
      <c r="AZ67" s="3"/>
    </row>
    <row r="68" ht="15.75" customHeight="1">
      <c r="A68" s="3"/>
      <c r="B68" s="3"/>
      <c r="C68" s="3"/>
      <c r="D68" s="3"/>
      <c r="E68" s="3"/>
      <c r="F68" s="3"/>
      <c r="G68" s="3"/>
      <c r="H68" s="3"/>
      <c r="I68" s="3"/>
      <c r="J68" s="3"/>
      <c r="K68" s="3"/>
      <c r="L68" s="3"/>
      <c r="M68" s="3"/>
      <c r="N68" s="3"/>
      <c r="O68" s="3"/>
      <c r="P68" s="3"/>
      <c r="Q68" s="3"/>
      <c r="R68" s="163"/>
      <c r="S68" s="163"/>
      <c r="T68" s="163"/>
      <c r="U68" s="163"/>
      <c r="V68" s="163"/>
      <c r="W68" s="163"/>
      <c r="X68" s="163"/>
      <c r="Y68" s="163"/>
      <c r="Z68" s="163"/>
      <c r="AA68" s="163"/>
      <c r="AB68" s="163"/>
      <c r="AC68" s="163"/>
      <c r="AD68" s="163"/>
      <c r="AE68" s="3"/>
      <c r="AF68" s="3"/>
      <c r="AG68" s="3"/>
      <c r="AH68" s="3"/>
      <c r="AI68" s="3"/>
      <c r="AJ68" s="3"/>
      <c r="AK68" s="3"/>
      <c r="AL68" s="3"/>
      <c r="AM68" s="3"/>
      <c r="AN68" s="3"/>
      <c r="AO68" s="3"/>
      <c r="AP68" s="3"/>
      <c r="AQ68" s="3"/>
      <c r="AR68" s="3"/>
      <c r="AS68" s="3"/>
      <c r="AT68" s="3"/>
      <c r="AU68" s="3"/>
      <c r="AV68" s="3"/>
      <c r="AW68" s="3"/>
      <c r="AX68" s="3"/>
      <c r="AY68" s="3"/>
      <c r="A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row>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32">
    <mergeCell ref="C1:AB1"/>
    <mergeCell ref="AA7:AF7"/>
    <mergeCell ref="AG7:AV7"/>
    <mergeCell ref="AW7:AX7"/>
    <mergeCell ref="AA9:AB9"/>
    <mergeCell ref="AC9:AF9"/>
    <mergeCell ref="AG9:AJ9"/>
    <mergeCell ref="Q11:Q12"/>
    <mergeCell ref="R11:R12"/>
    <mergeCell ref="S11:S12"/>
    <mergeCell ref="V11:V12"/>
    <mergeCell ref="P13:P14"/>
    <mergeCell ref="Q13:Q14"/>
    <mergeCell ref="R15:R16"/>
    <mergeCell ref="S15:S16"/>
    <mergeCell ref="V15:V16"/>
    <mergeCell ref="W15:W16"/>
    <mergeCell ref="Z15:Z16"/>
    <mergeCell ref="AA11:AB12"/>
    <mergeCell ref="AC11:AF11"/>
    <mergeCell ref="AC12:AF12"/>
    <mergeCell ref="AC15:AF15"/>
    <mergeCell ref="AG15:AJ16"/>
    <mergeCell ref="AK15:AN16"/>
    <mergeCell ref="AK18:AN19"/>
    <mergeCell ref="AA22:AB22"/>
    <mergeCell ref="AC23:AF23"/>
    <mergeCell ref="AG23:AJ23"/>
    <mergeCell ref="AK23:AN23"/>
    <mergeCell ref="AO23:AR23"/>
    <mergeCell ref="AS23:AV23"/>
    <mergeCell ref="AW23:AX23"/>
    <mergeCell ref="AO32:AR32"/>
    <mergeCell ref="AS32:AV32"/>
    <mergeCell ref="AK29:AN30"/>
    <mergeCell ref="AO29:AR30"/>
    <mergeCell ref="AS29:AV30"/>
    <mergeCell ref="AK31:AN31"/>
    <mergeCell ref="AO31:AR31"/>
    <mergeCell ref="AS31:AV31"/>
    <mergeCell ref="AK32:AN32"/>
    <mergeCell ref="AK33:AN33"/>
    <mergeCell ref="E13:E24"/>
    <mergeCell ref="G35:G37"/>
    <mergeCell ref="P29:P30"/>
    <mergeCell ref="P35:P37"/>
    <mergeCell ref="L11:L12"/>
    <mergeCell ref="P11:P12"/>
    <mergeCell ref="A13:A39"/>
    <mergeCell ref="B13:B39"/>
    <mergeCell ref="C13:C24"/>
    <mergeCell ref="D13:D24"/>
    <mergeCell ref="J35:J37"/>
    <mergeCell ref="F21:F24"/>
    <mergeCell ref="H22:H24"/>
    <mergeCell ref="I22:I23"/>
    <mergeCell ref="J23:J24"/>
    <mergeCell ref="C26:C39"/>
    <mergeCell ref="D26:D39"/>
    <mergeCell ref="E26:E39"/>
    <mergeCell ref="F26:F31"/>
    <mergeCell ref="F35:F37"/>
    <mergeCell ref="G26:G31"/>
    <mergeCell ref="H26:H31"/>
    <mergeCell ref="I26:I28"/>
    <mergeCell ref="J27:J31"/>
    <mergeCell ref="I29:I31"/>
    <mergeCell ref="R29:R30"/>
    <mergeCell ref="S29:S30"/>
    <mergeCell ref="V29:V30"/>
    <mergeCell ref="W29:W30"/>
    <mergeCell ref="Z29:Z30"/>
    <mergeCell ref="H35:H37"/>
    <mergeCell ref="I35:I37"/>
    <mergeCell ref="Q35:Q37"/>
    <mergeCell ref="R35:R37"/>
    <mergeCell ref="V35:V37"/>
    <mergeCell ref="Z35:Z37"/>
    <mergeCell ref="AA39:AB39"/>
    <mergeCell ref="AA40:AB40"/>
    <mergeCell ref="AW39:AX39"/>
    <mergeCell ref="AY39:AZ39"/>
    <mergeCell ref="AC37:AF37"/>
    <mergeCell ref="AG37:AJ37"/>
    <mergeCell ref="AC39:AF39"/>
    <mergeCell ref="AG39:AJ39"/>
    <mergeCell ref="AK39:AN39"/>
    <mergeCell ref="AO39:AR39"/>
    <mergeCell ref="AS39:AV39"/>
    <mergeCell ref="AC18:AF18"/>
    <mergeCell ref="AG18:AJ18"/>
    <mergeCell ref="AA23:AB23"/>
    <mergeCell ref="AA24:AB24"/>
    <mergeCell ref="AC24:AF24"/>
    <mergeCell ref="AG24:AJ24"/>
    <mergeCell ref="AC27:AF28"/>
    <mergeCell ref="AG29:AJ30"/>
    <mergeCell ref="AG31:AJ31"/>
    <mergeCell ref="AO35:AR35"/>
    <mergeCell ref="AS35:AV37"/>
    <mergeCell ref="AW35:AX37"/>
    <mergeCell ref="AY35:AZ37"/>
    <mergeCell ref="AO36:AR36"/>
    <mergeCell ref="AO37:AR37"/>
    <mergeCell ref="AC36:AF36"/>
    <mergeCell ref="AG36:AJ36"/>
    <mergeCell ref="AH43:AK44"/>
    <mergeCell ref="AC32:AF32"/>
    <mergeCell ref="AG32:AJ32"/>
    <mergeCell ref="AC33:AF33"/>
    <mergeCell ref="AG33:AJ33"/>
    <mergeCell ref="AC35:AF35"/>
    <mergeCell ref="AG35:AJ35"/>
    <mergeCell ref="AK35:AN37"/>
    <mergeCell ref="AC40:AF40"/>
    <mergeCell ref="AG40:AJ40"/>
    <mergeCell ref="AK40:AN40"/>
    <mergeCell ref="AO40:AR40"/>
    <mergeCell ref="AS40:AV40"/>
    <mergeCell ref="AW40:AX40"/>
    <mergeCell ref="AY40:AZ40"/>
    <mergeCell ref="AA47:AB47"/>
    <mergeCell ref="AA48:AB48"/>
    <mergeCell ref="AA49:AB49"/>
    <mergeCell ref="AA50:AB50"/>
    <mergeCell ref="AA51:AB51"/>
    <mergeCell ref="AA52:AB52"/>
    <mergeCell ref="AA26:AB26"/>
    <mergeCell ref="AA32:AB32"/>
    <mergeCell ref="AA35:AB35"/>
    <mergeCell ref="AA36:AB36"/>
    <mergeCell ref="AA37:AB37"/>
    <mergeCell ref="AA45:AB45"/>
    <mergeCell ref="AA46:AB46"/>
    <mergeCell ref="R13:R14"/>
    <mergeCell ref="S13:S14"/>
    <mergeCell ref="V13:V14"/>
    <mergeCell ref="W13:W14"/>
    <mergeCell ref="Z13:Z14"/>
    <mergeCell ref="AA13:AB14"/>
    <mergeCell ref="AC13:AF14"/>
    <mergeCell ref="AG13:AJ13"/>
    <mergeCell ref="AG14:AJ14"/>
    <mergeCell ref="AK13:AN13"/>
    <mergeCell ref="AO13:AR13"/>
    <mergeCell ref="AK14:AN14"/>
    <mergeCell ref="AO14:AR14"/>
    <mergeCell ref="P15:P16"/>
    <mergeCell ref="Q15:Q16"/>
    <mergeCell ref="AW14:AX14"/>
    <mergeCell ref="AW15:AX15"/>
    <mergeCell ref="AY15:AZ16"/>
    <mergeCell ref="AW16:AX16"/>
    <mergeCell ref="AY17:AZ17"/>
    <mergeCell ref="AS9:AV9"/>
    <mergeCell ref="AW9:AX9"/>
    <mergeCell ref="AY9:AZ9"/>
    <mergeCell ref="AY10:AZ10"/>
    <mergeCell ref="AY11:AZ12"/>
    <mergeCell ref="AW13:AX13"/>
    <mergeCell ref="AY13:AZ14"/>
    <mergeCell ref="K11:K12"/>
    <mergeCell ref="P18:P19"/>
    <mergeCell ref="AA19:AB19"/>
    <mergeCell ref="AC19:AF19"/>
    <mergeCell ref="AK9:AN9"/>
    <mergeCell ref="AO9:AR9"/>
    <mergeCell ref="F11:F19"/>
    <mergeCell ref="H11:H19"/>
    <mergeCell ref="I11:I14"/>
    <mergeCell ref="J11:J12"/>
    <mergeCell ref="AO17:AR17"/>
    <mergeCell ref="AG19:AJ19"/>
    <mergeCell ref="G13:G19"/>
    <mergeCell ref="J13:J19"/>
    <mergeCell ref="I15:I17"/>
    <mergeCell ref="I18:I19"/>
    <mergeCell ref="AA16:AB16"/>
    <mergeCell ref="AC16:AF16"/>
    <mergeCell ref="AA17:AB17"/>
    <mergeCell ref="AC17:AF17"/>
    <mergeCell ref="AG17:AJ17"/>
    <mergeCell ref="AK17:AN17"/>
    <mergeCell ref="Q18:Q19"/>
    <mergeCell ref="R18:R19"/>
    <mergeCell ref="S18:S19"/>
    <mergeCell ref="V18:V19"/>
    <mergeCell ref="W18:W19"/>
    <mergeCell ref="Z18:Z19"/>
    <mergeCell ref="AS13:AV13"/>
    <mergeCell ref="AS14:AV14"/>
    <mergeCell ref="AO15:AR16"/>
    <mergeCell ref="AS15:AV16"/>
    <mergeCell ref="AS17:AV17"/>
    <mergeCell ref="AW17:AX17"/>
    <mergeCell ref="AO18:AR19"/>
    <mergeCell ref="AY23:AZ23"/>
    <mergeCell ref="AY24:AZ24"/>
    <mergeCell ref="AY27:AZ28"/>
    <mergeCell ref="AY29:AZ30"/>
    <mergeCell ref="AY31:AZ31"/>
    <mergeCell ref="AY32:AZ32"/>
    <mergeCell ref="AS18:AV18"/>
    <mergeCell ref="AW18:AX18"/>
    <mergeCell ref="AY18:AZ19"/>
    <mergeCell ref="AS19:AV19"/>
    <mergeCell ref="AW19:AX19"/>
    <mergeCell ref="AY21:AZ21"/>
    <mergeCell ref="AY22:AZ22"/>
    <mergeCell ref="AA18:AB18"/>
    <mergeCell ref="AC21:AF21"/>
    <mergeCell ref="AG21:AJ21"/>
    <mergeCell ref="AK21:AN21"/>
    <mergeCell ref="AO21:AR21"/>
    <mergeCell ref="AS21:AV21"/>
    <mergeCell ref="AW21:AX21"/>
    <mergeCell ref="AA21:AB21"/>
    <mergeCell ref="AC22:AF22"/>
    <mergeCell ref="AG22:AJ22"/>
    <mergeCell ref="AK22:AN22"/>
    <mergeCell ref="AO22:AR22"/>
    <mergeCell ref="AS22:AV22"/>
    <mergeCell ref="AW22:AX22"/>
    <mergeCell ref="Q27:Q28"/>
    <mergeCell ref="Q29:Q30"/>
    <mergeCell ref="P27:P28"/>
    <mergeCell ref="R27:R28"/>
    <mergeCell ref="S27:S28"/>
    <mergeCell ref="V27:V28"/>
    <mergeCell ref="W27:W28"/>
    <mergeCell ref="Z27:Z28"/>
    <mergeCell ref="AA27:AB2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1" max="1" width="19.57"/>
    <col customWidth="1" min="2" max="2" width="31.29"/>
    <col customWidth="1" min="3" max="3" width="23.86"/>
    <col customWidth="1" min="4" max="4" width="18.71"/>
    <col customWidth="1" min="5" max="5" width="20.43"/>
    <col customWidth="1" min="6" max="6" width="27.14"/>
    <col customWidth="1" min="8" max="8" width="17.29"/>
    <col customWidth="1" min="9" max="9" width="32.71"/>
    <col customWidth="1" min="10" max="10" width="34.43"/>
    <col customWidth="1" min="11" max="11" width="75.0"/>
    <col customWidth="1" min="12" max="12" width="20.71"/>
    <col customWidth="1" min="18" max="18" width="25.86"/>
    <col customWidth="1" min="27" max="27" width="23.29"/>
    <col customWidth="1" min="28" max="51" width="6.14"/>
    <col customWidth="1" min="52" max="52" width="18.14"/>
    <col customWidth="1" min="53" max="53" width="6.14"/>
  </cols>
  <sheetData>
    <row r="1" ht="49.5" customHeight="1">
      <c r="A1" s="1"/>
      <c r="B1" s="2"/>
      <c r="C1" s="2"/>
    </row>
    <row r="2" ht="15.75" customHeight="1">
      <c r="A2" s="3"/>
      <c r="B2" s="3"/>
      <c r="C2" s="3"/>
      <c r="D2" s="3"/>
      <c r="E2" s="3"/>
      <c r="F2" s="3"/>
      <c r="G2" s="3"/>
      <c r="H2" s="3"/>
      <c r="I2" s="3"/>
      <c r="J2" s="3"/>
      <c r="K2" s="3"/>
      <c r="L2" s="3"/>
      <c r="M2" s="3"/>
      <c r="N2" s="3"/>
      <c r="O2" s="4"/>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row>
    <row r="3" ht="15.75" customHeight="1">
      <c r="A3" s="170" t="s">
        <v>0</v>
      </c>
      <c r="B3" s="171" t="s">
        <v>1</v>
      </c>
      <c r="C3" s="9"/>
      <c r="D3" s="172"/>
      <c r="E3" s="7"/>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row>
    <row r="4" ht="15.75" customHeight="1">
      <c r="A4" s="170" t="s">
        <v>2</v>
      </c>
      <c r="B4" s="171" t="s">
        <v>144</v>
      </c>
      <c r="C4" s="173"/>
      <c r="D4" s="172"/>
      <c r="E4" s="8"/>
      <c r="F4" s="3"/>
      <c r="G4" s="3"/>
      <c r="H4" s="3"/>
      <c r="I4" s="3"/>
      <c r="J4" s="3"/>
      <c r="K4" s="3"/>
      <c r="L4" s="3"/>
      <c r="M4" s="3"/>
      <c r="N4" s="3"/>
      <c r="O4" s="3"/>
      <c r="P4" s="3"/>
      <c r="Q4" s="3"/>
      <c r="R4" s="3"/>
      <c r="S4" s="9"/>
      <c r="T4" s="9"/>
      <c r="U4" s="9"/>
      <c r="V4" s="9"/>
      <c r="W4" s="10"/>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row>
    <row r="5" ht="15.75" customHeight="1">
      <c r="A5" s="170" t="s">
        <v>4</v>
      </c>
      <c r="B5" s="174">
        <v>2198126.0</v>
      </c>
      <c r="C5" s="175">
        <v>2198126.0</v>
      </c>
      <c r="D5" s="172"/>
      <c r="E5" s="12"/>
      <c r="F5" s="3"/>
      <c r="G5" s="3"/>
      <c r="H5" s="3"/>
      <c r="I5" s="3"/>
      <c r="J5" s="3"/>
      <c r="K5" s="3"/>
      <c r="L5" s="3"/>
      <c r="M5" s="3"/>
      <c r="N5" s="3"/>
      <c r="O5" s="3"/>
      <c r="P5" s="3"/>
      <c r="Q5" s="3"/>
      <c r="R5" s="3"/>
      <c r="S5" s="9"/>
      <c r="T5" s="9"/>
      <c r="U5" s="9"/>
      <c r="V5" s="9"/>
      <c r="W5" s="10"/>
      <c r="X5" s="13"/>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row>
    <row r="6" ht="15.75" customHeight="1">
      <c r="A6" s="170" t="s">
        <v>5</v>
      </c>
      <c r="B6" s="171" t="s">
        <v>6</v>
      </c>
      <c r="C6" s="176"/>
      <c r="D6" s="172"/>
      <c r="E6" s="8"/>
      <c r="F6" s="3"/>
      <c r="G6" s="3"/>
      <c r="H6" s="3"/>
      <c r="I6" s="3"/>
      <c r="J6" s="3"/>
      <c r="K6" s="3"/>
      <c r="L6" s="3"/>
      <c r="M6" s="3"/>
      <c r="N6" s="3"/>
      <c r="O6" s="3"/>
      <c r="P6" s="3"/>
      <c r="Q6" s="3"/>
      <c r="R6" s="3"/>
      <c r="S6" s="9"/>
      <c r="T6" s="9"/>
      <c r="U6" s="9"/>
      <c r="V6" s="15"/>
      <c r="W6" s="10"/>
      <c r="X6" s="10"/>
      <c r="Y6" s="9"/>
      <c r="Z6" s="9"/>
      <c r="AA6" s="9"/>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row>
    <row r="7" ht="15.75" customHeight="1">
      <c r="A7" s="9"/>
      <c r="B7" s="171" t="s">
        <v>7</v>
      </c>
      <c r="C7" s="177" t="s">
        <v>145</v>
      </c>
      <c r="D7" s="172"/>
      <c r="E7" s="7"/>
      <c r="F7" s="171" t="s">
        <v>7</v>
      </c>
      <c r="G7" s="178" t="s">
        <v>8</v>
      </c>
      <c r="H7" s="172"/>
      <c r="I7" s="179" t="s">
        <v>146</v>
      </c>
      <c r="K7" s="3"/>
      <c r="L7" s="3"/>
      <c r="M7" s="3"/>
      <c r="N7" s="3"/>
      <c r="O7" s="3"/>
      <c r="P7" s="3"/>
      <c r="Q7" s="3"/>
      <c r="R7" s="3"/>
      <c r="S7" s="9"/>
      <c r="T7" s="9"/>
      <c r="U7" s="9"/>
      <c r="V7" s="9"/>
      <c r="W7" s="9"/>
      <c r="X7" s="9"/>
      <c r="Y7" s="9"/>
      <c r="Z7" s="9"/>
      <c r="AA7" s="9"/>
      <c r="AB7" s="18" t="s">
        <v>9</v>
      </c>
      <c r="AH7" s="19" t="s">
        <v>10</v>
      </c>
      <c r="AX7" s="20" t="s">
        <v>11</v>
      </c>
      <c r="AZ7" s="16"/>
      <c r="BA7" s="16"/>
    </row>
    <row r="8" ht="15.75" customHeight="1">
      <c r="A8" s="9"/>
      <c r="B8" s="180" t="s">
        <v>12</v>
      </c>
      <c r="C8" s="181" t="s">
        <v>13</v>
      </c>
      <c r="D8" s="181" t="s">
        <v>14</v>
      </c>
      <c r="E8" s="182" t="s">
        <v>147</v>
      </c>
      <c r="F8" s="180" t="s">
        <v>12</v>
      </c>
      <c r="G8" s="181" t="s">
        <v>13</v>
      </c>
      <c r="H8" s="181" t="s">
        <v>14</v>
      </c>
      <c r="K8" s="7"/>
      <c r="L8" s="9"/>
      <c r="M8" s="9"/>
      <c r="N8" s="9"/>
      <c r="O8" s="9"/>
      <c r="P8" s="9"/>
      <c r="Q8" s="9"/>
      <c r="R8" s="9"/>
      <c r="S8" s="23"/>
      <c r="T8" s="23"/>
      <c r="U8" s="23"/>
      <c r="V8" s="23"/>
      <c r="W8" s="23"/>
      <c r="X8" s="23"/>
      <c r="Y8" s="23"/>
      <c r="Z8" s="23"/>
      <c r="AA8" s="23"/>
      <c r="AB8" s="24"/>
      <c r="AC8" s="25"/>
      <c r="AD8" s="25"/>
      <c r="AE8" s="25"/>
      <c r="AF8" s="25"/>
      <c r="AG8" s="26"/>
      <c r="AH8" s="24"/>
      <c r="AI8" s="25"/>
      <c r="AJ8" s="25"/>
      <c r="AK8" s="26"/>
      <c r="AL8" s="24"/>
      <c r="AM8" s="25"/>
      <c r="AN8" s="25"/>
      <c r="AO8" s="26"/>
      <c r="AP8" s="24"/>
      <c r="AQ8" s="25"/>
      <c r="AR8" s="25"/>
      <c r="AS8" s="26"/>
      <c r="AT8" s="24"/>
      <c r="AU8" s="25"/>
      <c r="AV8" s="25"/>
      <c r="AW8" s="26"/>
      <c r="AX8" s="24"/>
      <c r="AY8" s="26"/>
      <c r="AZ8" s="27"/>
      <c r="BA8" s="27"/>
    </row>
    <row r="9" ht="15.75" customHeight="1">
      <c r="A9" s="9"/>
      <c r="B9" s="183">
        <v>3.8E7</v>
      </c>
      <c r="C9" s="183">
        <f>B9*D9</f>
        <v>15580000</v>
      </c>
      <c r="D9" s="184">
        <v>0.41</v>
      </c>
      <c r="E9" s="7"/>
      <c r="F9" s="183">
        <v>1.6E7</v>
      </c>
      <c r="G9" s="183">
        <f>F9*H9</f>
        <v>10080000</v>
      </c>
      <c r="H9" s="184">
        <v>0.63</v>
      </c>
      <c r="K9" s="7"/>
      <c r="L9" s="9"/>
      <c r="M9" s="9"/>
      <c r="N9" s="30" t="s">
        <v>134</v>
      </c>
      <c r="O9" s="9"/>
      <c r="P9" s="9"/>
      <c r="Q9" s="9"/>
      <c r="R9" s="9"/>
      <c r="S9" s="23"/>
      <c r="T9" s="23"/>
      <c r="U9" s="23"/>
      <c r="V9" s="23" t="s">
        <v>16</v>
      </c>
      <c r="W9" s="23"/>
      <c r="X9" s="23"/>
      <c r="Y9" s="23"/>
      <c r="Z9" s="23" t="s">
        <v>17</v>
      </c>
      <c r="AA9" s="23"/>
      <c r="AB9" s="31" t="s">
        <v>18</v>
      </c>
      <c r="AD9" s="27" t="s">
        <v>19</v>
      </c>
      <c r="AG9" s="32"/>
      <c r="AH9" s="31" t="s">
        <v>20</v>
      </c>
      <c r="AK9" s="32"/>
      <c r="AL9" s="31" t="s">
        <v>21</v>
      </c>
      <c r="AO9" s="32"/>
      <c r="AP9" s="31" t="s">
        <v>22</v>
      </c>
      <c r="AS9" s="32"/>
      <c r="AT9" s="31" t="s">
        <v>23</v>
      </c>
      <c r="AW9" s="32"/>
      <c r="AX9" s="31" t="s">
        <v>24</v>
      </c>
      <c r="AY9" s="32"/>
      <c r="AZ9" s="27" t="s">
        <v>25</v>
      </c>
    </row>
    <row r="10" ht="15.75" customHeight="1">
      <c r="A10" s="33" t="s">
        <v>2</v>
      </c>
      <c r="B10" s="34" t="s">
        <v>26</v>
      </c>
      <c r="C10" s="34" t="s">
        <v>5</v>
      </c>
      <c r="D10" s="34" t="s">
        <v>27</v>
      </c>
      <c r="E10" s="35" t="s">
        <v>28</v>
      </c>
      <c r="F10" s="36" t="s">
        <v>29</v>
      </c>
      <c r="G10" s="36" t="s">
        <v>30</v>
      </c>
      <c r="H10" s="36" t="s">
        <v>31</v>
      </c>
      <c r="I10" s="36"/>
      <c r="J10" s="36"/>
      <c r="K10" s="36" t="s">
        <v>32</v>
      </c>
      <c r="L10" s="37" t="s">
        <v>33</v>
      </c>
      <c r="M10" s="37" t="s">
        <v>34</v>
      </c>
      <c r="N10" s="37" t="s">
        <v>35</v>
      </c>
      <c r="O10" s="37" t="s">
        <v>36</v>
      </c>
      <c r="P10" s="37" t="s">
        <v>37</v>
      </c>
      <c r="Q10" s="37" t="s">
        <v>38</v>
      </c>
      <c r="R10" s="37" t="s">
        <v>39</v>
      </c>
      <c r="S10" s="37" t="s">
        <v>40</v>
      </c>
      <c r="T10" s="37" t="s">
        <v>148</v>
      </c>
      <c r="U10" s="37" t="s">
        <v>41</v>
      </c>
      <c r="V10" s="37" t="s">
        <v>42</v>
      </c>
      <c r="W10" s="37" t="s">
        <v>43</v>
      </c>
      <c r="X10" s="37" t="s">
        <v>44</v>
      </c>
      <c r="Y10" s="37" t="s">
        <v>149</v>
      </c>
      <c r="Z10" s="37" t="s">
        <v>46</v>
      </c>
      <c r="AA10" s="37" t="s">
        <v>47</v>
      </c>
      <c r="AB10" s="38" t="s">
        <v>48</v>
      </c>
      <c r="AC10" s="39" t="s">
        <v>49</v>
      </c>
      <c r="AD10" s="39" t="s">
        <v>50</v>
      </c>
      <c r="AE10" s="39" t="s">
        <v>51</v>
      </c>
      <c r="AF10" s="39" t="s">
        <v>48</v>
      </c>
      <c r="AG10" s="40" t="s">
        <v>49</v>
      </c>
      <c r="AH10" s="38" t="s">
        <v>50</v>
      </c>
      <c r="AI10" s="39" t="s">
        <v>51</v>
      </c>
      <c r="AJ10" s="39" t="s">
        <v>48</v>
      </c>
      <c r="AK10" s="40" t="s">
        <v>49</v>
      </c>
      <c r="AL10" s="38" t="s">
        <v>50</v>
      </c>
      <c r="AM10" s="39" t="s">
        <v>51</v>
      </c>
      <c r="AN10" s="39" t="s">
        <v>48</v>
      </c>
      <c r="AO10" s="40" t="s">
        <v>49</v>
      </c>
      <c r="AP10" s="38" t="s">
        <v>50</v>
      </c>
      <c r="AQ10" s="39" t="s">
        <v>51</v>
      </c>
      <c r="AR10" s="39" t="s">
        <v>48</v>
      </c>
      <c r="AS10" s="40" t="s">
        <v>49</v>
      </c>
      <c r="AT10" s="38" t="s">
        <v>50</v>
      </c>
      <c r="AU10" s="39" t="s">
        <v>51</v>
      </c>
      <c r="AV10" s="39" t="s">
        <v>48</v>
      </c>
      <c r="AW10" s="40" t="s">
        <v>49</v>
      </c>
      <c r="AX10" s="38" t="s">
        <v>50</v>
      </c>
      <c r="AY10" s="40" t="s">
        <v>51</v>
      </c>
      <c r="AZ10" s="39"/>
    </row>
    <row r="11" ht="15.75" customHeight="1">
      <c r="A11" s="41"/>
      <c r="B11" s="42"/>
      <c r="C11" s="43"/>
      <c r="D11" s="44"/>
      <c r="E11" s="45"/>
      <c r="F11" s="46" t="s">
        <v>52</v>
      </c>
      <c r="G11" s="47"/>
      <c r="H11" s="48">
        <f>E13*G13</f>
        <v>659437.8</v>
      </c>
      <c r="I11" s="46" t="s">
        <v>53</v>
      </c>
      <c r="J11" s="49" t="s">
        <v>150</v>
      </c>
      <c r="K11" s="46" t="s">
        <v>55</v>
      </c>
      <c r="L11" s="50" t="s">
        <v>56</v>
      </c>
      <c r="M11" s="51">
        <v>1.0</v>
      </c>
      <c r="N11" s="51">
        <v>1.0</v>
      </c>
      <c r="O11" s="51">
        <f t="shared" ref="O11:O16" si="1">M11*N11</f>
        <v>1</v>
      </c>
      <c r="P11" s="52">
        <v>0.11</v>
      </c>
      <c r="Q11" s="53">
        <f>H11*P11</f>
        <v>72538.158</v>
      </c>
      <c r="R11" s="54" t="s">
        <v>57</v>
      </c>
      <c r="S11" s="55"/>
      <c r="T11" s="56"/>
      <c r="U11" s="56"/>
      <c r="V11" s="56"/>
      <c r="W11" s="57">
        <v>4.85</v>
      </c>
      <c r="X11" s="56"/>
      <c r="Y11" s="56"/>
      <c r="Z11" s="56"/>
      <c r="AA11" s="58">
        <f>Q11*W11</f>
        <v>351810.0663</v>
      </c>
      <c r="AB11" s="59">
        <f>Q11</f>
        <v>72538.158</v>
      </c>
      <c r="AD11" s="60"/>
      <c r="AG11" s="32"/>
      <c r="AH11" s="61"/>
      <c r="AI11" s="60"/>
      <c r="AJ11" s="60"/>
      <c r="AK11" s="62"/>
      <c r="AL11" s="61"/>
      <c r="AM11" s="60"/>
      <c r="AN11" s="60"/>
      <c r="AO11" s="62"/>
      <c r="AP11" s="61"/>
      <c r="AQ11" s="60"/>
      <c r="AR11" s="60"/>
      <c r="AS11" s="62"/>
      <c r="AT11" s="61"/>
      <c r="AU11" s="60"/>
      <c r="AV11" s="60"/>
      <c r="AW11" s="62"/>
      <c r="AX11" s="61"/>
      <c r="AY11" s="62"/>
      <c r="AZ11" s="185">
        <f>SUM(AB11:AY12)</f>
        <v>72538.158</v>
      </c>
    </row>
    <row r="12" ht="15.75" customHeight="1">
      <c r="A12" s="41"/>
      <c r="B12" s="42"/>
      <c r="C12" s="43"/>
      <c r="D12" s="44"/>
      <c r="E12" s="45"/>
      <c r="F12" s="64"/>
      <c r="G12" s="47"/>
      <c r="H12" s="64"/>
      <c r="I12" s="64"/>
      <c r="K12" s="65"/>
      <c r="M12" s="51">
        <v>1.0</v>
      </c>
      <c r="N12" s="51">
        <v>1.0</v>
      </c>
      <c r="O12" s="51">
        <f t="shared" si="1"/>
        <v>1</v>
      </c>
      <c r="P12" s="65"/>
      <c r="Q12" s="65"/>
      <c r="R12" s="65"/>
      <c r="S12" s="65"/>
      <c r="T12" s="56"/>
      <c r="U12" s="56"/>
      <c r="V12" s="56"/>
      <c r="W12" s="65"/>
      <c r="X12" s="56"/>
      <c r="Y12" s="56"/>
      <c r="Z12" s="56"/>
      <c r="AA12" s="58"/>
      <c r="AB12" s="66"/>
      <c r="AD12" s="60"/>
      <c r="AG12" s="32"/>
      <c r="AH12" s="61"/>
      <c r="AI12" s="60"/>
      <c r="AJ12" s="60"/>
      <c r="AK12" s="62"/>
      <c r="AL12" s="61"/>
      <c r="AM12" s="60"/>
      <c r="AN12" s="60"/>
      <c r="AO12" s="62"/>
      <c r="AP12" s="61"/>
      <c r="AQ12" s="60"/>
      <c r="AR12" s="60"/>
      <c r="AS12" s="62"/>
      <c r="AT12" s="61"/>
      <c r="AU12" s="60"/>
      <c r="AV12" s="60"/>
      <c r="AW12" s="62"/>
      <c r="AX12" s="61"/>
      <c r="AY12" s="62"/>
    </row>
    <row r="13" ht="15.75" customHeight="1">
      <c r="A13" s="67" t="s">
        <v>144</v>
      </c>
      <c r="B13" s="68" t="s">
        <v>59</v>
      </c>
      <c r="C13" s="69" t="s">
        <v>60</v>
      </c>
      <c r="D13" s="70">
        <v>0.6</v>
      </c>
      <c r="E13" s="71">
        <f>B5*D13</f>
        <v>1318875.6</v>
      </c>
      <c r="F13" s="64"/>
      <c r="G13" s="72">
        <v>0.5</v>
      </c>
      <c r="H13" s="64"/>
      <c r="I13" s="64"/>
      <c r="J13" s="161" t="s">
        <v>151</v>
      </c>
      <c r="K13" s="45" t="s">
        <v>62</v>
      </c>
      <c r="L13" s="73" t="s">
        <v>63</v>
      </c>
      <c r="M13" s="51">
        <v>1.0</v>
      </c>
      <c r="N13" s="51">
        <v>2.0</v>
      </c>
      <c r="O13" s="51">
        <f t="shared" si="1"/>
        <v>2</v>
      </c>
      <c r="P13" s="52">
        <v>0.38</v>
      </c>
      <c r="Q13" s="53">
        <f>H11*P13</f>
        <v>250586.364</v>
      </c>
      <c r="R13" s="54" t="s">
        <v>44</v>
      </c>
      <c r="S13" s="57">
        <v>0.3</v>
      </c>
      <c r="T13" s="74"/>
      <c r="U13" s="74"/>
      <c r="V13" s="74"/>
      <c r="W13" s="57">
        <v>4.85</v>
      </c>
      <c r="X13" s="75">
        <f>Q13/S13</f>
        <v>835287.88</v>
      </c>
      <c r="Y13" s="74"/>
      <c r="Z13" s="74"/>
      <c r="AA13" s="76">
        <f>Q13/W13*1000</f>
        <v>51667291.55</v>
      </c>
      <c r="AB13" s="61"/>
      <c r="AD13" s="77">
        <v>100000.0</v>
      </c>
      <c r="AG13" s="32"/>
      <c r="AH13" s="77">
        <v>50586.0</v>
      </c>
      <c r="AK13" s="32"/>
      <c r="AL13" s="77">
        <v>50000.0</v>
      </c>
      <c r="AO13" s="32"/>
      <c r="AP13" s="77">
        <v>50000.0</v>
      </c>
      <c r="AS13" s="32"/>
      <c r="AT13" s="61"/>
      <c r="AW13" s="32"/>
      <c r="AX13" s="61"/>
      <c r="AY13" s="32"/>
      <c r="AZ13" s="185">
        <f>SUM(AB13:AY14)</f>
        <v>250586</v>
      </c>
    </row>
    <row r="14" ht="15.75" customHeight="1">
      <c r="A14" s="64"/>
      <c r="B14" s="64"/>
      <c r="C14" s="64"/>
      <c r="D14" s="64"/>
      <c r="E14" s="64"/>
      <c r="F14" s="64"/>
      <c r="G14" s="64"/>
      <c r="H14" s="64"/>
      <c r="I14" s="65"/>
      <c r="J14" s="64"/>
      <c r="K14" s="45" t="s">
        <v>64</v>
      </c>
      <c r="L14" s="73" t="s">
        <v>63</v>
      </c>
      <c r="M14" s="51">
        <v>1.0</v>
      </c>
      <c r="N14" s="51">
        <v>2.0</v>
      </c>
      <c r="O14" s="51">
        <f t="shared" si="1"/>
        <v>2</v>
      </c>
      <c r="P14" s="65"/>
      <c r="Q14" s="65"/>
      <c r="R14" s="65"/>
      <c r="S14" s="65"/>
      <c r="T14" s="74"/>
      <c r="U14" s="74"/>
      <c r="V14" s="74"/>
      <c r="W14" s="65"/>
      <c r="X14" s="65"/>
      <c r="Y14" s="74"/>
      <c r="Z14" s="74"/>
      <c r="AA14" s="78"/>
      <c r="AB14" s="66"/>
      <c r="AG14" s="32"/>
      <c r="AK14" s="32"/>
      <c r="AO14" s="32"/>
      <c r="AS14" s="32"/>
      <c r="AT14" s="61"/>
      <c r="AW14" s="32"/>
      <c r="AX14" s="61"/>
      <c r="AY14" s="32"/>
    </row>
    <row r="15" ht="15.75" customHeight="1">
      <c r="A15" s="64"/>
      <c r="B15" s="64"/>
      <c r="C15" s="64"/>
      <c r="D15" s="64"/>
      <c r="E15" s="64"/>
      <c r="F15" s="64"/>
      <c r="G15" s="64"/>
      <c r="H15" s="64"/>
      <c r="I15" s="46" t="s">
        <v>65</v>
      </c>
      <c r="J15" s="64"/>
      <c r="K15" s="45" t="s">
        <v>66</v>
      </c>
      <c r="L15" s="73" t="s">
        <v>63</v>
      </c>
      <c r="M15" s="51">
        <v>1.0</v>
      </c>
      <c r="N15" s="51">
        <v>4.0</v>
      </c>
      <c r="O15" s="51">
        <f t="shared" si="1"/>
        <v>4</v>
      </c>
      <c r="P15" s="52">
        <v>0.2</v>
      </c>
      <c r="Q15" s="53">
        <f>H11*P15</f>
        <v>131887.56</v>
      </c>
      <c r="R15" s="54" t="s">
        <v>44</v>
      </c>
      <c r="S15" s="57">
        <v>0.3</v>
      </c>
      <c r="T15" s="74"/>
      <c r="U15" s="74"/>
      <c r="V15" s="74"/>
      <c r="W15" s="57">
        <v>4.85</v>
      </c>
      <c r="X15" s="75">
        <f>Q15/S15</f>
        <v>439625.2</v>
      </c>
      <c r="Y15" s="74"/>
      <c r="Z15" s="74"/>
      <c r="AA15" s="76">
        <f>Q15/W15*1000</f>
        <v>27193311.34</v>
      </c>
      <c r="AB15" s="61"/>
      <c r="AC15" s="60"/>
      <c r="AD15" s="60"/>
      <c r="AG15" s="32"/>
      <c r="AH15" s="79">
        <f>42971.89-78</f>
        <v>42893.89</v>
      </c>
      <c r="AK15" s="32"/>
      <c r="AL15" s="79">
        <f>22971.89+78</f>
        <v>23049.89</v>
      </c>
      <c r="AO15" s="32"/>
      <c r="AP15" s="79">
        <v>32971.89</v>
      </c>
      <c r="AS15" s="32"/>
      <c r="AT15" s="79">
        <v>32971.89</v>
      </c>
      <c r="AW15" s="32"/>
      <c r="AX15" s="61"/>
      <c r="AY15" s="32"/>
      <c r="AZ15" s="185">
        <f>AH15+AL15+AP15+AT15</f>
        <v>131887.56</v>
      </c>
    </row>
    <row r="16" ht="15.75" customHeight="1">
      <c r="A16" s="64"/>
      <c r="B16" s="64"/>
      <c r="C16" s="64"/>
      <c r="D16" s="64"/>
      <c r="E16" s="64"/>
      <c r="F16" s="64"/>
      <c r="G16" s="64"/>
      <c r="H16" s="64"/>
      <c r="I16" s="64"/>
      <c r="J16" s="64"/>
      <c r="K16" s="45" t="s">
        <v>67</v>
      </c>
      <c r="L16" s="73" t="s">
        <v>63</v>
      </c>
      <c r="M16" s="51">
        <v>1.0</v>
      </c>
      <c r="N16" s="51">
        <v>4.0</v>
      </c>
      <c r="O16" s="51">
        <f t="shared" si="1"/>
        <v>4</v>
      </c>
      <c r="P16" s="65"/>
      <c r="Q16" s="65"/>
      <c r="R16" s="65"/>
      <c r="S16" s="65"/>
      <c r="T16" s="74"/>
      <c r="U16" s="74"/>
      <c r="V16" s="74"/>
      <c r="W16" s="65"/>
      <c r="X16" s="65"/>
      <c r="Y16" s="74"/>
      <c r="Z16" s="74"/>
      <c r="AA16" s="78"/>
      <c r="AB16" s="61"/>
      <c r="AD16" s="60"/>
      <c r="AG16" s="32"/>
      <c r="AH16" s="66"/>
      <c r="AK16" s="32"/>
      <c r="AL16" s="66"/>
      <c r="AO16" s="32"/>
      <c r="AP16" s="66"/>
      <c r="AS16" s="32"/>
      <c r="AT16" s="66"/>
      <c r="AW16" s="32"/>
      <c r="AX16" s="61"/>
      <c r="AY16" s="32"/>
    </row>
    <row r="17" ht="15.75" customHeight="1">
      <c r="A17" s="64"/>
      <c r="B17" s="64"/>
      <c r="C17" s="64"/>
      <c r="D17" s="64"/>
      <c r="E17" s="64"/>
      <c r="F17" s="64"/>
      <c r="G17" s="64"/>
      <c r="H17" s="64"/>
      <c r="I17" s="65"/>
      <c r="J17" s="64"/>
      <c r="K17" s="45" t="s">
        <v>140</v>
      </c>
      <c r="L17" s="73" t="s">
        <v>73</v>
      </c>
      <c r="M17" s="51" t="s">
        <v>70</v>
      </c>
      <c r="N17" s="51" t="s">
        <v>70</v>
      </c>
      <c r="O17" s="51" t="s">
        <v>70</v>
      </c>
      <c r="P17" s="80">
        <v>0.2</v>
      </c>
      <c r="Q17" s="81">
        <f>H11*P17</f>
        <v>131887.56</v>
      </c>
      <c r="R17" s="82" t="s">
        <v>44</v>
      </c>
      <c r="S17" s="83">
        <v>0.3</v>
      </c>
      <c r="T17" s="74"/>
      <c r="U17" s="74"/>
      <c r="V17" s="74"/>
      <c r="W17" s="83">
        <v>4.85</v>
      </c>
      <c r="X17" s="51">
        <f t="shared" ref="X17:X18" si="2">Q17/S17</f>
        <v>439625.2</v>
      </c>
      <c r="Y17" s="74"/>
      <c r="Z17" s="74"/>
      <c r="AA17" s="84">
        <f t="shared" ref="AA17:AA18" si="3">Q17/W17*1000</f>
        <v>27193311.34</v>
      </c>
      <c r="AB17" s="61"/>
      <c r="AD17" s="60"/>
      <c r="AG17" s="32"/>
      <c r="AH17" s="85">
        <f>Q17/3</f>
        <v>43962.52</v>
      </c>
      <c r="AK17" s="32"/>
      <c r="AL17" s="85">
        <v>33962.52</v>
      </c>
      <c r="AO17" s="32"/>
      <c r="AP17" s="85">
        <v>33962.52</v>
      </c>
      <c r="AS17" s="32"/>
      <c r="AT17" s="85">
        <v>20000.0</v>
      </c>
      <c r="AW17" s="32"/>
      <c r="AX17" s="61"/>
      <c r="AY17" s="32"/>
      <c r="AZ17" s="185">
        <f>AL17+AP17+AT17+AH17</f>
        <v>131887.56</v>
      </c>
    </row>
    <row r="18" ht="15.75" customHeight="1">
      <c r="A18" s="64"/>
      <c r="B18" s="64"/>
      <c r="C18" s="64"/>
      <c r="D18" s="64"/>
      <c r="E18" s="64"/>
      <c r="F18" s="64"/>
      <c r="G18" s="64"/>
      <c r="H18" s="64"/>
      <c r="I18" s="46" t="s">
        <v>71</v>
      </c>
      <c r="J18" s="64"/>
      <c r="K18" s="45" t="s">
        <v>72</v>
      </c>
      <c r="L18" s="73" t="s">
        <v>73</v>
      </c>
      <c r="M18" s="51">
        <v>1.0</v>
      </c>
      <c r="N18" s="51">
        <v>2.0</v>
      </c>
      <c r="O18" s="51">
        <f t="shared" ref="O18:O19" si="4">M18*N18</f>
        <v>2</v>
      </c>
      <c r="P18" s="52">
        <v>0.11</v>
      </c>
      <c r="Q18" s="53">
        <f>H11*P18</f>
        <v>72538.158</v>
      </c>
      <c r="R18" s="54" t="s">
        <v>44</v>
      </c>
      <c r="S18" s="57">
        <v>0.3</v>
      </c>
      <c r="T18" s="74"/>
      <c r="U18" s="74"/>
      <c r="V18" s="74"/>
      <c r="W18" s="57">
        <v>4.85</v>
      </c>
      <c r="X18" s="75">
        <f t="shared" si="2"/>
        <v>241793.86</v>
      </c>
      <c r="Y18" s="74"/>
      <c r="Z18" s="74"/>
      <c r="AA18" s="76">
        <f t="shared" si="3"/>
        <v>14956321.24</v>
      </c>
      <c r="AB18" s="61"/>
      <c r="AD18" s="60"/>
      <c r="AG18" s="32"/>
      <c r="AH18" s="61"/>
      <c r="AK18" s="32"/>
      <c r="AL18" s="61"/>
      <c r="AO18" s="32"/>
      <c r="AP18" s="86">
        <f>Q18/2</f>
        <v>36269.079</v>
      </c>
      <c r="AS18" s="32"/>
      <c r="AT18" s="86">
        <v>36269.079</v>
      </c>
      <c r="AW18" s="32"/>
      <c r="AX18" s="61"/>
      <c r="AY18" s="32"/>
      <c r="AZ18" s="185">
        <f>AL18+AP18+AT18</f>
        <v>72538.158</v>
      </c>
    </row>
    <row r="19" ht="15.75" customHeight="1">
      <c r="A19" s="64"/>
      <c r="B19" s="64"/>
      <c r="C19" s="64"/>
      <c r="D19" s="64"/>
      <c r="E19" s="64"/>
      <c r="F19" s="65"/>
      <c r="G19" s="65"/>
      <c r="H19" s="65"/>
      <c r="I19" s="65"/>
      <c r="J19" s="65"/>
      <c r="K19" s="45" t="s">
        <v>74</v>
      </c>
      <c r="L19" s="73" t="s">
        <v>73</v>
      </c>
      <c r="M19" s="51">
        <v>1.0</v>
      </c>
      <c r="N19" s="51">
        <v>2.0</v>
      </c>
      <c r="O19" s="51">
        <f t="shared" si="4"/>
        <v>2</v>
      </c>
      <c r="P19" s="65"/>
      <c r="Q19" s="65"/>
      <c r="R19" s="65"/>
      <c r="S19" s="65"/>
      <c r="T19" s="74"/>
      <c r="U19" s="74"/>
      <c r="V19" s="74"/>
      <c r="W19" s="65"/>
      <c r="X19" s="65"/>
      <c r="Y19" s="74"/>
      <c r="Z19" s="74"/>
      <c r="AA19" s="78"/>
      <c r="AB19" s="61"/>
      <c r="AD19" s="60"/>
      <c r="AG19" s="32"/>
      <c r="AH19" s="61"/>
      <c r="AK19" s="32"/>
      <c r="AL19" s="66"/>
      <c r="AO19" s="32"/>
      <c r="AP19" s="66"/>
      <c r="AS19" s="32"/>
      <c r="AT19" s="66"/>
      <c r="AW19" s="32"/>
      <c r="AX19" s="61"/>
      <c r="AY19" s="32"/>
    </row>
    <row r="20" ht="6.75" customHeight="1">
      <c r="A20" s="64"/>
      <c r="B20" s="64"/>
      <c r="C20" s="64"/>
      <c r="D20" s="64"/>
      <c r="E20" s="64"/>
      <c r="F20" s="87"/>
      <c r="G20" s="88"/>
      <c r="H20" s="87"/>
      <c r="I20" s="87"/>
      <c r="J20" s="87"/>
      <c r="K20" s="89"/>
      <c r="L20" s="90"/>
      <c r="M20" s="91"/>
      <c r="N20" s="91"/>
      <c r="O20" s="91"/>
      <c r="P20" s="90"/>
      <c r="Q20" s="92"/>
      <c r="R20" s="93"/>
      <c r="S20" s="94"/>
      <c r="T20" s="94"/>
      <c r="U20" s="94"/>
      <c r="V20" s="94"/>
      <c r="W20" s="94"/>
      <c r="X20" s="91"/>
      <c r="Y20" s="94"/>
      <c r="Z20" s="94"/>
      <c r="AA20" s="95"/>
      <c r="AB20" s="96"/>
      <c r="AC20" s="97"/>
      <c r="AD20" s="97"/>
      <c r="AE20" s="97"/>
      <c r="AF20" s="97"/>
      <c r="AG20" s="98"/>
      <c r="AH20" s="96"/>
      <c r="AI20" s="97"/>
      <c r="AJ20" s="97"/>
      <c r="AK20" s="98"/>
      <c r="AL20" s="96"/>
      <c r="AM20" s="97"/>
      <c r="AN20" s="97"/>
      <c r="AO20" s="98"/>
      <c r="AP20" s="96"/>
      <c r="AQ20" s="97"/>
      <c r="AR20" s="97"/>
      <c r="AS20" s="98"/>
      <c r="AT20" s="96"/>
      <c r="AU20" s="97"/>
      <c r="AV20" s="97"/>
      <c r="AW20" s="98"/>
      <c r="AX20" s="96"/>
      <c r="AY20" s="98"/>
      <c r="AZ20" s="186"/>
      <c r="BA20" s="186"/>
    </row>
    <row r="21" ht="15.75" customHeight="1">
      <c r="A21" s="64"/>
      <c r="B21" s="64"/>
      <c r="C21" s="64"/>
      <c r="D21" s="64"/>
      <c r="E21" s="64"/>
      <c r="F21" s="99" t="s">
        <v>75</v>
      </c>
      <c r="G21" s="100"/>
      <c r="H21" s="101"/>
      <c r="I21" s="102" t="s">
        <v>76</v>
      </c>
      <c r="J21" s="103" t="s">
        <v>77</v>
      </c>
      <c r="K21" s="45" t="s">
        <v>78</v>
      </c>
      <c r="L21" s="73" t="s">
        <v>63</v>
      </c>
      <c r="M21" s="51">
        <v>2.0</v>
      </c>
      <c r="N21" s="51">
        <v>2.0</v>
      </c>
      <c r="O21" s="51">
        <f>M21*N21</f>
        <v>4</v>
      </c>
      <c r="P21" s="80">
        <v>0.22</v>
      </c>
      <c r="Q21" s="81">
        <f>H22*P21</f>
        <v>145076.316</v>
      </c>
      <c r="R21" s="82" t="s">
        <v>148</v>
      </c>
      <c r="S21" s="74"/>
      <c r="T21" s="83">
        <v>0.1</v>
      </c>
      <c r="U21" s="74"/>
      <c r="V21" s="74"/>
      <c r="W21" s="74"/>
      <c r="X21" s="74"/>
      <c r="Y21" s="51">
        <f>Q21/T21</f>
        <v>1450763.16</v>
      </c>
      <c r="Z21" s="74"/>
      <c r="AA21" s="74"/>
      <c r="AB21" s="61"/>
      <c r="AD21" s="77">
        <v>145076.316</v>
      </c>
      <c r="AG21" s="32"/>
      <c r="AH21" s="61"/>
      <c r="AK21" s="32"/>
      <c r="AL21" s="61"/>
      <c r="AO21" s="32"/>
      <c r="AP21" s="61"/>
      <c r="AS21" s="32"/>
      <c r="AT21" s="61"/>
      <c r="AW21" s="32"/>
      <c r="AX21" s="61"/>
      <c r="AY21" s="32"/>
      <c r="AZ21" s="185">
        <f>AD21</f>
        <v>145076.316</v>
      </c>
    </row>
    <row r="22" ht="15.75" customHeight="1">
      <c r="A22" s="64"/>
      <c r="B22" s="64"/>
      <c r="C22" s="64"/>
      <c r="D22" s="64"/>
      <c r="E22" s="64"/>
      <c r="F22" s="64"/>
      <c r="G22" s="100"/>
      <c r="H22" s="104">
        <f>E13*G24</f>
        <v>659437.8</v>
      </c>
      <c r="I22" s="105" t="s">
        <v>79</v>
      </c>
      <c r="J22" s="106" t="s">
        <v>80</v>
      </c>
      <c r="K22" s="45" t="s">
        <v>81</v>
      </c>
      <c r="L22" s="82" t="s">
        <v>82</v>
      </c>
      <c r="M22" s="51" t="s">
        <v>70</v>
      </c>
      <c r="N22" s="51" t="s">
        <v>70</v>
      </c>
      <c r="O22" s="51" t="s">
        <v>70</v>
      </c>
      <c r="P22" s="80">
        <v>0.35</v>
      </c>
      <c r="Q22" s="81">
        <f>H22*P22</f>
        <v>230803.23</v>
      </c>
      <c r="R22" s="82" t="s">
        <v>43</v>
      </c>
      <c r="S22" s="74"/>
      <c r="T22" s="74"/>
      <c r="U22" s="74"/>
      <c r="V22" s="74"/>
      <c r="W22" s="81">
        <v>37.0</v>
      </c>
      <c r="X22" s="74"/>
      <c r="Y22" s="74"/>
      <c r="Z22" s="74"/>
      <c r="AA22" s="84">
        <f>Q22/W22*1000</f>
        <v>6237925.135</v>
      </c>
      <c r="AB22" s="61"/>
      <c r="AD22" s="107">
        <v>100401.615</v>
      </c>
      <c r="AG22" s="32"/>
      <c r="AH22" s="79">
        <v>130401.615</v>
      </c>
      <c r="AK22" s="32"/>
      <c r="AL22" s="61"/>
      <c r="AO22" s="32"/>
      <c r="AP22" s="61"/>
      <c r="AS22" s="32"/>
      <c r="AT22" s="61"/>
      <c r="AW22" s="32"/>
      <c r="AX22" s="61"/>
      <c r="AY22" s="32"/>
      <c r="AZ22" s="185">
        <f>AD22+AH22</f>
        <v>230803.23</v>
      </c>
    </row>
    <row r="23" ht="15.75" customHeight="1">
      <c r="A23" s="64"/>
      <c r="B23" s="64"/>
      <c r="C23" s="64"/>
      <c r="D23" s="64"/>
      <c r="E23" s="64"/>
      <c r="F23" s="64"/>
      <c r="G23" s="100"/>
      <c r="H23" s="108"/>
      <c r="I23" s="109"/>
      <c r="J23" s="106" t="s">
        <v>77</v>
      </c>
      <c r="K23" s="45" t="s">
        <v>83</v>
      </c>
      <c r="L23" s="73" t="s">
        <v>63</v>
      </c>
      <c r="M23" s="51">
        <v>3.0</v>
      </c>
      <c r="N23" s="51">
        <v>3.0</v>
      </c>
      <c r="O23" s="51">
        <f t="shared" ref="O23:O24" si="5">M23*N23</f>
        <v>9</v>
      </c>
      <c r="P23" s="80">
        <v>0.18</v>
      </c>
      <c r="Q23" s="81">
        <f>H22*P23</f>
        <v>118698.804</v>
      </c>
      <c r="R23" s="82" t="s">
        <v>148</v>
      </c>
      <c r="S23" s="74"/>
      <c r="T23" s="83">
        <v>0.1</v>
      </c>
      <c r="U23" s="74"/>
      <c r="V23" s="74"/>
      <c r="W23" s="74"/>
      <c r="X23" s="74"/>
      <c r="Y23" s="51">
        <f t="shared" ref="Y23:Y24" si="6">Q23/T23</f>
        <v>1186988.04</v>
      </c>
      <c r="Z23" s="74"/>
      <c r="AA23" s="74"/>
      <c r="AB23" s="61"/>
      <c r="AD23" s="60"/>
      <c r="AG23" s="32"/>
      <c r="AH23" s="61"/>
      <c r="AK23" s="32"/>
      <c r="AL23" s="79">
        <f>Q23/2</f>
        <v>59349.402</v>
      </c>
      <c r="AO23" s="32"/>
      <c r="AP23" s="79">
        <v>59349.401999999995</v>
      </c>
      <c r="AS23" s="32"/>
      <c r="AT23" s="61"/>
      <c r="AW23" s="32"/>
      <c r="AX23" s="61"/>
      <c r="AY23" s="32"/>
      <c r="AZ23" s="185">
        <f>AL23+AP23+AT23</f>
        <v>118698.804</v>
      </c>
    </row>
    <row r="24" ht="15.75" customHeight="1">
      <c r="A24" s="64"/>
      <c r="B24" s="64"/>
      <c r="C24" s="65"/>
      <c r="D24" s="65"/>
      <c r="E24" s="65"/>
      <c r="F24" s="64"/>
      <c r="G24" s="100">
        <v>0.5</v>
      </c>
      <c r="H24" s="108"/>
      <c r="I24" s="110" t="s">
        <v>53</v>
      </c>
      <c r="J24" s="111"/>
      <c r="K24" s="45" t="s">
        <v>78</v>
      </c>
      <c r="L24" s="73" t="s">
        <v>63</v>
      </c>
      <c r="M24" s="51">
        <v>2.0</v>
      </c>
      <c r="N24" s="51">
        <v>3.0</v>
      </c>
      <c r="O24" s="51">
        <f t="shared" si="5"/>
        <v>6</v>
      </c>
      <c r="P24" s="80">
        <v>0.25</v>
      </c>
      <c r="Q24" s="81">
        <f>H22*P24</f>
        <v>164859.45</v>
      </c>
      <c r="R24" s="82" t="s">
        <v>148</v>
      </c>
      <c r="S24" s="74"/>
      <c r="T24" s="83">
        <v>0.1</v>
      </c>
      <c r="U24" s="74"/>
      <c r="V24" s="74"/>
      <c r="W24" s="74"/>
      <c r="X24" s="74"/>
      <c r="Y24" s="51">
        <f t="shared" si="6"/>
        <v>1648594.5</v>
      </c>
      <c r="Z24" s="74"/>
      <c r="AA24" s="74"/>
      <c r="AB24" s="61"/>
      <c r="AD24" s="60"/>
      <c r="AG24" s="32"/>
      <c r="AH24" s="61"/>
      <c r="AK24" s="32"/>
      <c r="AL24" s="77">
        <v>164859.44999999998</v>
      </c>
      <c r="AO24" s="32"/>
      <c r="AP24" s="61"/>
      <c r="AQ24" s="60"/>
      <c r="AR24" s="60"/>
      <c r="AS24" s="62"/>
      <c r="AT24" s="61"/>
      <c r="AU24" s="60"/>
      <c r="AV24" s="60"/>
      <c r="AW24" s="62"/>
      <c r="AX24" s="61"/>
      <c r="AY24" s="62"/>
      <c r="AZ24" s="185">
        <f>AL24</f>
        <v>164859.45</v>
      </c>
    </row>
    <row r="25" ht="7.5" customHeight="1">
      <c r="A25" s="64"/>
      <c r="B25" s="64"/>
      <c r="C25" s="112"/>
      <c r="D25" s="112"/>
      <c r="E25" s="113"/>
      <c r="F25" s="114"/>
      <c r="G25" s="115"/>
      <c r="H25" s="114"/>
      <c r="I25" s="114"/>
      <c r="J25" s="114"/>
      <c r="K25" s="116"/>
      <c r="L25" s="117"/>
      <c r="M25" s="118"/>
      <c r="N25" s="118"/>
      <c r="O25" s="91"/>
      <c r="P25" s="117"/>
      <c r="Q25" s="119"/>
      <c r="R25" s="120"/>
      <c r="S25" s="121"/>
      <c r="T25" s="121"/>
      <c r="U25" s="121"/>
      <c r="V25" s="121"/>
      <c r="W25" s="121"/>
      <c r="X25" s="118"/>
      <c r="Y25" s="121"/>
      <c r="Z25" s="121"/>
      <c r="AA25" s="122"/>
      <c r="AB25" s="123"/>
      <c r="AC25" s="124"/>
      <c r="AD25" s="124"/>
      <c r="AE25" s="124"/>
      <c r="AF25" s="124"/>
      <c r="AG25" s="125"/>
      <c r="AH25" s="123"/>
      <c r="AI25" s="124"/>
      <c r="AJ25" s="124"/>
      <c r="AK25" s="125"/>
      <c r="AL25" s="123"/>
      <c r="AM25" s="124"/>
      <c r="AN25" s="124"/>
      <c r="AO25" s="125"/>
      <c r="AP25" s="123"/>
      <c r="AQ25" s="124"/>
      <c r="AR25" s="124"/>
      <c r="AS25" s="125"/>
      <c r="AT25" s="123"/>
      <c r="AU25" s="124"/>
      <c r="AV25" s="124"/>
      <c r="AW25" s="125"/>
      <c r="AX25" s="123"/>
      <c r="AY25" s="125"/>
      <c r="AZ25" s="187"/>
      <c r="BA25" s="187"/>
    </row>
    <row r="26" ht="15.75" customHeight="1">
      <c r="A26" s="64"/>
      <c r="B26" s="64"/>
      <c r="C26" s="69" t="s">
        <v>84</v>
      </c>
      <c r="D26" s="70">
        <v>0.4</v>
      </c>
      <c r="E26" s="71">
        <f>B5*D26</f>
        <v>879250.4</v>
      </c>
      <c r="F26" s="161" t="s">
        <v>135</v>
      </c>
      <c r="G26" s="72">
        <v>0.56</v>
      </c>
      <c r="H26" s="48">
        <f>E26*G26</f>
        <v>492380.224</v>
      </c>
      <c r="I26" s="46" t="s">
        <v>53</v>
      </c>
      <c r="J26" s="126" t="s">
        <v>86</v>
      </c>
      <c r="K26" s="45" t="s">
        <v>87</v>
      </c>
      <c r="L26" s="73" t="s">
        <v>56</v>
      </c>
      <c r="M26" s="51">
        <v>1.0</v>
      </c>
      <c r="N26" s="51">
        <v>1.0</v>
      </c>
      <c r="O26" s="51">
        <f t="shared" ref="O26:O30" si="7">M26*N26</f>
        <v>1</v>
      </c>
      <c r="P26" s="80">
        <v>0.2</v>
      </c>
      <c r="Q26" s="81">
        <f>H26*P26</f>
        <v>98476.0448</v>
      </c>
      <c r="R26" s="127" t="s">
        <v>88</v>
      </c>
      <c r="S26" s="74"/>
      <c r="T26" s="74"/>
      <c r="U26" s="74"/>
      <c r="V26" s="74"/>
      <c r="W26" s="83">
        <v>2.5</v>
      </c>
      <c r="X26" s="74"/>
      <c r="Y26" s="74"/>
      <c r="Z26" s="74"/>
      <c r="AA26" s="84">
        <f t="shared" ref="AA26:AA27" si="8">Q26/W26*1000</f>
        <v>39390417.92</v>
      </c>
      <c r="AB26" s="59">
        <f>Q26</f>
        <v>98476.0448</v>
      </c>
      <c r="AD26" s="77"/>
      <c r="AE26" s="77"/>
      <c r="AF26" s="77"/>
      <c r="AG26" s="128"/>
      <c r="AH26" s="61"/>
      <c r="AI26" s="60"/>
      <c r="AJ26" s="60"/>
      <c r="AK26" s="62"/>
      <c r="AL26" s="61"/>
      <c r="AM26" s="60"/>
      <c r="AN26" s="60"/>
      <c r="AO26" s="62"/>
      <c r="AP26" s="61"/>
      <c r="AQ26" s="60"/>
      <c r="AR26" s="60"/>
      <c r="AS26" s="62"/>
      <c r="AT26" s="61"/>
      <c r="AU26" s="60"/>
      <c r="AV26" s="60"/>
      <c r="AW26" s="62"/>
      <c r="AX26" s="61"/>
      <c r="AY26" s="62"/>
      <c r="AZ26" s="185">
        <f>AB26</f>
        <v>98476.0448</v>
      </c>
      <c r="BA26" s="188"/>
    </row>
    <row r="27" ht="15.75" customHeight="1">
      <c r="A27" s="64"/>
      <c r="B27" s="64"/>
      <c r="C27" s="64"/>
      <c r="D27" s="64"/>
      <c r="E27" s="64"/>
      <c r="F27" s="64"/>
      <c r="G27" s="64"/>
      <c r="H27" s="64"/>
      <c r="I27" s="64"/>
      <c r="J27" s="46" t="s">
        <v>89</v>
      </c>
      <c r="K27" s="45" t="s">
        <v>90</v>
      </c>
      <c r="L27" s="73" t="s">
        <v>63</v>
      </c>
      <c r="M27" s="51">
        <v>1.0</v>
      </c>
      <c r="N27" s="51">
        <v>2.0</v>
      </c>
      <c r="O27" s="51">
        <f t="shared" si="7"/>
        <v>2</v>
      </c>
      <c r="P27" s="52">
        <v>0.2</v>
      </c>
      <c r="Q27" s="53">
        <f>H26*P27</f>
        <v>98476.0448</v>
      </c>
      <c r="R27" s="129" t="s">
        <v>152</v>
      </c>
      <c r="S27" s="57">
        <v>0.5</v>
      </c>
      <c r="T27" s="74"/>
      <c r="U27" s="74"/>
      <c r="V27" s="74"/>
      <c r="W27" s="57">
        <v>2.5</v>
      </c>
      <c r="X27" s="75">
        <f>Q27/S27</f>
        <v>196952.0896</v>
      </c>
      <c r="Y27" s="74"/>
      <c r="Z27" s="74"/>
      <c r="AA27" s="76">
        <f t="shared" si="8"/>
        <v>39390417.92</v>
      </c>
      <c r="AB27" s="61"/>
      <c r="AD27" s="77">
        <f>Q27</f>
        <v>98476.0448</v>
      </c>
      <c r="AG27" s="32"/>
      <c r="AH27" s="61"/>
      <c r="AI27" s="60"/>
      <c r="AJ27" s="60"/>
      <c r="AK27" s="62"/>
      <c r="AL27" s="61"/>
      <c r="AM27" s="60"/>
      <c r="AN27" s="60"/>
      <c r="AO27" s="62"/>
      <c r="AP27" s="61"/>
      <c r="AQ27" s="60"/>
      <c r="AR27" s="60"/>
      <c r="AS27" s="62"/>
      <c r="AT27" s="61"/>
      <c r="AU27" s="60"/>
      <c r="AV27" s="60"/>
      <c r="AW27" s="62"/>
      <c r="AX27" s="61"/>
      <c r="AY27" s="62"/>
      <c r="AZ27" s="185">
        <f>AD27</f>
        <v>98476.0448</v>
      </c>
    </row>
    <row r="28" ht="15.75" customHeight="1">
      <c r="A28" s="64"/>
      <c r="B28" s="64"/>
      <c r="C28" s="64"/>
      <c r="D28" s="64"/>
      <c r="E28" s="64"/>
      <c r="F28" s="64"/>
      <c r="G28" s="64"/>
      <c r="H28" s="64"/>
      <c r="I28" s="65"/>
      <c r="J28" s="64"/>
      <c r="K28" s="45" t="s">
        <v>92</v>
      </c>
      <c r="L28" s="73" t="s">
        <v>63</v>
      </c>
      <c r="M28" s="51">
        <v>1.0</v>
      </c>
      <c r="N28" s="51">
        <v>2.0</v>
      </c>
      <c r="O28" s="51">
        <f t="shared" si="7"/>
        <v>2</v>
      </c>
      <c r="P28" s="65"/>
      <c r="Q28" s="65"/>
      <c r="R28" s="65"/>
      <c r="S28" s="65"/>
      <c r="T28" s="74"/>
      <c r="U28" s="74"/>
      <c r="V28" s="74"/>
      <c r="W28" s="65"/>
      <c r="X28" s="65"/>
      <c r="Y28" s="74"/>
      <c r="Z28" s="74"/>
      <c r="AA28" s="78"/>
      <c r="AB28" s="66"/>
      <c r="AG28" s="32"/>
      <c r="AH28" s="61"/>
      <c r="AI28" s="60"/>
      <c r="AJ28" s="60"/>
      <c r="AK28" s="62"/>
      <c r="AL28" s="61"/>
      <c r="AM28" s="60"/>
      <c r="AN28" s="60"/>
      <c r="AO28" s="62"/>
      <c r="AP28" s="61"/>
      <c r="AQ28" s="60"/>
      <c r="AR28" s="60"/>
      <c r="AS28" s="62"/>
      <c r="AT28" s="61"/>
      <c r="AU28" s="60"/>
      <c r="AV28" s="60"/>
      <c r="AW28" s="62"/>
      <c r="AX28" s="61"/>
      <c r="AY28" s="62"/>
    </row>
    <row r="29" ht="15.75" customHeight="1">
      <c r="A29" s="64"/>
      <c r="B29" s="64"/>
      <c r="C29" s="64"/>
      <c r="D29" s="64"/>
      <c r="E29" s="64"/>
      <c r="F29" s="64"/>
      <c r="G29" s="64"/>
      <c r="H29" s="64"/>
      <c r="I29" s="46" t="s">
        <v>65</v>
      </c>
      <c r="J29" s="64"/>
      <c r="K29" s="45" t="s">
        <v>93</v>
      </c>
      <c r="L29" s="73" t="s">
        <v>63</v>
      </c>
      <c r="M29" s="51">
        <v>1.0</v>
      </c>
      <c r="N29" s="51">
        <v>4.0</v>
      </c>
      <c r="O29" s="51">
        <f t="shared" si="7"/>
        <v>4</v>
      </c>
      <c r="P29" s="52">
        <v>0.3</v>
      </c>
      <c r="Q29" s="53">
        <f>H26*P29</f>
        <v>147714.0672</v>
      </c>
      <c r="R29" s="129" t="s">
        <v>153</v>
      </c>
      <c r="S29" s="57">
        <v>0.5</v>
      </c>
      <c r="T29" s="74"/>
      <c r="U29" s="74"/>
      <c r="V29" s="74"/>
      <c r="W29" s="57">
        <v>2.5</v>
      </c>
      <c r="X29" s="75">
        <f>Q29/S29</f>
        <v>295428.1344</v>
      </c>
      <c r="Y29" s="74"/>
      <c r="Z29" s="74"/>
      <c r="AA29" s="76">
        <f>Q29/W29*1000</f>
        <v>59085626.88</v>
      </c>
      <c r="AB29" s="61"/>
      <c r="AC29" s="60"/>
      <c r="AD29" s="60"/>
      <c r="AE29" s="60"/>
      <c r="AF29" s="60"/>
      <c r="AG29" s="62"/>
      <c r="AH29" s="79">
        <v>46928.5168</v>
      </c>
      <c r="AK29" s="32"/>
      <c r="AL29" s="79">
        <v>26928.5168</v>
      </c>
      <c r="AO29" s="32"/>
      <c r="AP29" s="79">
        <v>36928.516800000005</v>
      </c>
      <c r="AS29" s="32"/>
      <c r="AT29" s="79">
        <v>36928.5168</v>
      </c>
      <c r="AW29" s="32"/>
      <c r="AX29" s="61"/>
      <c r="AY29" s="62"/>
      <c r="AZ29" s="185">
        <f>AH29+AL29+AP29+AT29</f>
        <v>147714.0672</v>
      </c>
    </row>
    <row r="30" ht="15.75" customHeight="1">
      <c r="A30" s="64"/>
      <c r="B30" s="64"/>
      <c r="C30" s="64"/>
      <c r="D30" s="64"/>
      <c r="E30" s="64"/>
      <c r="F30" s="64"/>
      <c r="G30" s="64"/>
      <c r="H30" s="64"/>
      <c r="I30" s="64"/>
      <c r="J30" s="64"/>
      <c r="K30" s="45" t="s">
        <v>95</v>
      </c>
      <c r="L30" s="73" t="s">
        <v>63</v>
      </c>
      <c r="M30" s="51">
        <v>1.0</v>
      </c>
      <c r="N30" s="51">
        <v>4.0</v>
      </c>
      <c r="O30" s="51">
        <f t="shared" si="7"/>
        <v>4</v>
      </c>
      <c r="P30" s="65"/>
      <c r="Q30" s="65"/>
      <c r="R30" s="65"/>
      <c r="S30" s="65"/>
      <c r="T30" s="74"/>
      <c r="U30" s="74"/>
      <c r="V30" s="74"/>
      <c r="W30" s="65"/>
      <c r="X30" s="65"/>
      <c r="Y30" s="74"/>
      <c r="Z30" s="74"/>
      <c r="AA30" s="78"/>
      <c r="AB30" s="61"/>
      <c r="AC30" s="60"/>
      <c r="AD30" s="60"/>
      <c r="AE30" s="60"/>
      <c r="AF30" s="60"/>
      <c r="AG30" s="62"/>
      <c r="AH30" s="66"/>
      <c r="AK30" s="32"/>
      <c r="AL30" s="66"/>
      <c r="AO30" s="32"/>
      <c r="AP30" s="66"/>
      <c r="AS30" s="32"/>
      <c r="AT30" s="66"/>
      <c r="AW30" s="32"/>
      <c r="AX30" s="61"/>
      <c r="AY30" s="62"/>
    </row>
    <row r="31" ht="36.0" customHeight="1">
      <c r="A31" s="64"/>
      <c r="B31" s="64"/>
      <c r="C31" s="64"/>
      <c r="D31" s="64"/>
      <c r="E31" s="64"/>
      <c r="F31" s="64"/>
      <c r="G31" s="65"/>
      <c r="H31" s="65"/>
      <c r="I31" s="65"/>
      <c r="J31" s="64"/>
      <c r="K31" s="45" t="s">
        <v>143</v>
      </c>
      <c r="L31" s="73">
        <v>15.0</v>
      </c>
      <c r="M31" s="51" t="s">
        <v>70</v>
      </c>
      <c r="N31" s="51" t="s">
        <v>70</v>
      </c>
      <c r="O31" s="51" t="s">
        <v>70</v>
      </c>
      <c r="P31" s="80">
        <v>0.3</v>
      </c>
      <c r="Q31" s="81">
        <f>H26*P31</f>
        <v>147714.0672</v>
      </c>
      <c r="R31" s="127" t="s">
        <v>96</v>
      </c>
      <c r="S31" s="83">
        <v>0.5</v>
      </c>
      <c r="T31" s="74"/>
      <c r="U31" s="74"/>
      <c r="V31" s="74"/>
      <c r="W31" s="83">
        <v>2.5</v>
      </c>
      <c r="X31" s="51">
        <f>Q31/S31</f>
        <v>295428.1344</v>
      </c>
      <c r="Y31" s="74"/>
      <c r="Z31" s="74"/>
      <c r="AA31" s="84">
        <f>Q31/W31*1000</f>
        <v>59085626.88</v>
      </c>
      <c r="AB31" s="61"/>
      <c r="AC31" s="60"/>
      <c r="AD31" s="60"/>
      <c r="AE31" s="60"/>
      <c r="AF31" s="60"/>
      <c r="AG31" s="62"/>
      <c r="AH31" s="85">
        <v>59238.0224</v>
      </c>
      <c r="AK31" s="32"/>
      <c r="AL31" s="85">
        <v>29238.0224</v>
      </c>
      <c r="AO31" s="32"/>
      <c r="AP31" s="85">
        <v>39238.0224</v>
      </c>
      <c r="AS31" s="32"/>
      <c r="AT31" s="85">
        <v>20000.0</v>
      </c>
      <c r="AW31" s="32"/>
      <c r="AX31" s="61"/>
      <c r="AY31" s="62"/>
      <c r="AZ31" s="185">
        <f>AL31+AP31+AT31+AH31</f>
        <v>147714.0672</v>
      </c>
    </row>
    <row r="32" ht="15.75" customHeight="1">
      <c r="A32" s="64"/>
      <c r="B32" s="64"/>
      <c r="C32" s="64"/>
      <c r="D32" s="64"/>
      <c r="E32" s="64"/>
      <c r="F32" s="126" t="s">
        <v>154</v>
      </c>
      <c r="G32" s="72">
        <v>0.18</v>
      </c>
      <c r="H32" s="48">
        <f>E26*G32</f>
        <v>158265.072</v>
      </c>
      <c r="I32" s="105" t="s">
        <v>76</v>
      </c>
      <c r="J32" s="46" t="s">
        <v>155</v>
      </c>
      <c r="K32" s="46" t="s">
        <v>104</v>
      </c>
      <c r="L32" s="54" t="s">
        <v>101</v>
      </c>
      <c r="M32" s="75">
        <v>1.0</v>
      </c>
      <c r="N32" s="75">
        <v>5.0</v>
      </c>
      <c r="O32" s="75">
        <f>M33*N33</f>
        <v>0</v>
      </c>
      <c r="P32" s="52">
        <v>0.5</v>
      </c>
      <c r="Q32" s="53">
        <f>H32*P32</f>
        <v>79132.536</v>
      </c>
      <c r="R32" s="54" t="s">
        <v>43</v>
      </c>
      <c r="S32" s="55"/>
      <c r="T32" s="74"/>
      <c r="U32" s="55"/>
      <c r="V32" s="55"/>
      <c r="W32" s="57">
        <v>6.0</v>
      </c>
      <c r="X32" s="189"/>
      <c r="Y32" s="55"/>
      <c r="Z32" s="55"/>
      <c r="AA32" s="189">
        <f>Q32*W32</f>
        <v>474795.216</v>
      </c>
      <c r="AB32" s="61"/>
      <c r="AD32" s="134">
        <v>29566.268</v>
      </c>
      <c r="AG32" s="32"/>
      <c r="AH32" s="134">
        <v>49566.268</v>
      </c>
      <c r="AK32" s="32"/>
      <c r="AL32" s="190"/>
      <c r="AO32" s="32"/>
      <c r="AP32" s="190"/>
      <c r="AS32" s="32"/>
      <c r="AT32" s="190"/>
      <c r="AW32" s="32"/>
      <c r="AX32" s="61"/>
      <c r="AY32" s="62"/>
      <c r="AZ32" s="188"/>
    </row>
    <row r="33" ht="15.75" customHeight="1">
      <c r="A33" s="64"/>
      <c r="B33" s="64"/>
      <c r="C33" s="64"/>
      <c r="D33" s="64"/>
      <c r="E33" s="64"/>
      <c r="F33" s="64"/>
      <c r="G33" s="64"/>
      <c r="H33" s="64"/>
      <c r="I33" s="109"/>
      <c r="J33" s="64"/>
      <c r="K33" s="64"/>
      <c r="L33" s="64"/>
      <c r="M33" s="64"/>
      <c r="N33" s="64"/>
      <c r="O33" s="64"/>
      <c r="P33" s="65"/>
      <c r="Q33" s="65"/>
      <c r="R33" s="65"/>
      <c r="S33" s="65"/>
      <c r="T33" s="74"/>
      <c r="U33" s="65"/>
      <c r="V33" s="65"/>
      <c r="W33" s="65"/>
      <c r="X33" s="65"/>
      <c r="Y33" s="65"/>
      <c r="Z33" s="65"/>
      <c r="AA33" s="65"/>
      <c r="AB33" s="61"/>
      <c r="AC33" s="60"/>
      <c r="AG33" s="32"/>
      <c r="AK33" s="32"/>
      <c r="AL33" s="66"/>
      <c r="AO33" s="32"/>
      <c r="AP33" s="66"/>
      <c r="AS33" s="32"/>
      <c r="AT33" s="66"/>
      <c r="AW33" s="32"/>
      <c r="AX33" s="61"/>
      <c r="AY33" s="62"/>
      <c r="AZ33" s="185">
        <f>AD32+AH32+AL32+AP32+AT32</f>
        <v>79132.536</v>
      </c>
      <c r="BA33" s="188"/>
    </row>
    <row r="34" ht="43.5" customHeight="1">
      <c r="A34" s="64"/>
      <c r="B34" s="64"/>
      <c r="C34" s="64"/>
      <c r="D34" s="64"/>
      <c r="E34" s="64"/>
      <c r="F34" s="65"/>
      <c r="G34" s="65"/>
      <c r="H34" s="65"/>
      <c r="I34" s="191"/>
      <c r="J34" s="65"/>
      <c r="K34" s="192" t="s">
        <v>156</v>
      </c>
      <c r="L34" s="65"/>
      <c r="M34" s="65"/>
      <c r="N34" s="65"/>
      <c r="O34" s="65"/>
      <c r="P34" s="80">
        <v>0.5</v>
      </c>
      <c r="Q34" s="81">
        <f>H32*P34</f>
        <v>79132.536</v>
      </c>
      <c r="R34" s="193" t="s">
        <v>42</v>
      </c>
      <c r="S34" s="74"/>
      <c r="T34" s="74"/>
      <c r="U34" s="74"/>
      <c r="V34" s="83">
        <v>0.8</v>
      </c>
      <c r="W34" s="74"/>
      <c r="X34" s="133"/>
      <c r="Y34" s="74"/>
      <c r="Z34" s="51">
        <f>Q34/V34</f>
        <v>98915.67</v>
      </c>
      <c r="AA34" s="194"/>
      <c r="AB34" s="61"/>
      <c r="AC34" s="60"/>
      <c r="AD34" s="134"/>
      <c r="AE34" s="134"/>
      <c r="AF34" s="134"/>
      <c r="AG34" s="195"/>
      <c r="AH34" s="134"/>
      <c r="AI34" s="134"/>
      <c r="AJ34" s="134"/>
      <c r="AK34" s="195"/>
      <c r="AL34" s="134">
        <v>29566.268</v>
      </c>
      <c r="AO34" s="32"/>
      <c r="AP34" s="134">
        <v>29566.268</v>
      </c>
      <c r="AS34" s="32"/>
      <c r="AT34" s="134">
        <v>20000.0</v>
      </c>
      <c r="AW34" s="32"/>
      <c r="AX34" s="61"/>
      <c r="AY34" s="62"/>
      <c r="AZ34" s="185">
        <f>AL34+AP34+AT34</f>
        <v>79132.536</v>
      </c>
      <c r="BA34" s="188"/>
    </row>
    <row r="35" ht="10.5" customHeight="1">
      <c r="A35" s="64"/>
      <c r="B35" s="64"/>
      <c r="C35" s="64"/>
      <c r="D35" s="64"/>
      <c r="E35" s="64"/>
      <c r="F35" s="89"/>
      <c r="G35" s="137"/>
      <c r="H35" s="138"/>
      <c r="I35" s="89"/>
      <c r="J35" s="89"/>
      <c r="K35" s="89"/>
      <c r="L35" s="93"/>
      <c r="M35" s="91"/>
      <c r="N35" s="91"/>
      <c r="O35" s="91"/>
      <c r="P35" s="90"/>
      <c r="Q35" s="92"/>
      <c r="R35" s="93"/>
      <c r="S35" s="94"/>
      <c r="T35" s="94"/>
      <c r="U35" s="94"/>
      <c r="V35" s="94"/>
      <c r="W35" s="94"/>
      <c r="X35" s="91"/>
      <c r="Y35" s="94"/>
      <c r="Z35" s="94"/>
      <c r="AA35" s="95"/>
      <c r="AB35" s="96"/>
      <c r="AC35" s="97"/>
      <c r="AD35" s="97"/>
      <c r="AE35" s="97"/>
      <c r="AF35" s="97"/>
      <c r="AG35" s="98"/>
      <c r="AH35" s="96"/>
      <c r="AI35" s="97"/>
      <c r="AJ35" s="97"/>
      <c r="AK35" s="98"/>
      <c r="AL35" s="96"/>
      <c r="AM35" s="97"/>
      <c r="AN35" s="97"/>
      <c r="AO35" s="98"/>
      <c r="AP35" s="96"/>
      <c r="AQ35" s="97"/>
      <c r="AR35" s="97"/>
      <c r="AS35" s="98"/>
      <c r="AT35" s="96"/>
      <c r="AU35" s="97"/>
      <c r="AV35" s="97"/>
      <c r="AW35" s="98"/>
      <c r="AX35" s="96"/>
      <c r="AY35" s="98"/>
      <c r="AZ35" s="186"/>
      <c r="BA35" s="186"/>
    </row>
    <row r="36" ht="15.75" customHeight="1">
      <c r="A36" s="64"/>
      <c r="B36" s="64"/>
      <c r="C36" s="64"/>
      <c r="D36" s="64"/>
      <c r="E36" s="64"/>
      <c r="F36" s="46" t="s">
        <v>105</v>
      </c>
      <c r="G36" s="72">
        <v>0.06</v>
      </c>
      <c r="H36" s="48">
        <f>E26*G36</f>
        <v>52755.024</v>
      </c>
      <c r="I36" s="46" t="s">
        <v>71</v>
      </c>
      <c r="J36" s="46" t="s">
        <v>106</v>
      </c>
      <c r="K36" s="45" t="s">
        <v>107</v>
      </c>
      <c r="L36" s="82" t="s">
        <v>108</v>
      </c>
      <c r="M36" s="51">
        <v>2.0</v>
      </c>
      <c r="N36" s="51">
        <v>3.0</v>
      </c>
      <c r="O36" s="51">
        <f t="shared" ref="O36:O38" si="9">M36*N36</f>
        <v>6</v>
      </c>
      <c r="P36" s="52">
        <v>1.0</v>
      </c>
      <c r="Q36" s="53">
        <f>H36*P36</f>
        <v>52755.024</v>
      </c>
      <c r="R36" s="54" t="s">
        <v>59</v>
      </c>
      <c r="S36" s="74"/>
      <c r="T36" s="74"/>
      <c r="U36" s="74"/>
      <c r="V36" s="74"/>
      <c r="W36" s="57">
        <f>45/18.77</f>
        <v>2.397442728</v>
      </c>
      <c r="X36" s="133"/>
      <c r="Y36" s="74"/>
      <c r="Z36" s="74"/>
      <c r="AA36" s="76">
        <f>Q36/W36*1000</f>
        <v>22004706.68</v>
      </c>
      <c r="AB36" s="61"/>
      <c r="AD36" s="60"/>
      <c r="AG36" s="32"/>
      <c r="AH36" s="61"/>
      <c r="AK36" s="32"/>
      <c r="AL36" s="61"/>
      <c r="AO36" s="32"/>
      <c r="AP36" s="139">
        <v>36377.512</v>
      </c>
      <c r="AS36" s="32"/>
      <c r="AT36" s="139">
        <v>10000.0</v>
      </c>
      <c r="AW36" s="32"/>
      <c r="AX36" s="139">
        <v>6377.0</v>
      </c>
      <c r="AY36" s="32"/>
      <c r="AZ36" s="185">
        <f>AL36+AT36+AX36+AP36</f>
        <v>52754.512</v>
      </c>
    </row>
    <row r="37" ht="15.75" customHeight="1">
      <c r="A37" s="64"/>
      <c r="B37" s="64"/>
      <c r="C37" s="64"/>
      <c r="D37" s="64"/>
      <c r="E37" s="64"/>
      <c r="F37" s="64"/>
      <c r="G37" s="64"/>
      <c r="H37" s="64"/>
      <c r="I37" s="64"/>
      <c r="J37" s="64"/>
      <c r="K37" s="45" t="s">
        <v>107</v>
      </c>
      <c r="L37" s="82" t="s">
        <v>108</v>
      </c>
      <c r="M37" s="51">
        <v>2.0</v>
      </c>
      <c r="N37" s="51">
        <v>3.0</v>
      </c>
      <c r="O37" s="51">
        <f t="shared" si="9"/>
        <v>6</v>
      </c>
      <c r="P37" s="64"/>
      <c r="Q37" s="64"/>
      <c r="R37" s="64"/>
      <c r="S37" s="74"/>
      <c r="T37" s="74"/>
      <c r="U37" s="74"/>
      <c r="V37" s="74"/>
      <c r="W37" s="64"/>
      <c r="X37" s="133"/>
      <c r="Y37" s="74"/>
      <c r="Z37" s="74"/>
      <c r="AA37" s="108"/>
      <c r="AB37" s="61"/>
      <c r="AD37" s="60"/>
      <c r="AG37" s="32"/>
      <c r="AH37" s="61"/>
      <c r="AK37" s="32"/>
      <c r="AL37" s="66"/>
      <c r="AO37" s="32"/>
      <c r="AP37" s="66"/>
      <c r="AS37" s="32"/>
      <c r="AT37" s="66"/>
      <c r="AW37" s="32"/>
      <c r="AX37" s="66"/>
      <c r="AY37" s="32"/>
    </row>
    <row r="38" ht="15.75" customHeight="1">
      <c r="A38" s="64"/>
      <c r="B38" s="64"/>
      <c r="C38" s="64"/>
      <c r="D38" s="64"/>
      <c r="E38" s="64"/>
      <c r="F38" s="65"/>
      <c r="G38" s="65"/>
      <c r="H38" s="65"/>
      <c r="I38" s="65"/>
      <c r="J38" s="65"/>
      <c r="K38" s="45" t="s">
        <v>109</v>
      </c>
      <c r="L38" s="82" t="s">
        <v>108</v>
      </c>
      <c r="M38" s="51">
        <v>2.0</v>
      </c>
      <c r="N38" s="51">
        <v>3.0</v>
      </c>
      <c r="O38" s="51">
        <f t="shared" si="9"/>
        <v>6</v>
      </c>
      <c r="P38" s="65"/>
      <c r="Q38" s="65"/>
      <c r="R38" s="65"/>
      <c r="S38" s="74"/>
      <c r="T38" s="74"/>
      <c r="U38" s="74"/>
      <c r="V38" s="74"/>
      <c r="W38" s="65"/>
      <c r="X38" s="133"/>
      <c r="Y38" s="74"/>
      <c r="Z38" s="74"/>
      <c r="AA38" s="78"/>
      <c r="AB38" s="140"/>
      <c r="AC38" s="141"/>
      <c r="AD38" s="142"/>
      <c r="AE38" s="141"/>
      <c r="AF38" s="141"/>
      <c r="AG38" s="143"/>
      <c r="AH38" s="61"/>
      <c r="AK38" s="32"/>
      <c r="AL38" s="66"/>
      <c r="AO38" s="32"/>
      <c r="AP38" s="66"/>
      <c r="AS38" s="32"/>
      <c r="AT38" s="66"/>
      <c r="AW38" s="32"/>
      <c r="AX38" s="66"/>
      <c r="AY38" s="32"/>
    </row>
    <row r="39" ht="12.0" customHeight="1">
      <c r="A39" s="64"/>
      <c r="B39" s="64"/>
      <c r="C39" s="64"/>
      <c r="D39" s="64"/>
      <c r="E39" s="64"/>
      <c r="F39" s="89"/>
      <c r="G39" s="137"/>
      <c r="H39" s="138"/>
      <c r="I39" s="144"/>
      <c r="J39" s="89"/>
      <c r="K39" s="89"/>
      <c r="L39" s="93"/>
      <c r="M39" s="91"/>
      <c r="N39" s="91"/>
      <c r="O39" s="91"/>
      <c r="P39" s="90"/>
      <c r="Q39" s="92"/>
      <c r="R39" s="93"/>
      <c r="S39" s="94"/>
      <c r="T39" s="94"/>
      <c r="U39" s="94"/>
      <c r="V39" s="94"/>
      <c r="W39" s="94"/>
      <c r="X39" s="91"/>
      <c r="Y39" s="94"/>
      <c r="Z39" s="91"/>
      <c r="AA39" s="91"/>
      <c r="AB39" s="97"/>
      <c r="AC39" s="97"/>
      <c r="AD39" s="97"/>
      <c r="AE39" s="97"/>
      <c r="AF39" s="97"/>
      <c r="AG39" s="97"/>
      <c r="AH39" s="96"/>
      <c r="AI39" s="97"/>
      <c r="AJ39" s="97"/>
      <c r="AK39" s="98"/>
      <c r="AL39" s="96"/>
      <c r="AM39" s="97"/>
      <c r="AN39" s="97"/>
      <c r="AO39" s="98"/>
      <c r="AP39" s="96"/>
      <c r="AQ39" s="97"/>
      <c r="AR39" s="97"/>
      <c r="AS39" s="98"/>
      <c r="AT39" s="96"/>
      <c r="AU39" s="97"/>
      <c r="AV39" s="97"/>
      <c r="AW39" s="98"/>
      <c r="AX39" s="96"/>
      <c r="AY39" s="98"/>
      <c r="AZ39" s="186"/>
      <c r="BA39" s="186"/>
    </row>
    <row r="40" ht="15.75" customHeight="1">
      <c r="A40" s="65"/>
      <c r="B40" s="65"/>
      <c r="C40" s="65"/>
      <c r="D40" s="65"/>
      <c r="E40" s="65"/>
      <c r="F40" s="45" t="s">
        <v>110</v>
      </c>
      <c r="G40" s="136">
        <v>0.2</v>
      </c>
      <c r="H40" s="131">
        <f>E26*G40</f>
        <v>175850.08</v>
      </c>
      <c r="I40" s="102" t="s">
        <v>76</v>
      </c>
      <c r="J40" s="45" t="s">
        <v>111</v>
      </c>
      <c r="K40" s="45" t="s">
        <v>112</v>
      </c>
      <c r="L40" s="82" t="s">
        <v>113</v>
      </c>
      <c r="M40" s="51">
        <v>2.0</v>
      </c>
      <c r="N40" s="51">
        <v>2.0</v>
      </c>
      <c r="O40" s="51">
        <f>M40*N40</f>
        <v>4</v>
      </c>
      <c r="P40" s="80">
        <v>1.0</v>
      </c>
      <c r="Q40" s="81">
        <f>H40*P40</f>
        <v>175850.08</v>
      </c>
      <c r="R40" s="82" t="s">
        <v>114</v>
      </c>
      <c r="S40" s="74"/>
      <c r="T40" s="74"/>
      <c r="U40" s="74"/>
      <c r="V40" s="74"/>
      <c r="W40" s="83">
        <v>4.85</v>
      </c>
      <c r="X40" s="133"/>
      <c r="Y40" s="74"/>
      <c r="Z40" s="74"/>
      <c r="AA40" s="51">
        <f>Q40/W40*1000</f>
        <v>36257748.45</v>
      </c>
      <c r="AB40" s="77">
        <f>Q40/4</f>
        <v>43962.52</v>
      </c>
      <c r="AD40" s="77">
        <v>33963.0</v>
      </c>
      <c r="AH40" s="77">
        <v>53963.0</v>
      </c>
      <c r="AL40" s="77">
        <v>43961.0</v>
      </c>
      <c r="AP40" s="140"/>
      <c r="AQ40" s="141"/>
      <c r="AR40" s="141"/>
      <c r="AS40" s="143"/>
      <c r="AT40" s="140"/>
      <c r="AU40" s="141"/>
      <c r="AV40" s="141"/>
      <c r="AW40" s="143"/>
      <c r="AX40" s="140"/>
      <c r="AY40" s="143"/>
      <c r="AZ40" s="185">
        <f>AB40+AD40+AH40+AL40</f>
        <v>175849.52</v>
      </c>
    </row>
    <row r="41" ht="15.75" customHeight="1">
      <c r="A41" s="196" t="s">
        <v>115</v>
      </c>
      <c r="B41" s="196"/>
      <c r="C41" s="196"/>
      <c r="D41" s="196"/>
      <c r="E41" s="197">
        <f>SUM(E13:E40)</f>
        <v>2198126</v>
      </c>
      <c r="F41" s="196"/>
      <c r="G41" s="196"/>
      <c r="H41" s="196"/>
      <c r="I41" s="196"/>
      <c r="J41" s="196"/>
      <c r="K41" s="196"/>
      <c r="L41" s="196"/>
      <c r="M41" s="196"/>
      <c r="N41" s="196"/>
      <c r="O41" s="198">
        <f>O13+O14+O15+O16+O18+O19+O21+O23+O24+O27+O28+O29+O30+O32+O36+O37+O38+O40</f>
        <v>69</v>
      </c>
      <c r="P41" s="196"/>
      <c r="Q41" s="197">
        <f>SUM(Q13:Q40)+Q11</f>
        <v>2198126</v>
      </c>
      <c r="R41" s="196"/>
      <c r="S41" s="199"/>
      <c r="T41" s="199"/>
      <c r="U41" s="199"/>
      <c r="V41" s="199"/>
      <c r="W41" s="199"/>
      <c r="X41" s="151">
        <f>X13+X15+X17+X18+X27+X29+X31</f>
        <v>2744140.498</v>
      </c>
      <c r="Y41" s="151">
        <f>Y21+Y23+Y24</f>
        <v>4286345.7</v>
      </c>
      <c r="Z41" s="151">
        <f>Z34</f>
        <v>98915.67</v>
      </c>
      <c r="AA41" s="151">
        <f>AA13+AA15+AA17+AA18+AA21+AA22+AA23+AA24+AA27+AA29+AA31+AA36+AA40+AA26+AA11</f>
        <v>382814515.4</v>
      </c>
      <c r="AB41" s="197">
        <f>SUM(AB11:AC40)</f>
        <v>214976.7228</v>
      </c>
      <c r="AD41" s="197">
        <f>SUM(AD11:AG40)</f>
        <v>507483.2438</v>
      </c>
      <c r="AH41" s="197">
        <f>SUM(AH11:AK40)</f>
        <v>477539.8322</v>
      </c>
      <c r="AL41" s="197">
        <f>SUM(AL11:AO40)</f>
        <v>460915.0692</v>
      </c>
      <c r="AP41" s="197">
        <f>SUM(AP11:AS40)</f>
        <v>354663.2102</v>
      </c>
      <c r="AT41" s="197">
        <f>SUM(AT11:AW40)</f>
        <v>176169.4858</v>
      </c>
      <c r="AX41" s="197">
        <f>SUM(AX11:AY40)</f>
        <v>6377</v>
      </c>
      <c r="AZ41" s="197">
        <f>SUM(AZ11:BA40)</f>
        <v>2198124.564</v>
      </c>
    </row>
    <row r="42" ht="15.75" customHeight="1">
      <c r="A42" s="3"/>
      <c r="B42" s="3"/>
      <c r="C42" s="3"/>
      <c r="D42" s="3"/>
      <c r="E42" s="3"/>
      <c r="F42" s="3"/>
      <c r="G42" s="3"/>
      <c r="H42" s="3"/>
      <c r="I42" s="3"/>
      <c r="J42" s="3"/>
      <c r="K42" s="3"/>
      <c r="L42" s="3"/>
      <c r="M42" s="3"/>
      <c r="N42" s="3"/>
      <c r="O42" s="3"/>
      <c r="P42" s="3"/>
      <c r="Q42" s="3"/>
      <c r="R42" s="3"/>
      <c r="S42" s="3"/>
      <c r="T42" s="163"/>
      <c r="U42" s="163"/>
      <c r="V42" s="163"/>
      <c r="W42" s="163"/>
      <c r="X42" s="163"/>
      <c r="Y42" s="163"/>
      <c r="Z42" s="163"/>
      <c r="AA42" s="163"/>
      <c r="AB42" s="163"/>
      <c r="AC42" s="163"/>
      <c r="AD42" s="163"/>
      <c r="AE42" s="3"/>
      <c r="AF42" s="3"/>
      <c r="AG42" s="3"/>
      <c r="AH42" s="3"/>
      <c r="AI42" s="3"/>
      <c r="AJ42" s="3"/>
      <c r="AK42" s="3"/>
      <c r="AL42" s="3"/>
      <c r="AM42" s="3"/>
      <c r="AN42" s="3"/>
      <c r="AO42" s="3"/>
      <c r="AP42" s="3"/>
      <c r="AQ42" s="3"/>
      <c r="AR42" s="3"/>
      <c r="AS42" s="3"/>
      <c r="AT42" s="3"/>
      <c r="AU42" s="3"/>
      <c r="AV42" s="3"/>
      <c r="AW42" s="3"/>
      <c r="AX42" s="3"/>
      <c r="AY42" s="3"/>
      <c r="AZ42" s="3"/>
      <c r="BA42" s="3"/>
    </row>
    <row r="43" ht="15.75" customHeight="1">
      <c r="A43" s="3"/>
      <c r="B43" s="3"/>
      <c r="C43" s="3"/>
      <c r="D43" s="3"/>
      <c r="E43" s="3"/>
      <c r="F43" s="3"/>
      <c r="G43" s="3"/>
      <c r="H43" s="3"/>
      <c r="I43" s="3"/>
      <c r="J43" s="3"/>
      <c r="K43" s="3"/>
      <c r="L43" s="3"/>
      <c r="M43" s="3"/>
      <c r="N43" s="3"/>
      <c r="O43" s="3"/>
      <c r="P43" s="3"/>
      <c r="Q43" s="3"/>
      <c r="R43" s="162"/>
      <c r="S43" s="162"/>
      <c r="T43" s="162"/>
      <c r="U43" s="162"/>
      <c r="V43" s="162"/>
      <c r="W43" s="162"/>
      <c r="X43" s="200"/>
      <c r="Y43" s="162"/>
      <c r="Z43" s="162"/>
      <c r="AA43" s="162"/>
      <c r="AB43" s="162"/>
      <c r="AC43" s="162"/>
      <c r="AD43" s="162"/>
      <c r="AE43" s="3"/>
      <c r="AF43" s="3"/>
      <c r="AG43" s="3"/>
      <c r="AH43" s="3"/>
      <c r="AI43" s="3"/>
      <c r="AJ43" s="3"/>
      <c r="AK43" s="3"/>
      <c r="AL43" s="3"/>
      <c r="AM43" s="3"/>
      <c r="AN43" s="3"/>
      <c r="AO43" s="3"/>
      <c r="AP43" s="3"/>
      <c r="AQ43" s="3"/>
      <c r="AR43" s="3"/>
      <c r="AS43" s="3"/>
      <c r="AT43" s="3"/>
      <c r="AU43" s="3"/>
      <c r="AV43" s="3"/>
      <c r="AW43" s="3"/>
      <c r="AX43" s="3"/>
      <c r="AY43" s="3"/>
      <c r="AZ43" s="3"/>
      <c r="BA43" s="3"/>
    </row>
    <row r="44" ht="15.75" customHeight="1">
      <c r="A44" s="3"/>
      <c r="B44" s="3"/>
      <c r="C44" s="3"/>
      <c r="D44" s="3"/>
      <c r="E44" s="3"/>
      <c r="P44" s="3"/>
      <c r="Q44" s="162"/>
      <c r="R44" s="162"/>
      <c r="S44" s="162"/>
      <c r="T44" s="162"/>
      <c r="U44" s="162"/>
      <c r="V44" s="162"/>
      <c r="W44" s="162"/>
      <c r="X44" s="162"/>
      <c r="Y44" s="162"/>
      <c r="Z44" s="162"/>
      <c r="AA44" s="162"/>
      <c r="AB44" s="162"/>
      <c r="AC44" s="162"/>
      <c r="AD44" s="162"/>
      <c r="AE44" s="3"/>
      <c r="AF44" s="3"/>
      <c r="AG44" s="3"/>
      <c r="AH44" s="3"/>
      <c r="AI44" s="3"/>
      <c r="AM44" s="3"/>
      <c r="AN44" s="3"/>
      <c r="AO44" s="3"/>
      <c r="AP44" s="3"/>
      <c r="AQ44" s="3"/>
      <c r="AR44" s="3"/>
      <c r="AS44" s="3"/>
      <c r="AT44" s="3"/>
      <c r="AU44" s="3"/>
      <c r="AV44" s="3"/>
      <c r="AW44" s="3"/>
      <c r="AX44" s="3"/>
      <c r="AY44" s="3"/>
      <c r="AZ44" s="3"/>
      <c r="BA44" s="3"/>
    </row>
    <row r="45" ht="15.75" customHeight="1">
      <c r="A45" s="3"/>
      <c r="B45" s="3"/>
      <c r="C45" s="3"/>
      <c r="D45" s="3"/>
      <c r="E45" s="3"/>
      <c r="P45" s="3"/>
      <c r="Q45" s="162"/>
      <c r="R45" s="162"/>
      <c r="S45" s="162"/>
      <c r="T45" s="162"/>
      <c r="U45" s="162"/>
      <c r="V45" s="162"/>
      <c r="W45" s="162"/>
      <c r="X45" s="162"/>
      <c r="Y45" s="162"/>
      <c r="Z45" s="201"/>
      <c r="AA45" s="201"/>
      <c r="AB45" s="201"/>
      <c r="AC45" s="201"/>
      <c r="AD45" s="162"/>
      <c r="AE45" s="163"/>
      <c r="AF45" s="3"/>
      <c r="AG45" s="3"/>
      <c r="AH45" s="3"/>
      <c r="AM45" s="3"/>
      <c r="AN45" s="3"/>
      <c r="AO45" s="3"/>
      <c r="AP45" s="3"/>
      <c r="AQ45" s="3"/>
      <c r="AR45" s="3"/>
      <c r="AS45" s="3"/>
      <c r="AT45" s="3"/>
      <c r="AU45" s="3"/>
      <c r="AV45" s="3"/>
      <c r="AW45" s="3"/>
      <c r="AX45" s="3"/>
      <c r="AY45" s="3"/>
      <c r="AZ45" s="3"/>
      <c r="BA45" s="3"/>
    </row>
    <row r="46" ht="15.75" customHeight="1">
      <c r="A46" s="3"/>
      <c r="B46" s="3"/>
      <c r="C46" s="3"/>
      <c r="D46" s="3"/>
      <c r="E46" s="3"/>
      <c r="P46" s="3"/>
      <c r="Q46" s="162"/>
      <c r="R46" s="162"/>
      <c r="S46" s="162"/>
      <c r="T46" s="162"/>
      <c r="U46" s="162"/>
      <c r="V46" s="162"/>
      <c r="W46" s="162"/>
      <c r="X46" s="162"/>
      <c r="Y46" s="162"/>
      <c r="Z46" s="201"/>
      <c r="AA46" s="201"/>
      <c r="AB46" s="202" t="s">
        <v>117</v>
      </c>
      <c r="AD46" s="162"/>
      <c r="AE46" s="163"/>
      <c r="AF46" s="3"/>
      <c r="AG46" s="3"/>
      <c r="AH46" s="3"/>
      <c r="AI46" s="3"/>
      <c r="AJ46" s="3"/>
      <c r="AK46" s="3"/>
      <c r="AL46" s="3"/>
      <c r="AM46" s="3"/>
      <c r="AN46" s="3"/>
      <c r="AO46" s="3"/>
      <c r="AP46" s="3"/>
      <c r="AQ46" s="3"/>
      <c r="AR46" s="3"/>
      <c r="AS46" s="3"/>
      <c r="AT46" s="3"/>
      <c r="AU46" s="3"/>
      <c r="AV46" s="3"/>
      <c r="AW46" s="3"/>
      <c r="AX46" s="3"/>
      <c r="AY46" s="3"/>
      <c r="AZ46" s="3"/>
      <c r="BA46" s="3"/>
    </row>
    <row r="47" ht="15.75" customHeight="1">
      <c r="A47" s="3"/>
      <c r="B47" s="3"/>
      <c r="C47" s="3"/>
      <c r="D47" s="155"/>
      <c r="E47" s="3"/>
      <c r="F47" s="3"/>
      <c r="G47" s="3"/>
      <c r="H47" s="3"/>
      <c r="I47" s="3"/>
      <c r="J47" s="3"/>
      <c r="K47" s="3"/>
      <c r="L47" s="3"/>
      <c r="M47" s="3"/>
      <c r="N47" s="3"/>
      <c r="O47" s="3"/>
      <c r="P47" s="3"/>
      <c r="Q47" s="162"/>
      <c r="R47" s="162"/>
      <c r="S47" s="162"/>
      <c r="T47" s="162"/>
      <c r="U47" s="162"/>
      <c r="V47" s="162"/>
      <c r="W47" s="162"/>
      <c r="X47" s="162"/>
      <c r="Y47" s="162"/>
      <c r="Z47" s="201"/>
      <c r="AA47" s="201" t="s">
        <v>118</v>
      </c>
      <c r="AB47" s="203">
        <f>AB41</f>
        <v>214976.7228</v>
      </c>
      <c r="AD47" s="162"/>
      <c r="AE47" s="163"/>
      <c r="AF47" s="3"/>
      <c r="AG47" s="3"/>
      <c r="AH47" s="3"/>
      <c r="AI47" s="3"/>
      <c r="AJ47" s="3"/>
      <c r="AK47" s="3"/>
      <c r="AL47" s="3"/>
      <c r="AM47" s="3"/>
      <c r="AN47" s="3"/>
      <c r="AO47" s="3"/>
      <c r="AP47" s="3"/>
      <c r="AQ47" s="3"/>
      <c r="AR47" s="3"/>
      <c r="AS47" s="3"/>
      <c r="AT47" s="3"/>
      <c r="AU47" s="3"/>
      <c r="AV47" s="3"/>
      <c r="AW47" s="3"/>
      <c r="AX47" s="3"/>
      <c r="AY47" s="3"/>
      <c r="AZ47" s="3"/>
      <c r="BA47" s="3"/>
    </row>
    <row r="48" ht="15.75" customHeight="1">
      <c r="A48" s="3"/>
      <c r="B48" s="3"/>
      <c r="C48" s="3"/>
      <c r="D48" s="156"/>
      <c r="E48" s="3"/>
      <c r="F48" s="3"/>
      <c r="G48" s="3"/>
      <c r="H48" s="3"/>
      <c r="I48" s="3"/>
      <c r="J48" s="3"/>
      <c r="K48" s="3"/>
      <c r="L48" s="3"/>
      <c r="M48" s="3" t="s">
        <v>9</v>
      </c>
      <c r="N48" s="3"/>
      <c r="O48" s="3"/>
      <c r="P48" s="3"/>
      <c r="Q48" s="166">
        <f>Q13+Q14+Q21+Q27+Q28+Q40+Q24</f>
        <v>834848.2548</v>
      </c>
      <c r="R48" s="162" t="s">
        <v>119</v>
      </c>
      <c r="S48" s="166">
        <f>Q48+Q49</f>
        <v>1743553.543</v>
      </c>
      <c r="T48" s="162"/>
      <c r="U48" s="162"/>
      <c r="V48" s="162"/>
      <c r="W48" s="162"/>
      <c r="X48" s="162"/>
      <c r="Y48" s="162"/>
      <c r="Z48" s="201"/>
      <c r="AA48" s="204" t="s">
        <v>138</v>
      </c>
      <c r="AB48" s="203">
        <f>AD41</f>
        <v>507483.2438</v>
      </c>
      <c r="AD48" s="162"/>
      <c r="AE48" s="163"/>
      <c r="AF48" s="3"/>
      <c r="AG48" s="3"/>
      <c r="AH48" s="3"/>
      <c r="AI48" s="3"/>
      <c r="AJ48" s="3"/>
      <c r="AK48" s="3"/>
      <c r="AL48" s="3"/>
      <c r="AM48" s="3"/>
      <c r="AN48" s="3"/>
      <c r="AO48" s="3"/>
      <c r="AP48" s="3"/>
      <c r="AQ48" s="3"/>
      <c r="AR48" s="3"/>
      <c r="AS48" s="3"/>
      <c r="AT48" s="3"/>
      <c r="AU48" s="3"/>
      <c r="AV48" s="3"/>
      <c r="AW48" s="3"/>
      <c r="AX48" s="3"/>
      <c r="AY48" s="3"/>
      <c r="AZ48" s="3"/>
      <c r="BA48" s="3"/>
    </row>
    <row r="49" ht="15.75" customHeight="1">
      <c r="A49" s="3"/>
      <c r="B49" s="155"/>
      <c r="C49" s="155"/>
      <c r="D49" s="156"/>
      <c r="E49" s="3"/>
      <c r="F49" s="3"/>
      <c r="G49" s="3"/>
      <c r="H49" s="3"/>
      <c r="I49" s="3"/>
      <c r="J49" s="3"/>
      <c r="K49" s="3"/>
      <c r="L49" s="3"/>
      <c r="M49" s="3" t="s">
        <v>121</v>
      </c>
      <c r="N49" s="3"/>
      <c r="O49" s="3"/>
      <c r="P49" s="3"/>
      <c r="Q49" s="166">
        <f>Q15+Q16+Q17+Q22+Q23+Q2+Q29+Q30+Q31</f>
        <v>908705.2884</v>
      </c>
      <c r="R49" s="162" t="s">
        <v>122</v>
      </c>
      <c r="S49" s="162"/>
      <c r="T49" s="162"/>
      <c r="U49" s="162"/>
      <c r="V49" s="162"/>
      <c r="W49" s="162"/>
      <c r="X49" s="162"/>
      <c r="Y49" s="162"/>
      <c r="Z49" s="201"/>
      <c r="AA49" s="201" t="s">
        <v>123</v>
      </c>
      <c r="AB49" s="203">
        <f>AH41</f>
        <v>477539.8322</v>
      </c>
      <c r="AD49" s="162"/>
      <c r="AE49" s="163"/>
      <c r="AF49" s="3"/>
      <c r="AG49" s="3"/>
      <c r="AH49" s="3"/>
      <c r="AI49" s="3"/>
      <c r="AJ49" s="3"/>
      <c r="AK49" s="3"/>
      <c r="AL49" s="3"/>
      <c r="AM49" s="3"/>
      <c r="AN49" s="3"/>
      <c r="AO49" s="3"/>
      <c r="AP49" s="3"/>
      <c r="AQ49" s="3"/>
      <c r="AR49" s="3"/>
      <c r="AS49" s="3"/>
      <c r="AT49" s="3"/>
      <c r="AU49" s="3"/>
      <c r="AV49" s="3"/>
      <c r="AW49" s="3"/>
      <c r="AX49" s="3"/>
      <c r="AY49" s="3"/>
      <c r="AZ49" s="3"/>
      <c r="BA49" s="3"/>
    </row>
    <row r="50" ht="15.75" customHeight="1">
      <c r="A50" s="3"/>
      <c r="B50" s="159"/>
      <c r="C50" s="159"/>
      <c r="D50" s="153"/>
      <c r="E50" s="3"/>
      <c r="F50" s="3"/>
      <c r="G50" s="156"/>
      <c r="H50" s="3"/>
      <c r="I50" s="3"/>
      <c r="J50" s="3"/>
      <c r="K50" s="3"/>
      <c r="L50" s="3"/>
      <c r="M50" s="3" t="s">
        <v>124</v>
      </c>
      <c r="N50" s="3"/>
      <c r="O50" s="3"/>
      <c r="P50" s="3"/>
      <c r="Q50" s="166">
        <f>Q18+Q19</f>
        <v>72538.158</v>
      </c>
      <c r="R50" s="162"/>
      <c r="S50" s="166">
        <f>Q49</f>
        <v>908705.2884</v>
      </c>
      <c r="T50" s="162"/>
      <c r="U50" s="162"/>
      <c r="V50" s="162"/>
      <c r="W50" s="162"/>
      <c r="X50" s="162"/>
      <c r="Y50" s="162"/>
      <c r="Z50" s="201"/>
      <c r="AA50" s="201" t="s">
        <v>125</v>
      </c>
      <c r="AB50" s="203">
        <f>AL41</f>
        <v>460915.0692</v>
      </c>
      <c r="AD50" s="162"/>
      <c r="AE50" s="163"/>
      <c r="AF50" s="3"/>
      <c r="AG50" s="3"/>
      <c r="AH50" s="3"/>
      <c r="AI50" s="3"/>
      <c r="AJ50" s="3"/>
      <c r="AK50" s="3"/>
      <c r="AL50" s="3"/>
      <c r="AM50" s="3"/>
      <c r="AN50" s="3"/>
      <c r="AO50" s="3"/>
      <c r="AP50" s="3"/>
      <c r="AQ50" s="3"/>
      <c r="AR50" s="3"/>
      <c r="AS50" s="3"/>
      <c r="AT50" s="3"/>
      <c r="AU50" s="3"/>
      <c r="AV50" s="3"/>
      <c r="AW50" s="3"/>
      <c r="AX50" s="3"/>
      <c r="AY50" s="3"/>
      <c r="AZ50" s="3"/>
      <c r="BA50" s="3"/>
    </row>
    <row r="51" ht="15.75" customHeight="1">
      <c r="A51" s="3"/>
      <c r="B51" s="159"/>
      <c r="C51" s="159"/>
      <c r="D51" s="153"/>
      <c r="E51" s="3"/>
      <c r="F51" s="3"/>
      <c r="G51" s="153"/>
      <c r="H51" s="3"/>
      <c r="I51" s="3"/>
      <c r="J51" s="3"/>
      <c r="K51" s="3"/>
      <c r="L51" s="3"/>
      <c r="M51" s="3" t="s">
        <v>126</v>
      </c>
      <c r="N51" s="3"/>
      <c r="O51" s="3"/>
      <c r="P51" s="3"/>
      <c r="Q51" s="166">
        <f>Q36+Q37+Q38</f>
        <v>52755.024</v>
      </c>
      <c r="R51" s="162" t="s">
        <v>127</v>
      </c>
      <c r="S51" s="162"/>
      <c r="T51" s="162"/>
      <c r="U51" s="162"/>
      <c r="V51" s="162"/>
      <c r="W51" s="162"/>
      <c r="X51" s="162"/>
      <c r="Y51" s="162"/>
      <c r="Z51" s="201"/>
      <c r="AA51" s="201" t="s">
        <v>128</v>
      </c>
      <c r="AB51" s="203">
        <f>AP41</f>
        <v>354663.2102</v>
      </c>
      <c r="AD51" s="162"/>
      <c r="AE51" s="163"/>
      <c r="AF51" s="3"/>
      <c r="AG51" s="3"/>
      <c r="AH51" s="3"/>
      <c r="AI51" s="3"/>
      <c r="AJ51" s="3"/>
      <c r="AK51" s="3"/>
      <c r="AL51" s="3"/>
      <c r="AM51" s="3"/>
      <c r="AN51" s="3"/>
      <c r="AO51" s="3"/>
      <c r="AP51" s="3"/>
      <c r="AQ51" s="3"/>
      <c r="AR51" s="3"/>
      <c r="AS51" s="3"/>
      <c r="AT51" s="3"/>
      <c r="AU51" s="3"/>
      <c r="AV51" s="3"/>
      <c r="AW51" s="3"/>
      <c r="AX51" s="3"/>
      <c r="AY51" s="3"/>
      <c r="AZ51" s="3"/>
      <c r="BA51" s="3"/>
    </row>
    <row r="52" ht="15.75" customHeight="1">
      <c r="A52" s="3"/>
      <c r="B52" s="159"/>
      <c r="C52" s="159"/>
      <c r="D52" s="153"/>
      <c r="E52" s="3"/>
      <c r="F52" s="3"/>
      <c r="G52" s="153"/>
      <c r="H52" s="3"/>
      <c r="I52" s="3"/>
      <c r="J52" s="3"/>
      <c r="K52" s="3"/>
      <c r="L52" s="3"/>
      <c r="M52" s="3" t="s">
        <v>129</v>
      </c>
      <c r="N52" s="3"/>
      <c r="O52" s="3"/>
      <c r="P52" s="3"/>
      <c r="Q52" s="166">
        <f>Q32</f>
        <v>79132.536</v>
      </c>
      <c r="R52" s="162" t="s">
        <v>130</v>
      </c>
      <c r="S52" s="162"/>
      <c r="T52" s="162"/>
      <c r="U52" s="162"/>
      <c r="V52" s="162">
        <v>1200000.0</v>
      </c>
      <c r="W52" s="162"/>
      <c r="X52" s="162"/>
      <c r="Y52" s="162"/>
      <c r="Z52" s="201"/>
      <c r="AA52" s="201" t="s">
        <v>131</v>
      </c>
      <c r="AB52" s="203">
        <f>AT41</f>
        <v>176169.4858</v>
      </c>
      <c r="AD52" s="162"/>
      <c r="AE52" s="163"/>
      <c r="AF52" s="3"/>
      <c r="AG52" s="3"/>
      <c r="AH52" s="3"/>
      <c r="AI52" s="3"/>
      <c r="AJ52" s="3"/>
      <c r="AK52" s="3"/>
      <c r="AL52" s="3"/>
      <c r="AM52" s="3"/>
      <c r="AN52" s="3"/>
      <c r="AO52" s="3"/>
      <c r="AP52" s="3"/>
      <c r="AQ52" s="3"/>
      <c r="AR52" s="3"/>
      <c r="AS52" s="3"/>
      <c r="AT52" s="3"/>
      <c r="AU52" s="3"/>
      <c r="AV52" s="3"/>
      <c r="AW52" s="3"/>
      <c r="AX52" s="3"/>
      <c r="AY52" s="3"/>
      <c r="AZ52" s="3"/>
      <c r="BA52" s="3"/>
    </row>
    <row r="53" ht="15.75" customHeight="1">
      <c r="A53" s="3"/>
      <c r="B53" s="159"/>
      <c r="C53" s="159"/>
      <c r="D53" s="153"/>
      <c r="E53" s="3"/>
      <c r="F53" s="3"/>
      <c r="G53" s="153"/>
      <c r="H53" s="3"/>
      <c r="I53" s="3"/>
      <c r="J53" s="3"/>
      <c r="K53" s="3"/>
      <c r="L53" s="3"/>
      <c r="M53" s="3"/>
      <c r="N53" s="3"/>
      <c r="O53" s="3"/>
      <c r="P53" s="3"/>
      <c r="Q53" s="169">
        <f>Q48+Q49+Q50+Q51+Q52</f>
        <v>1947979.261</v>
      </c>
      <c r="R53" s="162"/>
      <c r="S53" s="162"/>
      <c r="T53" s="162"/>
      <c r="U53" s="162"/>
      <c r="V53" s="162">
        <v>179414.0</v>
      </c>
      <c r="W53" s="162"/>
      <c r="X53" s="162"/>
      <c r="Y53" s="162"/>
      <c r="Z53" s="201"/>
      <c r="AA53" s="201" t="s">
        <v>132</v>
      </c>
      <c r="AB53" s="203">
        <f>AX41</f>
        <v>6377</v>
      </c>
      <c r="AD53" s="162"/>
      <c r="AE53" s="163"/>
      <c r="AF53" s="3"/>
      <c r="AG53" s="3"/>
      <c r="AH53" s="3"/>
      <c r="AI53" s="3"/>
      <c r="AJ53" s="3"/>
      <c r="AK53" s="3"/>
      <c r="AL53" s="3"/>
      <c r="AM53" s="3"/>
      <c r="AN53" s="3"/>
      <c r="AO53" s="3"/>
      <c r="AP53" s="3"/>
      <c r="AQ53" s="3"/>
      <c r="AR53" s="3"/>
      <c r="AS53" s="3"/>
      <c r="AT53" s="3"/>
      <c r="AU53" s="3"/>
      <c r="AV53" s="3"/>
      <c r="AW53" s="3"/>
      <c r="AX53" s="3"/>
      <c r="AY53" s="3"/>
      <c r="AZ53" s="3"/>
      <c r="BA53" s="3"/>
    </row>
    <row r="54" ht="15.75" customHeight="1">
      <c r="A54" s="3"/>
      <c r="B54" s="155"/>
      <c r="C54" s="155"/>
      <c r="D54" s="3"/>
      <c r="E54" s="3"/>
      <c r="F54" s="3"/>
      <c r="G54" s="153"/>
      <c r="H54" s="3"/>
      <c r="I54" s="3"/>
      <c r="J54" s="3"/>
      <c r="K54" s="3"/>
      <c r="L54" s="3"/>
      <c r="M54" s="3"/>
      <c r="N54" s="3"/>
      <c r="O54" s="3"/>
      <c r="P54" s="3"/>
      <c r="Q54" s="162"/>
      <c r="R54" s="162"/>
      <c r="S54" s="162"/>
      <c r="T54" s="162"/>
      <c r="U54" s="162"/>
      <c r="V54" s="162"/>
      <c r="W54" s="162"/>
      <c r="X54" s="162"/>
      <c r="Y54" s="162"/>
      <c r="Z54" s="201"/>
      <c r="AA54" s="201"/>
      <c r="AB54" s="201"/>
      <c r="AC54" s="201"/>
      <c r="AD54" s="162"/>
      <c r="AE54" s="163"/>
      <c r="AF54" s="3"/>
      <c r="AG54" s="3"/>
      <c r="AH54" s="3"/>
      <c r="AI54" s="3"/>
      <c r="AJ54" s="3"/>
      <c r="AK54" s="3"/>
      <c r="AL54" s="3"/>
      <c r="AM54" s="3"/>
      <c r="AN54" s="3"/>
      <c r="AO54" s="3"/>
      <c r="AP54" s="3"/>
      <c r="AQ54" s="3"/>
      <c r="AR54" s="3"/>
      <c r="AS54" s="3"/>
      <c r="AT54" s="3"/>
      <c r="AU54" s="3"/>
      <c r="AV54" s="3"/>
      <c r="AW54" s="3"/>
      <c r="AX54" s="3"/>
      <c r="AY54" s="3"/>
      <c r="AZ54" s="3"/>
      <c r="BA54" s="3"/>
    </row>
    <row r="55" ht="15.75" customHeight="1">
      <c r="A55" s="3"/>
      <c r="B55" s="155"/>
      <c r="C55" s="155"/>
      <c r="D55" s="3"/>
      <c r="E55" s="3"/>
      <c r="F55" s="3"/>
      <c r="G55" s="3"/>
      <c r="H55" s="3"/>
      <c r="I55" s="3"/>
      <c r="J55" s="3"/>
      <c r="K55" s="3"/>
      <c r="L55" s="3"/>
      <c r="M55" s="3"/>
      <c r="N55" s="3"/>
      <c r="O55" s="3"/>
      <c r="P55" s="3"/>
      <c r="Q55" s="162"/>
      <c r="R55" s="162"/>
      <c r="S55" s="162"/>
      <c r="T55" s="162"/>
      <c r="U55" s="162"/>
      <c r="V55" s="162"/>
      <c r="W55" s="162"/>
      <c r="X55" s="162"/>
      <c r="Y55" s="162"/>
      <c r="Z55" s="201"/>
      <c r="AA55" s="201"/>
      <c r="AB55" s="201"/>
      <c r="AC55" s="201"/>
      <c r="AD55" s="162"/>
      <c r="AE55" s="163"/>
      <c r="AF55" s="3"/>
      <c r="AG55" s="3"/>
      <c r="AH55" s="3"/>
      <c r="AI55" s="3"/>
      <c r="AJ55" s="3"/>
      <c r="AK55" s="3"/>
      <c r="AL55" s="3"/>
      <c r="AM55" s="3"/>
      <c r="AN55" s="3"/>
      <c r="AO55" s="3"/>
      <c r="AP55" s="3"/>
      <c r="AQ55" s="3"/>
      <c r="AR55" s="3"/>
      <c r="AS55" s="3"/>
      <c r="AT55" s="3"/>
      <c r="AU55" s="3"/>
      <c r="AV55" s="3"/>
      <c r="AW55" s="3"/>
      <c r="AX55" s="3"/>
      <c r="AY55" s="3"/>
      <c r="AZ55" s="3"/>
      <c r="BA55" s="3"/>
    </row>
    <row r="56" ht="15.75" customHeight="1">
      <c r="A56" s="3"/>
      <c r="B56" s="155"/>
      <c r="C56" s="155"/>
      <c r="D56" s="3"/>
      <c r="E56" s="3"/>
      <c r="F56" s="3"/>
      <c r="G56" s="3"/>
      <c r="H56" s="3"/>
      <c r="I56" s="3"/>
      <c r="J56" s="3"/>
      <c r="K56" s="3"/>
      <c r="L56" s="3"/>
      <c r="M56" s="3"/>
      <c r="N56" s="3"/>
      <c r="O56" s="3"/>
      <c r="P56" s="3"/>
      <c r="Q56" s="162"/>
      <c r="R56" s="162"/>
      <c r="S56" s="162"/>
      <c r="T56" s="162"/>
      <c r="U56" s="162"/>
      <c r="V56" s="162"/>
      <c r="W56" s="162"/>
      <c r="X56" s="162"/>
      <c r="Y56" s="162"/>
      <c r="Z56" s="201"/>
      <c r="AA56" s="201"/>
      <c r="AB56" s="201"/>
      <c r="AC56" s="201"/>
      <c r="AD56" s="162"/>
      <c r="AE56" s="163"/>
      <c r="AF56" s="3"/>
      <c r="AG56" s="3"/>
      <c r="AH56" s="3"/>
      <c r="AI56" s="3"/>
      <c r="AJ56" s="3"/>
      <c r="AK56" s="3"/>
      <c r="AL56" s="3"/>
      <c r="AM56" s="3"/>
      <c r="AN56" s="3"/>
      <c r="AO56" s="3"/>
      <c r="AP56" s="3"/>
      <c r="AQ56" s="3"/>
      <c r="AR56" s="3"/>
      <c r="AS56" s="3"/>
      <c r="AT56" s="3"/>
      <c r="AU56" s="3"/>
      <c r="AV56" s="3"/>
      <c r="AW56" s="3"/>
      <c r="AX56" s="3"/>
      <c r="AY56" s="3"/>
      <c r="AZ56" s="3"/>
      <c r="BA56" s="3"/>
    </row>
    <row r="57" ht="15.75" customHeight="1">
      <c r="A57" s="3"/>
      <c r="B57" s="3"/>
      <c r="C57" s="3"/>
      <c r="D57" s="3"/>
      <c r="E57" s="3"/>
      <c r="F57" s="3"/>
      <c r="G57" s="3"/>
      <c r="H57" s="3"/>
      <c r="I57" s="3"/>
      <c r="J57" s="3"/>
      <c r="K57" s="3"/>
      <c r="L57" s="3"/>
      <c r="M57" s="3"/>
      <c r="N57" s="3"/>
      <c r="O57" s="3"/>
      <c r="P57" s="3"/>
      <c r="Q57" s="162"/>
      <c r="R57" s="162"/>
      <c r="S57" s="162"/>
      <c r="T57" s="162"/>
      <c r="U57" s="162"/>
      <c r="V57" s="162"/>
      <c r="W57" s="162"/>
      <c r="X57" s="162"/>
      <c r="Y57" s="162"/>
      <c r="Z57" s="162"/>
      <c r="AA57" s="162"/>
      <c r="AB57" s="162"/>
      <c r="AC57" s="162"/>
      <c r="AD57" s="162"/>
      <c r="AE57" s="163"/>
      <c r="AF57" s="3"/>
      <c r="AG57" s="3"/>
      <c r="AH57" s="3"/>
      <c r="AI57" s="3"/>
      <c r="AJ57" s="3"/>
      <c r="AK57" s="3"/>
      <c r="AL57" s="3"/>
      <c r="AM57" s="3"/>
      <c r="AN57" s="3"/>
      <c r="AO57" s="3"/>
      <c r="AP57" s="3"/>
      <c r="AQ57" s="3"/>
      <c r="AR57" s="3"/>
      <c r="AS57" s="3"/>
      <c r="AT57" s="3"/>
      <c r="AU57" s="3"/>
      <c r="AV57" s="3"/>
      <c r="AW57" s="3"/>
      <c r="AX57" s="3"/>
      <c r="AY57" s="3"/>
      <c r="AZ57" s="3"/>
      <c r="BA57" s="3"/>
    </row>
    <row r="58" ht="15.75" customHeight="1">
      <c r="A58" s="3"/>
      <c r="B58" s="3"/>
      <c r="C58" s="3"/>
      <c r="D58" s="3"/>
      <c r="E58" s="3"/>
      <c r="F58" s="3"/>
      <c r="G58" s="3"/>
      <c r="H58" s="3"/>
      <c r="I58" s="3"/>
      <c r="J58" s="3"/>
      <c r="K58" s="3"/>
      <c r="L58" s="3"/>
      <c r="M58" s="3"/>
      <c r="N58" s="3"/>
      <c r="O58" s="3"/>
      <c r="P58" s="3"/>
      <c r="Q58" s="162"/>
      <c r="R58" s="163"/>
      <c r="S58" s="163"/>
      <c r="T58" s="163"/>
      <c r="U58" s="163"/>
      <c r="V58" s="163"/>
      <c r="W58" s="163"/>
      <c r="X58" s="163"/>
      <c r="Y58" s="163"/>
      <c r="Z58" s="162"/>
      <c r="AA58" s="162"/>
      <c r="AB58" s="162"/>
      <c r="AC58" s="162"/>
      <c r="AD58" s="162"/>
      <c r="AE58" s="163"/>
      <c r="AF58" s="3"/>
      <c r="AG58" s="3"/>
      <c r="AH58" s="3"/>
      <c r="AI58" s="3"/>
      <c r="AJ58" s="3"/>
      <c r="AK58" s="3"/>
      <c r="AL58" s="3"/>
      <c r="AM58" s="3"/>
      <c r="AN58" s="3"/>
      <c r="AO58" s="3"/>
      <c r="AP58" s="3"/>
      <c r="AQ58" s="3"/>
      <c r="AR58" s="3"/>
      <c r="AS58" s="3"/>
      <c r="AT58" s="3"/>
      <c r="AU58" s="3"/>
      <c r="AV58" s="3"/>
      <c r="AW58" s="3"/>
      <c r="AX58" s="3"/>
      <c r="AY58" s="3"/>
      <c r="AZ58" s="3"/>
      <c r="BA58" s="3"/>
    </row>
    <row r="59" ht="15.75" customHeight="1">
      <c r="A59" s="3"/>
      <c r="B59" s="3"/>
      <c r="C59" s="3"/>
      <c r="D59" s="3"/>
      <c r="E59" s="3"/>
      <c r="F59" s="3"/>
      <c r="G59" s="3"/>
      <c r="H59" s="3"/>
      <c r="I59" s="3"/>
      <c r="J59" s="3"/>
      <c r="K59" s="3"/>
      <c r="L59" s="3"/>
      <c r="M59" s="3"/>
      <c r="N59" s="3"/>
      <c r="O59" s="3"/>
      <c r="P59" s="3"/>
      <c r="Q59" s="162"/>
      <c r="R59" s="163"/>
      <c r="S59" s="163"/>
      <c r="T59" s="163"/>
      <c r="U59" s="163"/>
      <c r="V59" s="163"/>
      <c r="W59" s="163"/>
      <c r="X59" s="163"/>
      <c r="Y59" s="163"/>
      <c r="Z59" s="162"/>
      <c r="AA59" s="162"/>
      <c r="AB59" s="162"/>
      <c r="AC59" s="162"/>
      <c r="AD59" s="162"/>
      <c r="AE59" s="163"/>
      <c r="AF59" s="3"/>
      <c r="AG59" s="3"/>
      <c r="AH59" s="3"/>
      <c r="AI59" s="3"/>
      <c r="AJ59" s="3"/>
      <c r="AK59" s="3"/>
      <c r="AL59" s="3"/>
      <c r="AM59" s="3"/>
      <c r="AN59" s="3"/>
      <c r="AO59" s="3"/>
      <c r="AP59" s="3"/>
      <c r="AQ59" s="3"/>
      <c r="AR59" s="3"/>
      <c r="AS59" s="3"/>
      <c r="AT59" s="3"/>
      <c r="AU59" s="3"/>
      <c r="AV59" s="3"/>
      <c r="AW59" s="3"/>
      <c r="AX59" s="3"/>
      <c r="AY59" s="3"/>
      <c r="AZ59" s="3"/>
      <c r="BA59" s="3"/>
    </row>
    <row r="60" ht="15.75" customHeight="1">
      <c r="A60" s="3"/>
      <c r="B60" s="3"/>
      <c r="C60" s="3"/>
      <c r="D60" s="3"/>
      <c r="E60" s="3"/>
      <c r="F60" s="3"/>
      <c r="G60" s="3"/>
      <c r="H60" s="3"/>
      <c r="I60" s="3"/>
      <c r="J60" s="3"/>
      <c r="K60" s="3"/>
      <c r="L60" s="3"/>
      <c r="M60" s="3"/>
      <c r="N60" s="3"/>
      <c r="O60" s="3"/>
      <c r="P60" s="3"/>
      <c r="Q60" s="162"/>
      <c r="R60" s="163"/>
      <c r="S60" s="163"/>
      <c r="T60" s="163"/>
      <c r="U60" s="163"/>
      <c r="V60" s="163"/>
      <c r="W60" s="163"/>
      <c r="X60" s="163"/>
      <c r="Y60" s="163"/>
      <c r="Z60" s="162"/>
      <c r="AA60" s="162"/>
      <c r="AB60" s="162"/>
      <c r="AC60" s="162"/>
      <c r="AD60" s="162"/>
      <c r="AE60" s="163"/>
      <c r="AF60" s="3"/>
      <c r="AG60" s="3"/>
      <c r="AH60" s="3"/>
      <c r="AI60" s="3"/>
      <c r="AJ60" s="3"/>
      <c r="AK60" s="3"/>
      <c r="AL60" s="3"/>
      <c r="AM60" s="3"/>
      <c r="AN60" s="3"/>
      <c r="AO60" s="3"/>
      <c r="AP60" s="3"/>
      <c r="AQ60" s="3"/>
      <c r="AR60" s="3"/>
      <c r="AS60" s="3"/>
      <c r="AT60" s="3"/>
      <c r="AU60" s="3"/>
      <c r="AV60" s="3"/>
      <c r="AW60" s="3"/>
      <c r="AX60" s="3"/>
      <c r="AY60" s="3"/>
      <c r="AZ60" s="3"/>
      <c r="BA60" s="3"/>
    </row>
    <row r="61" ht="15.75" customHeight="1">
      <c r="A61" s="3"/>
      <c r="B61" s="3"/>
      <c r="C61" s="3"/>
      <c r="D61" s="3"/>
      <c r="E61" s="3"/>
      <c r="F61" s="3"/>
      <c r="G61" s="3"/>
      <c r="H61" s="3"/>
      <c r="I61" s="3"/>
      <c r="J61" s="3"/>
      <c r="K61" s="3"/>
      <c r="L61" s="3"/>
      <c r="M61" s="3"/>
      <c r="N61" s="3"/>
      <c r="O61" s="3"/>
      <c r="P61" s="3"/>
      <c r="Q61" s="162"/>
      <c r="R61" s="163"/>
      <c r="S61" s="163"/>
      <c r="T61" s="163"/>
      <c r="U61" s="163"/>
      <c r="V61" s="163"/>
      <c r="W61" s="163"/>
      <c r="X61" s="163"/>
      <c r="Y61" s="163"/>
      <c r="Z61" s="162"/>
      <c r="AA61" s="162"/>
      <c r="AB61" s="162"/>
      <c r="AC61" s="162" t="s">
        <v>139</v>
      </c>
      <c r="AD61" s="162"/>
      <c r="AE61" s="163"/>
      <c r="AF61" s="3"/>
      <c r="AG61" s="3"/>
      <c r="AH61" s="3"/>
      <c r="AI61" s="3"/>
      <c r="AJ61" s="3"/>
      <c r="AK61" s="3"/>
      <c r="AL61" s="3"/>
      <c r="AM61" s="3"/>
      <c r="AN61" s="3"/>
      <c r="AO61" s="3"/>
      <c r="AP61" s="3"/>
      <c r="AQ61" s="3"/>
      <c r="AR61" s="3"/>
      <c r="AS61" s="3"/>
      <c r="AT61" s="3"/>
      <c r="AU61" s="3"/>
      <c r="AV61" s="3"/>
      <c r="AW61" s="3"/>
      <c r="AX61" s="3"/>
      <c r="AY61" s="3"/>
      <c r="AZ61" s="3"/>
      <c r="BA61" s="3"/>
    </row>
    <row r="62" ht="15.75" customHeight="1">
      <c r="A62" s="3"/>
      <c r="B62" s="3"/>
      <c r="C62" s="3"/>
      <c r="D62" s="3"/>
      <c r="E62" s="3"/>
      <c r="F62" s="3"/>
      <c r="G62" s="3"/>
      <c r="H62" s="3"/>
      <c r="I62" s="3"/>
      <c r="J62" s="3"/>
      <c r="K62" s="3"/>
      <c r="L62" s="3"/>
      <c r="M62" s="3"/>
      <c r="N62" s="3"/>
      <c r="O62" s="3"/>
      <c r="P62" s="3"/>
      <c r="Q62" s="162"/>
      <c r="R62" s="163"/>
      <c r="S62" s="163"/>
      <c r="T62" s="163"/>
      <c r="U62" s="163"/>
      <c r="V62" s="163"/>
      <c r="W62" s="163"/>
      <c r="X62" s="163"/>
      <c r="Y62" s="163"/>
      <c r="Z62" s="162"/>
      <c r="AA62" s="162"/>
      <c r="AB62" s="162"/>
      <c r="AC62" s="162"/>
      <c r="AD62" s="162"/>
      <c r="AE62" s="163"/>
      <c r="AF62" s="3"/>
      <c r="AG62" s="3"/>
      <c r="AH62" s="3"/>
      <c r="AI62" s="3"/>
      <c r="AJ62" s="3"/>
      <c r="AK62" s="3"/>
      <c r="AL62" s="3"/>
      <c r="AM62" s="3"/>
      <c r="AN62" s="3"/>
      <c r="AO62" s="3"/>
      <c r="AP62" s="3"/>
      <c r="AQ62" s="3"/>
      <c r="AR62" s="3"/>
      <c r="AS62" s="3"/>
      <c r="AT62" s="3"/>
      <c r="AU62" s="3"/>
      <c r="AV62" s="3"/>
      <c r="AW62" s="3"/>
      <c r="AX62" s="3"/>
      <c r="AY62" s="3"/>
      <c r="AZ62" s="3"/>
      <c r="BA62" s="3"/>
    </row>
    <row r="63" ht="15.75" customHeight="1">
      <c r="A63" s="3"/>
      <c r="B63" s="3"/>
      <c r="C63" s="3"/>
      <c r="D63" s="3"/>
      <c r="E63" s="3"/>
      <c r="F63" s="3"/>
      <c r="G63" s="3"/>
      <c r="H63" s="3"/>
      <c r="I63" s="3"/>
      <c r="J63" s="3"/>
      <c r="K63" s="3"/>
      <c r="L63" s="3"/>
      <c r="M63" s="3"/>
      <c r="N63" s="3"/>
      <c r="O63" s="3"/>
      <c r="P63" s="3"/>
      <c r="Q63" s="162"/>
      <c r="R63" s="163"/>
      <c r="S63" s="163"/>
      <c r="T63" s="163"/>
      <c r="U63" s="163"/>
      <c r="V63" s="163"/>
      <c r="W63" s="163"/>
      <c r="X63" s="163"/>
      <c r="Y63" s="163"/>
      <c r="Z63" s="162"/>
      <c r="AA63" s="162"/>
      <c r="AB63" s="162"/>
      <c r="AC63" s="162"/>
      <c r="AD63" s="162"/>
      <c r="AE63" s="163"/>
      <c r="AF63" s="3"/>
      <c r="AG63" s="3"/>
      <c r="AH63" s="3"/>
      <c r="AI63" s="3"/>
      <c r="AJ63" s="3"/>
      <c r="AK63" s="3"/>
      <c r="AL63" s="3"/>
      <c r="AM63" s="3"/>
      <c r="AN63" s="3"/>
      <c r="AO63" s="3"/>
      <c r="AP63" s="3"/>
      <c r="AQ63" s="3"/>
      <c r="AR63" s="3"/>
      <c r="AS63" s="3"/>
      <c r="AT63" s="3"/>
      <c r="AU63" s="3"/>
      <c r="AV63" s="3"/>
      <c r="AW63" s="3"/>
      <c r="AX63" s="3"/>
      <c r="AY63" s="3"/>
      <c r="AZ63" s="3"/>
      <c r="BA63" s="3"/>
    </row>
    <row r="64" ht="15.75" customHeight="1">
      <c r="A64" s="3"/>
      <c r="B64" s="3"/>
      <c r="C64" s="3"/>
      <c r="D64" s="3"/>
      <c r="E64" s="3"/>
      <c r="F64" s="3"/>
      <c r="G64" s="3"/>
      <c r="H64" s="3"/>
      <c r="I64" s="3"/>
      <c r="J64" s="3"/>
      <c r="K64" s="3"/>
      <c r="L64" s="3"/>
      <c r="M64" s="3"/>
      <c r="N64" s="3"/>
      <c r="O64" s="3"/>
      <c r="P64" s="3"/>
      <c r="Q64" s="162"/>
      <c r="R64" s="163"/>
      <c r="S64" s="163"/>
      <c r="T64" s="163"/>
      <c r="U64" s="163"/>
      <c r="V64" s="163"/>
      <c r="W64" s="163"/>
      <c r="X64" s="163"/>
      <c r="Y64" s="163"/>
      <c r="Z64" s="162"/>
      <c r="AA64" s="162"/>
      <c r="AB64" s="162"/>
      <c r="AC64" s="162"/>
      <c r="AD64" s="162"/>
      <c r="AE64" s="163"/>
      <c r="AF64" s="3"/>
      <c r="AG64" s="3"/>
      <c r="AH64" s="3"/>
      <c r="AI64" s="3"/>
      <c r="AJ64" s="3"/>
      <c r="AK64" s="3"/>
      <c r="AL64" s="3"/>
      <c r="AM64" s="3"/>
      <c r="AN64" s="3"/>
      <c r="AO64" s="3"/>
      <c r="AP64" s="3"/>
      <c r="AQ64" s="3"/>
      <c r="AR64" s="3"/>
      <c r="AS64" s="3"/>
      <c r="AT64" s="3"/>
      <c r="AU64" s="3"/>
      <c r="AV64" s="3"/>
      <c r="AW64" s="3"/>
      <c r="AX64" s="3"/>
      <c r="AY64" s="3"/>
      <c r="AZ64" s="3"/>
      <c r="BA64" s="3"/>
    </row>
    <row r="65" ht="15.75" customHeight="1">
      <c r="A65" s="3"/>
      <c r="B65" s="3"/>
      <c r="C65" s="3"/>
      <c r="D65" s="3"/>
      <c r="E65" s="3"/>
      <c r="F65" s="3"/>
      <c r="G65" s="3"/>
      <c r="H65" s="3"/>
      <c r="I65" s="3"/>
      <c r="J65" s="3"/>
      <c r="K65" s="3"/>
      <c r="L65" s="3"/>
      <c r="M65" s="3"/>
      <c r="N65" s="3"/>
      <c r="O65" s="3"/>
      <c r="P65" s="3"/>
      <c r="Q65" s="162"/>
      <c r="R65" s="163"/>
      <c r="S65" s="163"/>
      <c r="T65" s="163"/>
      <c r="U65" s="163"/>
      <c r="V65" s="163"/>
      <c r="W65" s="163"/>
      <c r="X65" s="163"/>
      <c r="Y65" s="163"/>
      <c r="Z65" s="162"/>
      <c r="AA65" s="162"/>
      <c r="AB65" s="162"/>
      <c r="AC65" s="162"/>
      <c r="AD65" s="162"/>
      <c r="AE65" s="163"/>
      <c r="AF65" s="3"/>
      <c r="AG65" s="3"/>
      <c r="AH65" s="3"/>
      <c r="AI65" s="3"/>
      <c r="AJ65" s="3"/>
      <c r="AK65" s="3"/>
      <c r="AL65" s="3"/>
      <c r="AM65" s="3"/>
      <c r="AN65" s="3"/>
      <c r="AO65" s="3"/>
      <c r="AP65" s="3"/>
      <c r="AQ65" s="3"/>
      <c r="AR65" s="3"/>
      <c r="AS65" s="3"/>
      <c r="AT65" s="3"/>
      <c r="AU65" s="3"/>
      <c r="AV65" s="3"/>
      <c r="AW65" s="3"/>
      <c r="AX65" s="3"/>
      <c r="AY65" s="3"/>
      <c r="AZ65" s="3"/>
      <c r="BA65" s="3"/>
    </row>
    <row r="66" ht="15.75" customHeight="1">
      <c r="A66" s="3"/>
      <c r="B66" s="3"/>
      <c r="C66" s="3"/>
      <c r="D66" s="3"/>
      <c r="E66" s="3"/>
      <c r="F66" s="3"/>
      <c r="G66" s="3"/>
      <c r="H66" s="3"/>
      <c r="I66" s="3"/>
      <c r="J66" s="3"/>
      <c r="K66" s="3"/>
      <c r="L66" s="3"/>
      <c r="M66" s="3"/>
      <c r="N66" s="3"/>
      <c r="O66" s="3"/>
      <c r="P66" s="3"/>
      <c r="Q66" s="3"/>
      <c r="R66" s="163"/>
      <c r="S66" s="163"/>
      <c r="T66" s="163"/>
      <c r="U66" s="163"/>
      <c r="V66" s="163"/>
      <c r="W66" s="163"/>
      <c r="X66" s="163"/>
      <c r="Y66" s="163"/>
      <c r="Z66" s="162"/>
      <c r="AA66" s="162"/>
      <c r="AB66" s="162"/>
      <c r="AC66" s="162"/>
      <c r="AD66" s="162"/>
      <c r="AE66" s="163"/>
      <c r="AF66" s="3"/>
      <c r="AG66" s="3"/>
      <c r="AH66" s="3"/>
      <c r="AI66" s="3"/>
      <c r="AJ66" s="3"/>
      <c r="AK66" s="3"/>
      <c r="AL66" s="3"/>
      <c r="AM66" s="3"/>
      <c r="AN66" s="3"/>
      <c r="AO66" s="3"/>
      <c r="AP66" s="3"/>
      <c r="AQ66" s="3"/>
      <c r="AR66" s="3"/>
      <c r="AS66" s="3"/>
      <c r="AT66" s="3"/>
      <c r="AU66" s="3"/>
      <c r="AV66" s="3"/>
      <c r="AW66" s="3"/>
      <c r="AX66" s="3"/>
      <c r="AY66" s="3"/>
      <c r="AZ66" s="3"/>
      <c r="BA66" s="3"/>
    </row>
    <row r="67" ht="15.75" customHeight="1">
      <c r="A67" s="3"/>
      <c r="B67" s="3"/>
      <c r="C67" s="3"/>
      <c r="D67" s="3"/>
      <c r="E67" s="3"/>
      <c r="F67" s="3"/>
      <c r="G67" s="3"/>
      <c r="H67" s="3"/>
      <c r="I67" s="3"/>
      <c r="J67" s="3"/>
      <c r="K67" s="3"/>
      <c r="L67" s="3"/>
      <c r="M67" s="3"/>
      <c r="N67" s="3"/>
      <c r="O67" s="3"/>
      <c r="P67" s="3"/>
      <c r="Q67" s="3"/>
      <c r="R67" s="163"/>
      <c r="S67" s="163"/>
      <c r="T67" s="163"/>
      <c r="U67" s="163"/>
      <c r="V67" s="163"/>
      <c r="W67" s="163"/>
      <c r="X67" s="163"/>
      <c r="Y67" s="163"/>
      <c r="Z67" s="162"/>
      <c r="AA67" s="162"/>
      <c r="AB67" s="162"/>
      <c r="AC67" s="162"/>
      <c r="AD67" s="162"/>
      <c r="AE67" s="163"/>
      <c r="AF67" s="3"/>
      <c r="AG67" s="3"/>
      <c r="AH67" s="3"/>
      <c r="AI67" s="3"/>
      <c r="AJ67" s="3"/>
      <c r="AK67" s="3"/>
      <c r="AL67" s="3"/>
      <c r="AM67" s="3"/>
      <c r="AN67" s="3"/>
      <c r="AO67" s="3"/>
      <c r="AP67" s="3"/>
      <c r="AQ67" s="3"/>
      <c r="AR67" s="3"/>
      <c r="AS67" s="3"/>
      <c r="AT67" s="3"/>
      <c r="AU67" s="3"/>
      <c r="AV67" s="3"/>
      <c r="AW67" s="3"/>
      <c r="AX67" s="3"/>
      <c r="AY67" s="3"/>
      <c r="AZ67" s="3"/>
      <c r="BA67" s="3"/>
    </row>
    <row r="68" ht="15.75" customHeight="1">
      <c r="A68" s="3"/>
      <c r="B68" s="3"/>
      <c r="C68" s="3"/>
      <c r="D68" s="3"/>
      <c r="E68" s="3"/>
      <c r="F68" s="3"/>
      <c r="G68" s="3"/>
      <c r="H68" s="3"/>
      <c r="I68" s="3"/>
      <c r="J68" s="3"/>
      <c r="K68" s="3"/>
      <c r="L68" s="3"/>
      <c r="M68" s="3"/>
      <c r="N68" s="3"/>
      <c r="O68" s="3"/>
      <c r="P68" s="3"/>
      <c r="Q68" s="3"/>
      <c r="R68" s="163"/>
      <c r="S68" s="163"/>
      <c r="T68" s="163"/>
      <c r="U68" s="163"/>
      <c r="V68" s="163"/>
      <c r="W68" s="163"/>
      <c r="X68" s="163"/>
      <c r="Y68" s="163"/>
      <c r="Z68" s="163"/>
      <c r="AA68" s="163"/>
      <c r="AB68" s="163"/>
      <c r="AC68" s="163"/>
      <c r="AD68" s="163"/>
      <c r="AE68" s="163"/>
      <c r="AF68" s="3"/>
      <c r="AG68" s="3"/>
      <c r="AH68" s="3"/>
      <c r="AI68" s="3"/>
      <c r="AJ68" s="3"/>
      <c r="AK68" s="3"/>
      <c r="AL68" s="3"/>
      <c r="AM68" s="3"/>
      <c r="AN68" s="3"/>
      <c r="AO68" s="3"/>
      <c r="AP68" s="3"/>
      <c r="AQ68" s="3"/>
      <c r="AR68" s="3"/>
      <c r="AS68" s="3"/>
      <c r="AT68" s="3"/>
      <c r="AU68" s="3"/>
      <c r="AV68" s="3"/>
      <c r="AW68" s="3"/>
      <c r="AX68" s="3"/>
      <c r="AY68" s="3"/>
      <c r="AZ68" s="3"/>
      <c r="BA68" s="3"/>
    </row>
    <row r="69" ht="15.75" customHeight="1">
      <c r="A69" s="3"/>
      <c r="B69" s="3"/>
      <c r="C69" s="3"/>
      <c r="D69" s="3"/>
      <c r="E69" s="3"/>
      <c r="F69" s="3"/>
      <c r="G69" s="3"/>
      <c r="H69" s="3"/>
      <c r="I69" s="3"/>
      <c r="J69" s="3"/>
      <c r="K69" s="3"/>
      <c r="L69" s="3"/>
      <c r="M69" s="3"/>
      <c r="N69" s="3"/>
      <c r="O69" s="3"/>
      <c r="P69" s="3"/>
      <c r="Q69" s="3"/>
      <c r="R69" s="163"/>
      <c r="S69" s="163"/>
      <c r="T69" s="163"/>
      <c r="U69" s="163"/>
      <c r="V69" s="163"/>
      <c r="W69" s="163"/>
      <c r="X69" s="163"/>
      <c r="Y69" s="163"/>
      <c r="Z69" s="163"/>
      <c r="AA69" s="163"/>
      <c r="AB69" s="163"/>
      <c r="AC69" s="163"/>
      <c r="AD69" s="163"/>
      <c r="AE69" s="163"/>
      <c r="AF69" s="3"/>
      <c r="AG69" s="3"/>
      <c r="AH69" s="3"/>
      <c r="AI69" s="3"/>
      <c r="AJ69" s="3"/>
      <c r="AK69" s="3"/>
      <c r="AL69" s="3"/>
      <c r="AM69" s="3"/>
      <c r="AN69" s="3"/>
      <c r="AO69" s="3"/>
      <c r="AP69" s="3"/>
      <c r="AQ69" s="3"/>
      <c r="AR69" s="3"/>
      <c r="AS69" s="3"/>
      <c r="AT69" s="3"/>
      <c r="AU69" s="3"/>
      <c r="AV69" s="3"/>
      <c r="AW69" s="3"/>
      <c r="AX69" s="3"/>
      <c r="AY69" s="3"/>
      <c r="AZ69" s="3"/>
      <c r="BA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row>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49">
    <mergeCell ref="AX40:AY40"/>
    <mergeCell ref="AZ40:BA40"/>
    <mergeCell ref="AZ41:BA41"/>
    <mergeCell ref="AP34:AS34"/>
    <mergeCell ref="AP36:AS38"/>
    <mergeCell ref="AT36:AW38"/>
    <mergeCell ref="AX36:AY38"/>
    <mergeCell ref="AZ36:BA38"/>
    <mergeCell ref="AP40:AS40"/>
    <mergeCell ref="AT40:AW40"/>
    <mergeCell ref="AZ11:BA12"/>
    <mergeCell ref="AZ13:BA14"/>
    <mergeCell ref="AZ15:BA16"/>
    <mergeCell ref="AX16:AY16"/>
    <mergeCell ref="AZ17:BA17"/>
    <mergeCell ref="AP9:AS9"/>
    <mergeCell ref="AT9:AW9"/>
    <mergeCell ref="AZ9:BA9"/>
    <mergeCell ref="AZ10:BA10"/>
    <mergeCell ref="AP13:AS14"/>
    <mergeCell ref="AT13:AW13"/>
    <mergeCell ref="AX13:AY13"/>
    <mergeCell ref="AX21:AY21"/>
    <mergeCell ref="AZ21:BA21"/>
    <mergeCell ref="AP18:AS19"/>
    <mergeCell ref="AT18:AW19"/>
    <mergeCell ref="AX18:AY18"/>
    <mergeCell ref="AZ18:BA19"/>
    <mergeCell ref="AX19:AY19"/>
    <mergeCell ref="AP21:AS21"/>
    <mergeCell ref="AT21:AW21"/>
    <mergeCell ref="AZ23:BA23"/>
    <mergeCell ref="AZ24:BA24"/>
    <mergeCell ref="AZ27:BA28"/>
    <mergeCell ref="AZ29:BA30"/>
    <mergeCell ref="AZ31:BA31"/>
    <mergeCell ref="AZ32:BA32"/>
    <mergeCell ref="AP22:AS22"/>
    <mergeCell ref="AT22:AW22"/>
    <mergeCell ref="AX22:AY22"/>
    <mergeCell ref="AZ22:BA22"/>
    <mergeCell ref="AP23:AS23"/>
    <mergeCell ref="AT23:AW23"/>
    <mergeCell ref="AX23:AY23"/>
    <mergeCell ref="AP29:AS30"/>
    <mergeCell ref="AT29:AW30"/>
    <mergeCell ref="AP31:AS31"/>
    <mergeCell ref="AT31:AW31"/>
    <mergeCell ref="AP32:AS33"/>
    <mergeCell ref="AT32:AW33"/>
    <mergeCell ref="AT34:AW34"/>
    <mergeCell ref="K11:K12"/>
    <mergeCell ref="P15:P16"/>
    <mergeCell ref="Q18:Q19"/>
    <mergeCell ref="R18:R19"/>
    <mergeCell ref="S18:S19"/>
    <mergeCell ref="W18:W19"/>
    <mergeCell ref="X18:X19"/>
    <mergeCell ref="AA18:AA19"/>
    <mergeCell ref="AB18:AC18"/>
    <mergeCell ref="AD18:AG18"/>
    <mergeCell ref="AH18:AK18"/>
    <mergeCell ref="AL18:AO19"/>
    <mergeCell ref="AH19:AK19"/>
    <mergeCell ref="AB19:AC19"/>
    <mergeCell ref="AD19:AG19"/>
    <mergeCell ref="AH9:AK9"/>
    <mergeCell ref="AL9:AO9"/>
    <mergeCell ref="F11:F19"/>
    <mergeCell ref="H11:H19"/>
    <mergeCell ref="I11:I14"/>
    <mergeCell ref="J11:J12"/>
    <mergeCell ref="AL13:AO14"/>
    <mergeCell ref="C1:AC1"/>
    <mergeCell ref="I7:J9"/>
    <mergeCell ref="AB7:AG7"/>
    <mergeCell ref="AH7:AW7"/>
    <mergeCell ref="AX7:AY7"/>
    <mergeCell ref="AB9:AC9"/>
    <mergeCell ref="AD9:AG9"/>
    <mergeCell ref="AX9:AY9"/>
    <mergeCell ref="Q11:Q12"/>
    <mergeCell ref="R11:R12"/>
    <mergeCell ref="S11:S12"/>
    <mergeCell ref="W11:W12"/>
    <mergeCell ref="X15:X16"/>
    <mergeCell ref="AA15:AA16"/>
    <mergeCell ref="P13:P14"/>
    <mergeCell ref="Q13:Q14"/>
    <mergeCell ref="AT14:AW14"/>
    <mergeCell ref="AX14:AY14"/>
    <mergeCell ref="AP15:AS16"/>
    <mergeCell ref="AT15:AW16"/>
    <mergeCell ref="AX15:AY15"/>
    <mergeCell ref="AB16:AC16"/>
    <mergeCell ref="AB17:AC17"/>
    <mergeCell ref="AD17:AG17"/>
    <mergeCell ref="AH17:AK17"/>
    <mergeCell ref="AL17:AO17"/>
    <mergeCell ref="AP17:AS17"/>
    <mergeCell ref="AT17:AW17"/>
    <mergeCell ref="AX17:AY17"/>
    <mergeCell ref="AB11:AC12"/>
    <mergeCell ref="AD11:AG11"/>
    <mergeCell ref="AD12:AG12"/>
    <mergeCell ref="AD15:AG15"/>
    <mergeCell ref="AH15:AK16"/>
    <mergeCell ref="AL15:AO16"/>
    <mergeCell ref="AD16:AG16"/>
    <mergeCell ref="G13:G19"/>
    <mergeCell ref="J13:J19"/>
    <mergeCell ref="I15:I17"/>
    <mergeCell ref="R13:R14"/>
    <mergeCell ref="S13:S14"/>
    <mergeCell ref="W13:W14"/>
    <mergeCell ref="X13:X14"/>
    <mergeCell ref="AD13:AG14"/>
    <mergeCell ref="AH13:AK14"/>
    <mergeCell ref="Q15:Q16"/>
    <mergeCell ref="R15:R16"/>
    <mergeCell ref="S15:S16"/>
    <mergeCell ref="W15:W16"/>
    <mergeCell ref="AD24:AG24"/>
    <mergeCell ref="AH24:AK24"/>
    <mergeCell ref="P11:P12"/>
    <mergeCell ref="P18:P19"/>
    <mergeCell ref="P27:P28"/>
    <mergeCell ref="Q27:Q28"/>
    <mergeCell ref="R27:R28"/>
    <mergeCell ref="S27:S28"/>
    <mergeCell ref="P29:P30"/>
    <mergeCell ref="S29:S30"/>
    <mergeCell ref="V32:V33"/>
    <mergeCell ref="W32:W33"/>
    <mergeCell ref="X32:X33"/>
    <mergeCell ref="Y32:Y33"/>
    <mergeCell ref="Z32:Z33"/>
    <mergeCell ref="AA32:AA33"/>
    <mergeCell ref="W36:W38"/>
    <mergeCell ref="AA36:AA38"/>
    <mergeCell ref="Q29:Q30"/>
    <mergeCell ref="R29:R30"/>
    <mergeCell ref="P32:P33"/>
    <mergeCell ref="Q32:Q33"/>
    <mergeCell ref="R32:R33"/>
    <mergeCell ref="S32:S33"/>
    <mergeCell ref="U32:U33"/>
    <mergeCell ref="E26:E40"/>
    <mergeCell ref="F26:F31"/>
    <mergeCell ref="F32:F34"/>
    <mergeCell ref="F36:F38"/>
    <mergeCell ref="K32:K33"/>
    <mergeCell ref="L32:L34"/>
    <mergeCell ref="M32:M34"/>
    <mergeCell ref="N32:N34"/>
    <mergeCell ref="O32:O34"/>
    <mergeCell ref="G36:G38"/>
    <mergeCell ref="H36:H38"/>
    <mergeCell ref="I36:I38"/>
    <mergeCell ref="J36:J38"/>
    <mergeCell ref="P36:P38"/>
    <mergeCell ref="Q36:Q38"/>
    <mergeCell ref="R36:R38"/>
    <mergeCell ref="L11:L12"/>
    <mergeCell ref="A13:A40"/>
    <mergeCell ref="B13:B40"/>
    <mergeCell ref="C13:C24"/>
    <mergeCell ref="D13:D24"/>
    <mergeCell ref="E13:E24"/>
    <mergeCell ref="I18:I19"/>
    <mergeCell ref="F21:F24"/>
    <mergeCell ref="H22:H24"/>
    <mergeCell ref="I22:I23"/>
    <mergeCell ref="J23:J24"/>
    <mergeCell ref="C26:C40"/>
    <mergeCell ref="D26:D40"/>
    <mergeCell ref="G26:G31"/>
    <mergeCell ref="H26:H31"/>
    <mergeCell ref="I26:I28"/>
    <mergeCell ref="J27:J31"/>
    <mergeCell ref="I29:I31"/>
    <mergeCell ref="G32:G34"/>
    <mergeCell ref="H32:H34"/>
    <mergeCell ref="I32:I34"/>
    <mergeCell ref="J32:J34"/>
    <mergeCell ref="AB41:AC41"/>
    <mergeCell ref="AD41:AG41"/>
    <mergeCell ref="AH41:AK41"/>
    <mergeCell ref="AP41:AS41"/>
    <mergeCell ref="AT41:AW41"/>
    <mergeCell ref="AX41:AY41"/>
    <mergeCell ref="AB37:AC37"/>
    <mergeCell ref="AD37:AG37"/>
    <mergeCell ref="AH37:AK37"/>
    <mergeCell ref="AB38:AC38"/>
    <mergeCell ref="AD38:AG38"/>
    <mergeCell ref="AH38:AK38"/>
    <mergeCell ref="AB40:AC40"/>
    <mergeCell ref="AA13:AA14"/>
    <mergeCell ref="AB13:AC14"/>
    <mergeCell ref="AB21:AC21"/>
    <mergeCell ref="AD21:AG21"/>
    <mergeCell ref="AH21:AK21"/>
    <mergeCell ref="AL21:AO21"/>
    <mergeCell ref="AB22:AC22"/>
    <mergeCell ref="AL22:AO22"/>
    <mergeCell ref="AD22:AG22"/>
    <mergeCell ref="AH22:AK22"/>
    <mergeCell ref="AB23:AC23"/>
    <mergeCell ref="AD23:AG23"/>
    <mergeCell ref="AH23:AK23"/>
    <mergeCell ref="AL23:AO23"/>
    <mergeCell ref="AL24:AO24"/>
    <mergeCell ref="AB24:AC24"/>
    <mergeCell ref="AB26:AC26"/>
    <mergeCell ref="W27:W28"/>
    <mergeCell ref="X27:X28"/>
    <mergeCell ref="AA27:AA28"/>
    <mergeCell ref="AB27:AC28"/>
    <mergeCell ref="AD27:AG28"/>
    <mergeCell ref="W29:W30"/>
    <mergeCell ref="X29:X30"/>
    <mergeCell ref="AA29:AA30"/>
    <mergeCell ref="AH29:AK30"/>
    <mergeCell ref="AL29:AO30"/>
    <mergeCell ref="AH31:AK31"/>
    <mergeCell ref="AL31:AO31"/>
    <mergeCell ref="AL34:AO34"/>
    <mergeCell ref="AL36:AO38"/>
    <mergeCell ref="AB32:AC32"/>
    <mergeCell ref="AD32:AG33"/>
    <mergeCell ref="AH32:AK33"/>
    <mergeCell ref="AL32:AO33"/>
    <mergeCell ref="AB36:AC36"/>
    <mergeCell ref="AD36:AG36"/>
    <mergeCell ref="AH36:AK36"/>
    <mergeCell ref="AB48:AC48"/>
    <mergeCell ref="AB49:AC49"/>
    <mergeCell ref="AB50:AC50"/>
    <mergeCell ref="AB51:AC51"/>
    <mergeCell ref="AB52:AC52"/>
    <mergeCell ref="AB53:AC53"/>
    <mergeCell ref="AD40:AG40"/>
    <mergeCell ref="AH40:AK40"/>
    <mergeCell ref="AL40:AO40"/>
    <mergeCell ref="AL41:AO41"/>
    <mergeCell ref="AI44:AL45"/>
    <mergeCell ref="AB46:AC46"/>
    <mergeCell ref="AB47:AC47"/>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1" max="1" width="19.57"/>
    <col customWidth="1" min="2" max="2" width="31.29"/>
    <col customWidth="1" min="3" max="3" width="23.86"/>
    <col customWidth="1" min="4" max="4" width="18.71"/>
    <col customWidth="1" min="5" max="5" width="20.43"/>
    <col customWidth="1" min="6" max="6" width="27.14"/>
    <col customWidth="1" min="7" max="7" width="22.0"/>
    <col customWidth="1" min="8" max="8" width="17.29"/>
    <col customWidth="1" min="9" max="9" width="32.71"/>
    <col customWidth="1" min="10" max="10" width="34.43"/>
    <col customWidth="1" min="11" max="11" width="75.0"/>
    <col customWidth="1" min="12" max="12" width="20.71"/>
    <col customWidth="1" min="16" max="16" width="25.86"/>
    <col customWidth="1" min="25" max="25" width="23.29"/>
    <col customWidth="1" min="26" max="49" width="6.14"/>
    <col customWidth="1" min="50" max="50" width="18.14"/>
    <col customWidth="1" min="51" max="51" width="6.14"/>
  </cols>
  <sheetData>
    <row r="1" ht="49.5" customHeight="1">
      <c r="A1" s="1"/>
      <c r="B1" s="2"/>
      <c r="C1" s="2"/>
    </row>
    <row r="2" ht="15.75" customHeight="1">
      <c r="A2" s="3"/>
      <c r="B2" s="3"/>
      <c r="C2" s="3"/>
      <c r="D2" s="205"/>
      <c r="E2" s="205"/>
      <c r="F2" s="205"/>
      <c r="G2" s="3"/>
      <c r="H2" s="3"/>
      <c r="I2" s="3"/>
      <c r="J2" s="3"/>
      <c r="K2" s="3"/>
      <c r="L2" s="3"/>
      <c r="M2" s="4"/>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row>
    <row r="3" ht="15.75" customHeight="1">
      <c r="A3" s="170" t="s">
        <v>0</v>
      </c>
      <c r="B3" s="171" t="s">
        <v>1</v>
      </c>
      <c r="C3" s="9"/>
      <c r="D3" s="206"/>
      <c r="E3" s="207" t="s">
        <v>157</v>
      </c>
      <c r="F3" s="205"/>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row>
    <row r="4" ht="15.75" customHeight="1">
      <c r="A4" s="170" t="s">
        <v>2</v>
      </c>
      <c r="B4" s="171" t="s">
        <v>144</v>
      </c>
      <c r="C4" s="173"/>
      <c r="D4" s="206"/>
      <c r="E4" s="207" t="s">
        <v>158</v>
      </c>
      <c r="F4" s="205" t="s">
        <v>159</v>
      </c>
      <c r="G4" s="3"/>
      <c r="H4" s="3"/>
      <c r="I4" s="3"/>
      <c r="J4" s="3"/>
      <c r="K4" s="3"/>
      <c r="L4" s="3"/>
      <c r="M4" s="3"/>
      <c r="N4" s="3"/>
      <c r="O4" s="3"/>
      <c r="P4" s="3"/>
      <c r="Q4" s="9"/>
      <c r="R4" s="9"/>
      <c r="S4" s="9"/>
      <c r="T4" s="9"/>
      <c r="U4" s="10"/>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row>
    <row r="5" ht="15.75" customHeight="1">
      <c r="A5" s="170" t="s">
        <v>4</v>
      </c>
      <c r="B5" s="174">
        <v>2198126.0</v>
      </c>
      <c r="C5" s="175">
        <v>2198126.0</v>
      </c>
      <c r="D5" s="172"/>
      <c r="E5" s="12"/>
      <c r="F5" s="3"/>
      <c r="G5" s="3"/>
      <c r="H5" s="3"/>
      <c r="I5" s="3"/>
      <c r="J5" s="3"/>
      <c r="K5" s="3"/>
      <c r="L5" s="3"/>
      <c r="M5" s="3"/>
      <c r="N5" s="3"/>
      <c r="O5" s="3"/>
      <c r="P5" s="3"/>
      <c r="Q5" s="9"/>
      <c r="R5" s="9"/>
      <c r="S5" s="9"/>
      <c r="T5" s="9"/>
      <c r="U5" s="10"/>
      <c r="V5" s="13"/>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row>
    <row r="6" ht="15.75" customHeight="1">
      <c r="A6" s="170" t="s">
        <v>5</v>
      </c>
      <c r="B6" s="171" t="s">
        <v>6</v>
      </c>
      <c r="C6" s="176"/>
      <c r="D6" s="172"/>
      <c r="E6" s="8"/>
      <c r="F6" s="3"/>
      <c r="G6" s="3"/>
      <c r="H6" s="3"/>
      <c r="I6" s="3"/>
      <c r="J6" s="3"/>
      <c r="K6" s="3"/>
      <c r="L6" s="3"/>
      <c r="M6" s="3"/>
      <c r="N6" s="3"/>
      <c r="O6" s="3"/>
      <c r="P6" s="3"/>
      <c r="Q6" s="9"/>
      <c r="R6" s="9"/>
      <c r="S6" s="9"/>
      <c r="T6" s="15"/>
      <c r="U6" s="10"/>
      <c r="V6" s="10"/>
      <c r="W6" s="9"/>
      <c r="X6" s="9"/>
      <c r="Y6" s="9"/>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row>
    <row r="7" ht="15.75" customHeight="1">
      <c r="A7" s="9"/>
      <c r="B7" s="171" t="s">
        <v>7</v>
      </c>
      <c r="C7" s="177" t="s">
        <v>145</v>
      </c>
      <c r="D7" s="172"/>
      <c r="E7" s="7"/>
      <c r="F7" s="171" t="s">
        <v>7</v>
      </c>
      <c r="G7" s="178" t="s">
        <v>8</v>
      </c>
      <c r="H7" s="172"/>
      <c r="I7" s="179" t="s">
        <v>146</v>
      </c>
      <c r="K7" s="3"/>
      <c r="L7" s="3"/>
      <c r="M7" s="3"/>
      <c r="N7" s="3"/>
      <c r="O7" s="3"/>
      <c r="P7" s="3"/>
      <c r="Q7" s="9"/>
      <c r="R7" s="9"/>
      <c r="S7" s="9"/>
      <c r="T7" s="9"/>
      <c r="U7" s="9"/>
      <c r="V7" s="9"/>
      <c r="W7" s="9"/>
      <c r="X7" s="9"/>
      <c r="Y7" s="9"/>
      <c r="Z7" s="18" t="s">
        <v>9</v>
      </c>
      <c r="AF7" s="19" t="s">
        <v>10</v>
      </c>
      <c r="AV7" s="20" t="s">
        <v>11</v>
      </c>
      <c r="AX7" s="16"/>
      <c r="AY7" s="16"/>
    </row>
    <row r="8" ht="15.75" customHeight="1">
      <c r="A8" s="9"/>
      <c r="B8" s="180" t="s">
        <v>12</v>
      </c>
      <c r="C8" s="181" t="s">
        <v>13</v>
      </c>
      <c r="D8" s="181" t="s">
        <v>14</v>
      </c>
      <c r="E8" s="182" t="s">
        <v>147</v>
      </c>
      <c r="F8" s="180" t="s">
        <v>12</v>
      </c>
      <c r="G8" s="181" t="s">
        <v>13</v>
      </c>
      <c r="H8" s="181" t="s">
        <v>14</v>
      </c>
      <c r="K8" s="7"/>
      <c r="L8" s="9"/>
      <c r="M8" s="9"/>
      <c r="N8" s="9"/>
      <c r="O8" s="9"/>
      <c r="P8" s="9"/>
      <c r="Q8" s="23"/>
      <c r="R8" s="23"/>
      <c r="S8" s="23"/>
      <c r="T8" s="23"/>
      <c r="U8" s="23"/>
      <c r="V8" s="23"/>
      <c r="W8" s="23"/>
      <c r="X8" s="23"/>
      <c r="Y8" s="23"/>
      <c r="Z8" s="24"/>
      <c r="AA8" s="25"/>
      <c r="AB8" s="25"/>
      <c r="AC8" s="25"/>
      <c r="AD8" s="25"/>
      <c r="AE8" s="26"/>
      <c r="AF8" s="24"/>
      <c r="AG8" s="25"/>
      <c r="AH8" s="25"/>
      <c r="AI8" s="26"/>
      <c r="AJ8" s="24"/>
      <c r="AK8" s="25"/>
      <c r="AL8" s="25"/>
      <c r="AM8" s="26"/>
      <c r="AN8" s="24"/>
      <c r="AO8" s="25"/>
      <c r="AP8" s="25"/>
      <c r="AQ8" s="26"/>
      <c r="AR8" s="24"/>
      <c r="AS8" s="25"/>
      <c r="AT8" s="25"/>
      <c r="AU8" s="26"/>
      <c r="AV8" s="24"/>
      <c r="AW8" s="26"/>
      <c r="AX8" s="27"/>
      <c r="AY8" s="27"/>
    </row>
    <row r="9" ht="15.75" customHeight="1">
      <c r="A9" s="9"/>
      <c r="B9" s="183">
        <v>3.8E7</v>
      </c>
      <c r="C9" s="183">
        <f>B9*D9</f>
        <v>15580000</v>
      </c>
      <c r="D9" s="184">
        <v>0.41</v>
      </c>
      <c r="E9" s="7"/>
      <c r="F9" s="183">
        <v>1.6E7</v>
      </c>
      <c r="G9" s="183">
        <f>F9*H9</f>
        <v>10080000</v>
      </c>
      <c r="H9" s="184">
        <v>0.63</v>
      </c>
      <c r="K9" s="7"/>
      <c r="L9" s="9"/>
      <c r="M9" s="9"/>
      <c r="N9" s="9"/>
      <c r="O9" s="9"/>
      <c r="P9" s="9"/>
      <c r="Q9" s="23"/>
      <c r="R9" s="23"/>
      <c r="S9" s="23"/>
      <c r="T9" s="23" t="s">
        <v>16</v>
      </c>
      <c r="U9" s="23"/>
      <c r="V9" s="23"/>
      <c r="W9" s="23"/>
      <c r="X9" s="23" t="s">
        <v>17</v>
      </c>
      <c r="Y9" s="23"/>
      <c r="Z9" s="31" t="s">
        <v>18</v>
      </c>
      <c r="AB9" s="27" t="s">
        <v>19</v>
      </c>
      <c r="AE9" s="32"/>
      <c r="AF9" s="31" t="s">
        <v>20</v>
      </c>
      <c r="AI9" s="32"/>
      <c r="AJ9" s="31" t="s">
        <v>21</v>
      </c>
      <c r="AM9" s="32"/>
      <c r="AN9" s="31" t="s">
        <v>22</v>
      </c>
      <c r="AQ9" s="32"/>
      <c r="AR9" s="31" t="s">
        <v>23</v>
      </c>
      <c r="AU9" s="32"/>
      <c r="AV9" s="31" t="s">
        <v>24</v>
      </c>
      <c r="AW9" s="32"/>
      <c r="AX9" s="27" t="s">
        <v>25</v>
      </c>
    </row>
    <row r="10" ht="15.75" customHeight="1">
      <c r="A10" s="33" t="s">
        <v>2</v>
      </c>
      <c r="B10" s="34" t="s">
        <v>26</v>
      </c>
      <c r="C10" s="34" t="s">
        <v>5</v>
      </c>
      <c r="D10" s="34" t="s">
        <v>27</v>
      </c>
      <c r="E10" s="35" t="s">
        <v>28</v>
      </c>
      <c r="F10" s="36" t="s">
        <v>29</v>
      </c>
      <c r="G10" s="36" t="s">
        <v>30</v>
      </c>
      <c r="H10" s="36" t="s">
        <v>31</v>
      </c>
      <c r="I10" s="36"/>
      <c r="J10" s="36"/>
      <c r="K10" s="36" t="s">
        <v>32</v>
      </c>
      <c r="L10" s="37" t="s">
        <v>33</v>
      </c>
      <c r="M10" s="37" t="s">
        <v>36</v>
      </c>
      <c r="N10" s="37" t="s">
        <v>37</v>
      </c>
      <c r="O10" s="37" t="s">
        <v>38</v>
      </c>
      <c r="P10" s="37" t="s">
        <v>39</v>
      </c>
      <c r="Q10" s="37" t="s">
        <v>40</v>
      </c>
      <c r="R10" s="37" t="s">
        <v>148</v>
      </c>
      <c r="S10" s="37" t="s">
        <v>41</v>
      </c>
      <c r="T10" s="37" t="s">
        <v>42</v>
      </c>
      <c r="U10" s="37" t="s">
        <v>43</v>
      </c>
      <c r="V10" s="37" t="s">
        <v>44</v>
      </c>
      <c r="W10" s="37" t="s">
        <v>149</v>
      </c>
      <c r="X10" s="37" t="s">
        <v>46</v>
      </c>
      <c r="Y10" s="37" t="s">
        <v>47</v>
      </c>
      <c r="Z10" s="38" t="s">
        <v>48</v>
      </c>
      <c r="AA10" s="39" t="s">
        <v>49</v>
      </c>
      <c r="AB10" s="39" t="s">
        <v>50</v>
      </c>
      <c r="AC10" s="39" t="s">
        <v>51</v>
      </c>
      <c r="AD10" s="39" t="s">
        <v>48</v>
      </c>
      <c r="AE10" s="40" t="s">
        <v>49</v>
      </c>
      <c r="AF10" s="38" t="s">
        <v>50</v>
      </c>
      <c r="AG10" s="39" t="s">
        <v>51</v>
      </c>
      <c r="AH10" s="39" t="s">
        <v>48</v>
      </c>
      <c r="AI10" s="40" t="s">
        <v>49</v>
      </c>
      <c r="AJ10" s="38" t="s">
        <v>50</v>
      </c>
      <c r="AK10" s="39" t="s">
        <v>51</v>
      </c>
      <c r="AL10" s="39" t="s">
        <v>48</v>
      </c>
      <c r="AM10" s="40" t="s">
        <v>49</v>
      </c>
      <c r="AN10" s="38" t="s">
        <v>50</v>
      </c>
      <c r="AO10" s="39" t="s">
        <v>51</v>
      </c>
      <c r="AP10" s="39" t="s">
        <v>48</v>
      </c>
      <c r="AQ10" s="40" t="s">
        <v>49</v>
      </c>
      <c r="AR10" s="38" t="s">
        <v>50</v>
      </c>
      <c r="AS10" s="39" t="s">
        <v>51</v>
      </c>
      <c r="AT10" s="39" t="s">
        <v>48</v>
      </c>
      <c r="AU10" s="40" t="s">
        <v>49</v>
      </c>
      <c r="AV10" s="38" t="s">
        <v>50</v>
      </c>
      <c r="AW10" s="40" t="s">
        <v>51</v>
      </c>
      <c r="AX10" s="39"/>
    </row>
    <row r="11" ht="15.75" customHeight="1">
      <c r="A11" s="41"/>
      <c r="B11" s="42"/>
      <c r="C11" s="43"/>
      <c r="D11" s="44"/>
      <c r="E11" s="45"/>
      <c r="F11" s="46" t="s">
        <v>52</v>
      </c>
      <c r="G11" s="47"/>
      <c r="H11" s="48">
        <f>E13*G13</f>
        <v>659437.8</v>
      </c>
      <c r="I11" s="46" t="s">
        <v>53</v>
      </c>
      <c r="J11" s="49" t="s">
        <v>150</v>
      </c>
      <c r="K11" s="46" t="s">
        <v>55</v>
      </c>
      <c r="L11" s="50" t="s">
        <v>56</v>
      </c>
      <c r="M11" s="75">
        <v>1.0</v>
      </c>
      <c r="N11" s="52">
        <v>0.11</v>
      </c>
      <c r="O11" s="53">
        <f>H11*N11</f>
        <v>72538.158</v>
      </c>
      <c r="P11" s="54" t="s">
        <v>57</v>
      </c>
      <c r="Q11" s="55"/>
      <c r="R11" s="56"/>
      <c r="S11" s="56"/>
      <c r="T11" s="56"/>
      <c r="U11" s="57">
        <v>4.85</v>
      </c>
      <c r="V11" s="56"/>
      <c r="W11" s="56"/>
      <c r="X11" s="56"/>
      <c r="Y11" s="58">
        <f>O11/U11*1000</f>
        <v>14956321.24</v>
      </c>
      <c r="Z11" s="59">
        <f>O11</f>
        <v>72538.158</v>
      </c>
      <c r="AB11" s="60"/>
      <c r="AE11" s="32"/>
      <c r="AF11" s="61"/>
      <c r="AG11" s="60"/>
      <c r="AH11" s="60"/>
      <c r="AI11" s="62"/>
      <c r="AJ11" s="61"/>
      <c r="AK11" s="60"/>
      <c r="AL11" s="60"/>
      <c r="AM11" s="62"/>
      <c r="AN11" s="61"/>
      <c r="AO11" s="60"/>
      <c r="AP11" s="60"/>
      <c r="AQ11" s="62"/>
      <c r="AR11" s="61"/>
      <c r="AS11" s="60"/>
      <c r="AT11" s="60"/>
      <c r="AU11" s="62"/>
      <c r="AV11" s="61"/>
      <c r="AW11" s="62"/>
      <c r="AX11" s="185">
        <f>SUM(Z11:AW12)</f>
        <v>72538.158</v>
      </c>
    </row>
    <row r="12" ht="15.75" customHeight="1">
      <c r="A12" s="41"/>
      <c r="B12" s="42"/>
      <c r="C12" s="43"/>
      <c r="D12" s="44"/>
      <c r="E12" s="45"/>
      <c r="F12" s="64"/>
      <c r="G12" s="47"/>
      <c r="H12" s="64"/>
      <c r="I12" s="64"/>
      <c r="K12" s="65"/>
      <c r="M12" s="65"/>
      <c r="N12" s="65"/>
      <c r="O12" s="65"/>
      <c r="P12" s="65"/>
      <c r="Q12" s="65"/>
      <c r="R12" s="56"/>
      <c r="S12" s="56"/>
      <c r="T12" s="56"/>
      <c r="U12" s="65"/>
      <c r="V12" s="56"/>
      <c r="W12" s="56"/>
      <c r="X12" s="56"/>
      <c r="Z12" s="66"/>
      <c r="AB12" s="60"/>
      <c r="AE12" s="32"/>
      <c r="AF12" s="61"/>
      <c r="AG12" s="60"/>
      <c r="AH12" s="60"/>
      <c r="AI12" s="62"/>
      <c r="AJ12" s="61"/>
      <c r="AK12" s="60"/>
      <c r="AL12" s="60"/>
      <c r="AM12" s="62"/>
      <c r="AN12" s="61"/>
      <c r="AO12" s="60"/>
      <c r="AP12" s="60"/>
      <c r="AQ12" s="62"/>
      <c r="AR12" s="61"/>
      <c r="AS12" s="60"/>
      <c r="AT12" s="60"/>
      <c r="AU12" s="62"/>
      <c r="AV12" s="61"/>
      <c r="AW12" s="62"/>
    </row>
    <row r="13" ht="15.75" customHeight="1">
      <c r="A13" s="67" t="s">
        <v>144</v>
      </c>
      <c r="B13" s="68" t="s">
        <v>59</v>
      </c>
      <c r="C13" s="69" t="s">
        <v>60</v>
      </c>
      <c r="D13" s="70">
        <v>0.6</v>
      </c>
      <c r="E13" s="71">
        <f>B5*D13</f>
        <v>1318875.6</v>
      </c>
      <c r="F13" s="64"/>
      <c r="G13" s="72">
        <v>0.5</v>
      </c>
      <c r="H13" s="64"/>
      <c r="I13" s="64"/>
      <c r="J13" s="161" t="s">
        <v>151</v>
      </c>
      <c r="K13" s="46" t="s">
        <v>160</v>
      </c>
      <c r="L13" s="208" t="s">
        <v>161</v>
      </c>
      <c r="M13" s="75">
        <v>1.0</v>
      </c>
      <c r="N13" s="52">
        <v>0.44</v>
      </c>
      <c r="O13" s="53">
        <f>H11*N13</f>
        <v>290152.632</v>
      </c>
      <c r="P13" s="54" t="s">
        <v>44</v>
      </c>
      <c r="Q13" s="57">
        <v>0.07</v>
      </c>
      <c r="R13" s="74"/>
      <c r="S13" s="74"/>
      <c r="T13" s="74"/>
      <c r="U13" s="57">
        <v>4.85</v>
      </c>
      <c r="V13" s="75">
        <f>O13/Q13</f>
        <v>4145037.6</v>
      </c>
      <c r="W13" s="74"/>
      <c r="X13" s="74"/>
      <c r="Y13" s="76">
        <f>O13/U13*1000</f>
        <v>59825284.95</v>
      </c>
      <c r="Z13" s="61"/>
      <c r="AB13" s="77">
        <v>100000.0</v>
      </c>
      <c r="AE13" s="32"/>
      <c r="AF13" s="77">
        <v>50586.0</v>
      </c>
      <c r="AI13" s="32"/>
      <c r="AJ13" s="77">
        <v>70000.0</v>
      </c>
      <c r="AM13" s="32"/>
      <c r="AN13" s="77">
        <v>69567.0</v>
      </c>
      <c r="AQ13" s="32"/>
      <c r="AR13" s="61"/>
      <c r="AU13" s="32"/>
      <c r="AV13" s="61"/>
      <c r="AW13" s="32"/>
      <c r="AX13" s="185">
        <f>SUM(Z13:AW14)</f>
        <v>290153</v>
      </c>
    </row>
    <row r="14" ht="15.75" customHeight="1">
      <c r="A14" s="64"/>
      <c r="B14" s="64"/>
      <c r="C14" s="64"/>
      <c r="D14" s="64"/>
      <c r="E14" s="64"/>
      <c r="F14" s="64"/>
      <c r="G14" s="64"/>
      <c r="H14" s="64"/>
      <c r="I14" s="65"/>
      <c r="J14" s="64"/>
      <c r="K14" s="65"/>
      <c r="L14" s="65"/>
      <c r="M14" s="65"/>
      <c r="N14" s="65"/>
      <c r="O14" s="65"/>
      <c r="P14" s="65"/>
      <c r="Q14" s="65"/>
      <c r="R14" s="74"/>
      <c r="S14" s="74"/>
      <c r="T14" s="74"/>
      <c r="U14" s="65"/>
      <c r="V14" s="65"/>
      <c r="W14" s="74"/>
      <c r="X14" s="74"/>
      <c r="Y14" s="78"/>
      <c r="Z14" s="66"/>
      <c r="AE14" s="32"/>
      <c r="AI14" s="32"/>
      <c r="AM14" s="32"/>
      <c r="AQ14" s="32"/>
      <c r="AR14" s="61"/>
      <c r="AU14" s="32"/>
      <c r="AV14" s="61"/>
      <c r="AW14" s="32"/>
    </row>
    <row r="15" ht="15.75" customHeight="1">
      <c r="A15" s="64"/>
      <c r="B15" s="64"/>
      <c r="C15" s="64"/>
      <c r="D15" s="64"/>
      <c r="E15" s="64"/>
      <c r="F15" s="64"/>
      <c r="G15" s="64"/>
      <c r="H15" s="64"/>
      <c r="I15" s="46" t="s">
        <v>65</v>
      </c>
      <c r="J15" s="64"/>
      <c r="K15" s="46" t="s">
        <v>162</v>
      </c>
      <c r="L15" s="208" t="s">
        <v>161</v>
      </c>
      <c r="M15" s="75">
        <v>2.0</v>
      </c>
      <c r="N15" s="52">
        <v>0.45</v>
      </c>
      <c r="O15" s="53">
        <f>H11*N15</f>
        <v>296747.01</v>
      </c>
      <c r="P15" s="54" t="s">
        <v>44</v>
      </c>
      <c r="Q15" s="57">
        <v>0.07</v>
      </c>
      <c r="R15" s="74"/>
      <c r="S15" s="74"/>
      <c r="T15" s="74"/>
      <c r="U15" s="57">
        <v>4.85</v>
      </c>
      <c r="V15" s="75">
        <f>O15/Q15</f>
        <v>4239243</v>
      </c>
      <c r="W15" s="74"/>
      <c r="X15" s="74"/>
      <c r="Y15" s="76">
        <f>O15/U15*1000</f>
        <v>61184950.52</v>
      </c>
      <c r="Z15" s="61"/>
      <c r="AB15" s="60"/>
      <c r="AE15" s="32"/>
      <c r="AF15" s="79">
        <v>86857.0</v>
      </c>
      <c r="AI15" s="32"/>
      <c r="AJ15" s="79">
        <v>57012.0</v>
      </c>
      <c r="AM15" s="32"/>
      <c r="AN15" s="79">
        <v>66934.0</v>
      </c>
      <c r="AQ15" s="32"/>
      <c r="AR15" s="79">
        <v>85944.0</v>
      </c>
      <c r="AU15" s="32"/>
      <c r="AV15" s="61"/>
      <c r="AW15" s="32"/>
      <c r="AX15" s="185">
        <f>Z15+AB15+AF15+AJ15+AN15+AR15+AV15</f>
        <v>296747</v>
      </c>
    </row>
    <row r="16" ht="15.75" customHeight="1">
      <c r="A16" s="64"/>
      <c r="B16" s="64"/>
      <c r="C16" s="64"/>
      <c r="D16" s="64"/>
      <c r="E16" s="64"/>
      <c r="F16" s="64"/>
      <c r="G16" s="64"/>
      <c r="H16" s="64"/>
      <c r="I16" s="64"/>
      <c r="J16" s="64"/>
      <c r="K16" s="64"/>
      <c r="L16" s="64"/>
      <c r="M16" s="64"/>
      <c r="N16" s="64"/>
      <c r="O16" s="64"/>
      <c r="P16" s="64"/>
      <c r="Q16" s="64"/>
      <c r="R16" s="74"/>
      <c r="S16" s="74"/>
      <c r="T16" s="74"/>
      <c r="U16" s="64"/>
      <c r="V16" s="64"/>
      <c r="W16" s="74"/>
      <c r="X16" s="74"/>
      <c r="Y16" s="108"/>
      <c r="Z16" s="66"/>
      <c r="AE16" s="32"/>
      <c r="AF16" s="66"/>
      <c r="AI16" s="32"/>
      <c r="AJ16" s="66"/>
      <c r="AM16" s="32"/>
      <c r="AN16" s="66"/>
      <c r="AQ16" s="32"/>
      <c r="AR16" s="66"/>
      <c r="AU16" s="32"/>
      <c r="AV16" s="66"/>
      <c r="AW16" s="32"/>
    </row>
    <row r="17" ht="15.75" customHeight="1">
      <c r="A17" s="64"/>
      <c r="B17" s="64"/>
      <c r="C17" s="64"/>
      <c r="D17" s="64"/>
      <c r="E17" s="64"/>
      <c r="F17" s="64"/>
      <c r="G17" s="64"/>
      <c r="H17" s="64"/>
      <c r="I17" s="64"/>
      <c r="J17" s="64"/>
      <c r="K17" s="64"/>
      <c r="L17" s="64"/>
      <c r="M17" s="64"/>
      <c r="N17" s="64"/>
      <c r="O17" s="64"/>
      <c r="P17" s="64"/>
      <c r="Q17" s="64"/>
      <c r="R17" s="74"/>
      <c r="S17" s="74"/>
      <c r="T17" s="74"/>
      <c r="U17" s="64"/>
      <c r="V17" s="64"/>
      <c r="W17" s="74"/>
      <c r="X17" s="74"/>
      <c r="Y17" s="108"/>
      <c r="Z17" s="66"/>
      <c r="AE17" s="32"/>
      <c r="AF17" s="66"/>
      <c r="AI17" s="32"/>
      <c r="AJ17" s="66"/>
      <c r="AM17" s="32"/>
      <c r="AN17" s="66"/>
      <c r="AQ17" s="32"/>
      <c r="AR17" s="66"/>
      <c r="AU17" s="32"/>
      <c r="AV17" s="66"/>
      <c r="AW17" s="32"/>
    </row>
    <row r="18" ht="15.75" customHeight="1">
      <c r="A18" s="64"/>
      <c r="B18" s="64"/>
      <c r="C18" s="64"/>
      <c r="D18" s="64"/>
      <c r="E18" s="64"/>
      <c r="F18" s="64"/>
      <c r="G18" s="64"/>
      <c r="H18" s="64"/>
      <c r="I18" s="64"/>
      <c r="J18" s="64"/>
      <c r="K18" s="64"/>
      <c r="L18" s="64"/>
      <c r="M18" s="64"/>
      <c r="N18" s="64"/>
      <c r="O18" s="64"/>
      <c r="P18" s="64"/>
      <c r="Q18" s="64"/>
      <c r="R18" s="74"/>
      <c r="S18" s="74"/>
      <c r="T18" s="74"/>
      <c r="U18" s="64"/>
      <c r="V18" s="64"/>
      <c r="W18" s="74"/>
      <c r="X18" s="74"/>
      <c r="Y18" s="108"/>
      <c r="Z18" s="66"/>
      <c r="AE18" s="32"/>
      <c r="AF18" s="66"/>
      <c r="AI18" s="32"/>
      <c r="AJ18" s="66"/>
      <c r="AM18" s="32"/>
      <c r="AN18" s="66"/>
      <c r="AQ18" s="32"/>
      <c r="AR18" s="66"/>
      <c r="AU18" s="32"/>
      <c r="AV18" s="66"/>
      <c r="AW18" s="32"/>
    </row>
    <row r="19" ht="15.75" customHeight="1">
      <c r="A19" s="64"/>
      <c r="B19" s="64"/>
      <c r="C19" s="64"/>
      <c r="D19" s="64"/>
      <c r="E19" s="64"/>
      <c r="F19" s="65"/>
      <c r="G19" s="65"/>
      <c r="H19" s="65"/>
      <c r="I19" s="65"/>
      <c r="J19" s="65"/>
      <c r="K19" s="65"/>
      <c r="L19" s="65"/>
      <c r="M19" s="65"/>
      <c r="N19" s="65"/>
      <c r="O19" s="65"/>
      <c r="P19" s="65"/>
      <c r="Q19" s="65"/>
      <c r="R19" s="74"/>
      <c r="S19" s="74"/>
      <c r="T19" s="74"/>
      <c r="U19" s="65"/>
      <c r="V19" s="65"/>
      <c r="W19" s="74"/>
      <c r="X19" s="74"/>
      <c r="Y19" s="78"/>
      <c r="Z19" s="66"/>
      <c r="AE19" s="32"/>
      <c r="AF19" s="66"/>
      <c r="AI19" s="32"/>
      <c r="AJ19" s="66"/>
      <c r="AM19" s="32"/>
      <c r="AN19" s="66"/>
      <c r="AQ19" s="32"/>
      <c r="AR19" s="66"/>
      <c r="AU19" s="32"/>
      <c r="AV19" s="66"/>
      <c r="AW19" s="32"/>
    </row>
    <row r="20" ht="6.75" customHeight="1">
      <c r="A20" s="64"/>
      <c r="B20" s="64"/>
      <c r="C20" s="64"/>
      <c r="D20" s="64"/>
      <c r="E20" s="64"/>
      <c r="F20" s="87"/>
      <c r="G20" s="88"/>
      <c r="H20" s="87"/>
      <c r="I20" s="87"/>
      <c r="J20" s="87"/>
      <c r="K20" s="89"/>
      <c r="L20" s="90"/>
      <c r="M20" s="91"/>
      <c r="N20" s="90"/>
      <c r="O20" s="92"/>
      <c r="P20" s="93"/>
      <c r="Q20" s="94"/>
      <c r="R20" s="94"/>
      <c r="S20" s="94"/>
      <c r="T20" s="94"/>
      <c r="U20" s="94"/>
      <c r="V20" s="91"/>
      <c r="W20" s="94"/>
      <c r="X20" s="94"/>
      <c r="Y20" s="95"/>
      <c r="Z20" s="96"/>
      <c r="AA20" s="97"/>
      <c r="AB20" s="97"/>
      <c r="AC20" s="97"/>
      <c r="AD20" s="97"/>
      <c r="AE20" s="98"/>
      <c r="AF20" s="96"/>
      <c r="AG20" s="97"/>
      <c r="AH20" s="97"/>
      <c r="AI20" s="98"/>
      <c r="AJ20" s="96"/>
      <c r="AK20" s="97"/>
      <c r="AL20" s="97"/>
      <c r="AM20" s="98"/>
      <c r="AN20" s="96"/>
      <c r="AO20" s="97"/>
      <c r="AP20" s="97"/>
      <c r="AQ20" s="98"/>
      <c r="AR20" s="96"/>
      <c r="AS20" s="97"/>
      <c r="AT20" s="97"/>
      <c r="AU20" s="98"/>
      <c r="AV20" s="96"/>
      <c r="AW20" s="98"/>
      <c r="AX20" s="186"/>
      <c r="AY20" s="186"/>
    </row>
    <row r="21" ht="15.75" customHeight="1">
      <c r="A21" s="64"/>
      <c r="B21" s="64"/>
      <c r="C21" s="64"/>
      <c r="D21" s="64"/>
      <c r="E21" s="64"/>
      <c r="F21" s="99" t="s">
        <v>75</v>
      </c>
      <c r="G21" s="100"/>
      <c r="H21" s="101"/>
      <c r="I21" s="102" t="s">
        <v>76</v>
      </c>
      <c r="J21" s="103" t="s">
        <v>77</v>
      </c>
      <c r="K21" s="45" t="s">
        <v>78</v>
      </c>
      <c r="L21" s="73" t="s">
        <v>63</v>
      </c>
      <c r="M21" s="209" t="s">
        <v>163</v>
      </c>
      <c r="N21" s="80">
        <v>0.22</v>
      </c>
      <c r="O21" s="81">
        <f>H22*N21</f>
        <v>145076.316</v>
      </c>
      <c r="P21" s="82" t="s">
        <v>148</v>
      </c>
      <c r="Q21" s="74"/>
      <c r="R21" s="83">
        <v>0.1</v>
      </c>
      <c r="S21" s="74"/>
      <c r="T21" s="74"/>
      <c r="U21" s="74"/>
      <c r="V21" s="74"/>
      <c r="W21" s="51">
        <f>O21/R21</f>
        <v>1450763.16</v>
      </c>
      <c r="X21" s="74"/>
      <c r="Y21" s="74"/>
      <c r="Z21" s="61"/>
      <c r="AB21" s="77">
        <v>145076.316</v>
      </c>
      <c r="AE21" s="32"/>
      <c r="AF21" s="61"/>
      <c r="AI21" s="32"/>
      <c r="AJ21" s="61"/>
      <c r="AM21" s="32"/>
      <c r="AN21" s="61"/>
      <c r="AQ21" s="32"/>
      <c r="AR21" s="61"/>
      <c r="AU21" s="32"/>
      <c r="AV21" s="61"/>
      <c r="AW21" s="32"/>
      <c r="AX21" s="185">
        <f>AB21</f>
        <v>145076.316</v>
      </c>
    </row>
    <row r="22" ht="15.75" customHeight="1">
      <c r="A22" s="64"/>
      <c r="B22" s="64"/>
      <c r="C22" s="64"/>
      <c r="D22" s="64"/>
      <c r="E22" s="64"/>
      <c r="F22" s="64"/>
      <c r="G22" s="100"/>
      <c r="H22" s="104">
        <f>E13*G24</f>
        <v>659437.8</v>
      </c>
      <c r="I22" s="105" t="s">
        <v>79</v>
      </c>
      <c r="J22" s="106" t="s">
        <v>80</v>
      </c>
      <c r="K22" s="45" t="s">
        <v>81</v>
      </c>
      <c r="L22" s="82" t="s">
        <v>82</v>
      </c>
      <c r="M22" s="64"/>
      <c r="N22" s="80">
        <v>0.35</v>
      </c>
      <c r="O22" s="81">
        <f>H22*N22</f>
        <v>230803.23</v>
      </c>
      <c r="P22" s="82" t="s">
        <v>43</v>
      </c>
      <c r="Q22" s="74"/>
      <c r="R22" s="74"/>
      <c r="S22" s="74"/>
      <c r="T22" s="74"/>
      <c r="U22" s="81">
        <v>37.0</v>
      </c>
      <c r="V22" s="74"/>
      <c r="W22" s="74"/>
      <c r="X22" s="74"/>
      <c r="Y22" s="84">
        <f>O22/U22*1000</f>
        <v>6237925.135</v>
      </c>
      <c r="Z22" s="61"/>
      <c r="AB22" s="107">
        <v>100401.615</v>
      </c>
      <c r="AE22" s="32"/>
      <c r="AF22" s="79">
        <v>130401.615</v>
      </c>
      <c r="AI22" s="32"/>
      <c r="AJ22" s="61"/>
      <c r="AM22" s="32"/>
      <c r="AN22" s="61"/>
      <c r="AQ22" s="32"/>
      <c r="AR22" s="61"/>
      <c r="AU22" s="32"/>
      <c r="AV22" s="61"/>
      <c r="AW22" s="32"/>
      <c r="AX22" s="185">
        <f>AB22+AF22</f>
        <v>230803.23</v>
      </c>
    </row>
    <row r="23" ht="15.75" customHeight="1">
      <c r="A23" s="64"/>
      <c r="B23" s="64"/>
      <c r="C23" s="64"/>
      <c r="D23" s="64"/>
      <c r="E23" s="64"/>
      <c r="F23" s="64"/>
      <c r="G23" s="100"/>
      <c r="H23" s="108"/>
      <c r="I23" s="109"/>
      <c r="J23" s="106" t="s">
        <v>77</v>
      </c>
      <c r="K23" s="45" t="s">
        <v>83</v>
      </c>
      <c r="L23" s="73" t="s">
        <v>63</v>
      </c>
      <c r="M23" s="64"/>
      <c r="N23" s="80">
        <v>0.18</v>
      </c>
      <c r="O23" s="81">
        <f>H22*N23</f>
        <v>118698.804</v>
      </c>
      <c r="P23" s="82" t="s">
        <v>148</v>
      </c>
      <c r="Q23" s="74"/>
      <c r="R23" s="83">
        <v>0.1</v>
      </c>
      <c r="S23" s="74"/>
      <c r="T23" s="74"/>
      <c r="U23" s="74"/>
      <c r="V23" s="74"/>
      <c r="W23" s="51">
        <f t="shared" ref="W23:W24" si="1">O23/R23</f>
        <v>1186988.04</v>
      </c>
      <c r="X23" s="74"/>
      <c r="Y23" s="74"/>
      <c r="Z23" s="61"/>
      <c r="AB23" s="60"/>
      <c r="AE23" s="32"/>
      <c r="AF23" s="61"/>
      <c r="AI23" s="32"/>
      <c r="AJ23" s="79">
        <f>O23/2</f>
        <v>59349.402</v>
      </c>
      <c r="AM23" s="32"/>
      <c r="AN23" s="79">
        <v>59349.401999999995</v>
      </c>
      <c r="AQ23" s="32"/>
      <c r="AR23" s="61"/>
      <c r="AU23" s="32"/>
      <c r="AV23" s="61"/>
      <c r="AW23" s="32"/>
      <c r="AX23" s="185">
        <f>AJ23+AN23+AR23</f>
        <v>118698.804</v>
      </c>
    </row>
    <row r="24" ht="15.75" customHeight="1">
      <c r="A24" s="64"/>
      <c r="B24" s="64"/>
      <c r="C24" s="65"/>
      <c r="D24" s="65"/>
      <c r="E24" s="65"/>
      <c r="F24" s="64"/>
      <c r="G24" s="100">
        <v>0.5</v>
      </c>
      <c r="H24" s="108"/>
      <c r="I24" s="110" t="s">
        <v>53</v>
      </c>
      <c r="J24" s="111"/>
      <c r="K24" s="45" t="s">
        <v>78</v>
      </c>
      <c r="L24" s="73" t="s">
        <v>63</v>
      </c>
      <c r="M24" s="65"/>
      <c r="N24" s="80">
        <v>0.25</v>
      </c>
      <c r="O24" s="81">
        <f>H22*N24</f>
        <v>164859.45</v>
      </c>
      <c r="P24" s="82" t="s">
        <v>148</v>
      </c>
      <c r="Q24" s="74"/>
      <c r="R24" s="83">
        <v>0.1</v>
      </c>
      <c r="S24" s="74"/>
      <c r="T24" s="74"/>
      <c r="U24" s="74"/>
      <c r="V24" s="74"/>
      <c r="W24" s="51">
        <f t="shared" si="1"/>
        <v>1648594.5</v>
      </c>
      <c r="X24" s="74"/>
      <c r="Y24" s="74"/>
      <c r="Z24" s="61"/>
      <c r="AB24" s="60"/>
      <c r="AE24" s="32"/>
      <c r="AF24" s="61"/>
      <c r="AI24" s="32"/>
      <c r="AJ24" s="77">
        <v>164859.44999999998</v>
      </c>
      <c r="AM24" s="32"/>
      <c r="AN24" s="61"/>
      <c r="AO24" s="60"/>
      <c r="AP24" s="60"/>
      <c r="AQ24" s="62"/>
      <c r="AR24" s="61"/>
      <c r="AS24" s="60"/>
      <c r="AT24" s="60"/>
      <c r="AU24" s="62"/>
      <c r="AV24" s="61"/>
      <c r="AW24" s="62"/>
      <c r="AX24" s="185">
        <f>AJ24</f>
        <v>164859.45</v>
      </c>
    </row>
    <row r="25" ht="7.5" customHeight="1">
      <c r="A25" s="64"/>
      <c r="B25" s="64"/>
      <c r="C25" s="112"/>
      <c r="D25" s="112"/>
      <c r="E25" s="113"/>
      <c r="F25" s="114"/>
      <c r="G25" s="115"/>
      <c r="H25" s="114"/>
      <c r="I25" s="114"/>
      <c r="J25" s="114"/>
      <c r="K25" s="116"/>
      <c r="L25" s="117"/>
      <c r="M25" s="91"/>
      <c r="N25" s="117"/>
      <c r="O25" s="119"/>
      <c r="P25" s="120"/>
      <c r="Q25" s="121"/>
      <c r="R25" s="121"/>
      <c r="S25" s="121"/>
      <c r="T25" s="121"/>
      <c r="U25" s="121"/>
      <c r="V25" s="118"/>
      <c r="W25" s="121"/>
      <c r="X25" s="121"/>
      <c r="Y25" s="122"/>
      <c r="Z25" s="123"/>
      <c r="AA25" s="124"/>
      <c r="AB25" s="124"/>
      <c r="AC25" s="124"/>
      <c r="AD25" s="124"/>
      <c r="AE25" s="125"/>
      <c r="AF25" s="123"/>
      <c r="AG25" s="124"/>
      <c r="AH25" s="124"/>
      <c r="AI25" s="125"/>
      <c r="AJ25" s="123"/>
      <c r="AK25" s="124"/>
      <c r="AL25" s="124"/>
      <c r="AM25" s="125"/>
      <c r="AN25" s="123"/>
      <c r="AO25" s="124"/>
      <c r="AP25" s="124"/>
      <c r="AQ25" s="125"/>
      <c r="AR25" s="123"/>
      <c r="AS25" s="124"/>
      <c r="AT25" s="124"/>
      <c r="AU25" s="125"/>
      <c r="AV25" s="123"/>
      <c r="AW25" s="125"/>
      <c r="AX25" s="187"/>
      <c r="AY25" s="187"/>
    </row>
    <row r="26" ht="15.75" customHeight="1">
      <c r="A26" s="64"/>
      <c r="B26" s="64"/>
      <c r="C26" s="69" t="s">
        <v>84</v>
      </c>
      <c r="D26" s="70">
        <v>0.4</v>
      </c>
      <c r="E26" s="71">
        <f>B5*D26</f>
        <v>879250.4</v>
      </c>
      <c r="F26" s="161" t="s">
        <v>135</v>
      </c>
      <c r="G26" s="72">
        <v>0.56</v>
      </c>
      <c r="H26" s="48">
        <f>E26*G26</f>
        <v>492380.224</v>
      </c>
      <c r="I26" s="46" t="s">
        <v>53</v>
      </c>
      <c r="J26" s="126" t="s">
        <v>86</v>
      </c>
      <c r="K26" s="45" t="s">
        <v>87</v>
      </c>
      <c r="L26" s="73" t="s">
        <v>56</v>
      </c>
      <c r="M26" s="51">
        <v>1.0</v>
      </c>
      <c r="N26" s="80">
        <v>0.2</v>
      </c>
      <c r="O26" s="81">
        <f>H26*N26</f>
        <v>98476.0448</v>
      </c>
      <c r="P26" s="127" t="s">
        <v>88</v>
      </c>
      <c r="Q26" s="74"/>
      <c r="R26" s="74"/>
      <c r="S26" s="74"/>
      <c r="T26" s="74"/>
      <c r="U26" s="83">
        <v>2.5</v>
      </c>
      <c r="V26" s="74"/>
      <c r="W26" s="74"/>
      <c r="X26" s="74"/>
      <c r="Y26" s="84">
        <f t="shared" ref="Y26:Y27" si="2">O26/U26*1000</f>
        <v>39390417.92</v>
      </c>
      <c r="Z26" s="59">
        <f>O26</f>
        <v>98476.0448</v>
      </c>
      <c r="AB26" s="77"/>
      <c r="AC26" s="77"/>
      <c r="AD26" s="77"/>
      <c r="AE26" s="128"/>
      <c r="AF26" s="61"/>
      <c r="AG26" s="60"/>
      <c r="AH26" s="60"/>
      <c r="AI26" s="62"/>
      <c r="AJ26" s="61"/>
      <c r="AK26" s="60"/>
      <c r="AL26" s="60"/>
      <c r="AM26" s="62"/>
      <c r="AN26" s="61"/>
      <c r="AO26" s="60"/>
      <c r="AP26" s="60"/>
      <c r="AQ26" s="62"/>
      <c r="AR26" s="61"/>
      <c r="AS26" s="60"/>
      <c r="AT26" s="60"/>
      <c r="AU26" s="62"/>
      <c r="AV26" s="61"/>
      <c r="AW26" s="62"/>
      <c r="AX26" s="185">
        <f>Z26</f>
        <v>98476.0448</v>
      </c>
      <c r="AY26" s="188"/>
    </row>
    <row r="27" ht="15.75" customHeight="1">
      <c r="A27" s="64"/>
      <c r="B27" s="64"/>
      <c r="C27" s="64"/>
      <c r="D27" s="64"/>
      <c r="E27" s="64"/>
      <c r="F27" s="64"/>
      <c r="G27" s="64"/>
      <c r="H27" s="64"/>
      <c r="I27" s="64"/>
      <c r="J27" s="46" t="s">
        <v>89</v>
      </c>
      <c r="K27" s="46" t="s">
        <v>164</v>
      </c>
      <c r="L27" s="208" t="s">
        <v>161</v>
      </c>
      <c r="M27" s="75">
        <v>1.0</v>
      </c>
      <c r="N27" s="52">
        <v>0.2</v>
      </c>
      <c r="O27" s="53">
        <f>H26*N27</f>
        <v>98476.0448</v>
      </c>
      <c r="P27" s="129" t="s">
        <v>165</v>
      </c>
      <c r="Q27" s="57">
        <v>0.5</v>
      </c>
      <c r="R27" s="74"/>
      <c r="S27" s="74"/>
      <c r="T27" s="74"/>
      <c r="U27" s="57">
        <v>2.5</v>
      </c>
      <c r="V27" s="75">
        <f>O27/Q27</f>
        <v>196952.0896</v>
      </c>
      <c r="W27" s="74"/>
      <c r="X27" s="74"/>
      <c r="Y27" s="76">
        <f t="shared" si="2"/>
        <v>39390417.92</v>
      </c>
      <c r="Z27" s="61"/>
      <c r="AB27" s="77">
        <f>O27</f>
        <v>98476.0448</v>
      </c>
      <c r="AE27" s="32"/>
      <c r="AF27" s="61"/>
      <c r="AG27" s="60"/>
      <c r="AH27" s="60"/>
      <c r="AI27" s="62"/>
      <c r="AJ27" s="61"/>
      <c r="AK27" s="60"/>
      <c r="AL27" s="60"/>
      <c r="AM27" s="62"/>
      <c r="AN27" s="61"/>
      <c r="AO27" s="60"/>
      <c r="AP27" s="60"/>
      <c r="AQ27" s="62"/>
      <c r="AR27" s="61"/>
      <c r="AS27" s="60"/>
      <c r="AT27" s="60"/>
      <c r="AU27" s="62"/>
      <c r="AV27" s="61"/>
      <c r="AW27" s="62"/>
      <c r="AX27" s="185">
        <f>AB27</f>
        <v>98476.0448</v>
      </c>
    </row>
    <row r="28" ht="15.75" customHeight="1">
      <c r="A28" s="64"/>
      <c r="B28" s="64"/>
      <c r="C28" s="64"/>
      <c r="D28" s="64"/>
      <c r="E28" s="64"/>
      <c r="F28" s="64"/>
      <c r="G28" s="64"/>
      <c r="H28" s="64"/>
      <c r="I28" s="65"/>
      <c r="J28" s="64"/>
      <c r="K28" s="65"/>
      <c r="L28" s="65"/>
      <c r="M28" s="65"/>
      <c r="N28" s="65"/>
      <c r="O28" s="65"/>
      <c r="P28" s="65"/>
      <c r="Q28" s="65"/>
      <c r="R28" s="74"/>
      <c r="S28" s="74"/>
      <c r="T28" s="74"/>
      <c r="U28" s="65"/>
      <c r="V28" s="65"/>
      <c r="W28" s="74"/>
      <c r="X28" s="74"/>
      <c r="Y28" s="78"/>
      <c r="Z28" s="66"/>
      <c r="AE28" s="32"/>
      <c r="AF28" s="61"/>
      <c r="AG28" s="60"/>
      <c r="AH28" s="60"/>
      <c r="AI28" s="62"/>
      <c r="AJ28" s="61"/>
      <c r="AK28" s="60"/>
      <c r="AL28" s="60"/>
      <c r="AM28" s="62"/>
      <c r="AN28" s="61"/>
      <c r="AO28" s="60"/>
      <c r="AP28" s="60"/>
      <c r="AQ28" s="62"/>
      <c r="AR28" s="61"/>
      <c r="AS28" s="60"/>
      <c r="AT28" s="60"/>
      <c r="AU28" s="62"/>
      <c r="AV28" s="61"/>
      <c r="AW28" s="62"/>
    </row>
    <row r="29" ht="15.75" customHeight="1">
      <c r="A29" s="64"/>
      <c r="B29" s="64"/>
      <c r="C29" s="64"/>
      <c r="D29" s="64"/>
      <c r="E29" s="64"/>
      <c r="F29" s="64"/>
      <c r="G29" s="64"/>
      <c r="H29" s="64"/>
      <c r="I29" s="46" t="s">
        <v>65</v>
      </c>
      <c r="J29" s="64"/>
      <c r="K29" s="46" t="s">
        <v>166</v>
      </c>
      <c r="L29" s="208" t="s">
        <v>161</v>
      </c>
      <c r="M29" s="75">
        <v>2.0</v>
      </c>
      <c r="N29" s="52">
        <v>0.6</v>
      </c>
      <c r="O29" s="53">
        <f>H26*N29</f>
        <v>295428.1344</v>
      </c>
      <c r="P29" s="129" t="s">
        <v>167</v>
      </c>
      <c r="Q29" s="57">
        <v>0.5</v>
      </c>
      <c r="R29" s="74"/>
      <c r="S29" s="74"/>
      <c r="T29" s="74"/>
      <c r="U29" s="57">
        <v>2.5</v>
      </c>
      <c r="V29" s="75">
        <f>O29/Q29</f>
        <v>590856.2688</v>
      </c>
      <c r="W29" s="74"/>
      <c r="X29" s="74"/>
      <c r="Y29" s="76">
        <f>O29/U29*1000</f>
        <v>118171253.8</v>
      </c>
      <c r="Z29" s="61"/>
      <c r="AB29" s="60"/>
      <c r="AE29" s="32"/>
      <c r="AF29" s="79">
        <v>106166.0</v>
      </c>
      <c r="AI29" s="32"/>
      <c r="AJ29" s="79">
        <v>56167.0</v>
      </c>
      <c r="AM29" s="32"/>
      <c r="AN29" s="79">
        <v>76167.0</v>
      </c>
      <c r="AQ29" s="32"/>
      <c r="AR29" s="79">
        <v>56928.0</v>
      </c>
      <c r="AU29" s="32"/>
      <c r="AV29" s="61"/>
      <c r="AW29" s="32"/>
      <c r="AX29" s="185">
        <f>Z29+AB29+AF29+AJ29+AN29+AR29+AV29</f>
        <v>295428</v>
      </c>
    </row>
    <row r="30" ht="15.75" customHeight="1">
      <c r="A30" s="64"/>
      <c r="B30" s="64"/>
      <c r="C30" s="64"/>
      <c r="D30" s="64"/>
      <c r="E30" s="64"/>
      <c r="F30" s="64"/>
      <c r="G30" s="64"/>
      <c r="H30" s="64"/>
      <c r="I30" s="64"/>
      <c r="J30" s="64"/>
      <c r="K30" s="64"/>
      <c r="L30" s="64"/>
      <c r="M30" s="64"/>
      <c r="N30" s="64"/>
      <c r="O30" s="64"/>
      <c r="P30" s="64"/>
      <c r="Q30" s="64"/>
      <c r="R30" s="74"/>
      <c r="S30" s="74"/>
      <c r="T30" s="74"/>
      <c r="U30" s="64"/>
      <c r="V30" s="64"/>
      <c r="W30" s="74"/>
      <c r="X30" s="74"/>
      <c r="Y30" s="108"/>
      <c r="Z30" s="66"/>
      <c r="AE30" s="32"/>
      <c r="AF30" s="66"/>
      <c r="AI30" s="32"/>
      <c r="AJ30" s="66"/>
      <c r="AM30" s="32"/>
      <c r="AN30" s="66"/>
      <c r="AQ30" s="32"/>
      <c r="AR30" s="66"/>
      <c r="AU30" s="32"/>
      <c r="AV30" s="66"/>
      <c r="AW30" s="32"/>
    </row>
    <row r="31" ht="36.0" customHeight="1">
      <c r="A31" s="64"/>
      <c r="B31" s="64"/>
      <c r="C31" s="64"/>
      <c r="D31" s="64"/>
      <c r="E31" s="64"/>
      <c r="F31" s="64"/>
      <c r="G31" s="65"/>
      <c r="H31" s="65"/>
      <c r="I31" s="65"/>
      <c r="J31" s="64"/>
      <c r="K31" s="65"/>
      <c r="L31" s="65"/>
      <c r="M31" s="65"/>
      <c r="N31" s="65"/>
      <c r="O31" s="65"/>
      <c r="P31" s="65"/>
      <c r="Q31" s="65"/>
      <c r="R31" s="74"/>
      <c r="S31" s="74"/>
      <c r="T31" s="74"/>
      <c r="U31" s="65"/>
      <c r="V31" s="65"/>
      <c r="W31" s="74"/>
      <c r="X31" s="74"/>
      <c r="Y31" s="78"/>
      <c r="Z31" s="66"/>
      <c r="AE31" s="32"/>
      <c r="AF31" s="66"/>
      <c r="AI31" s="32"/>
      <c r="AJ31" s="66"/>
      <c r="AM31" s="32"/>
      <c r="AN31" s="66"/>
      <c r="AQ31" s="32"/>
      <c r="AR31" s="66"/>
      <c r="AU31" s="32"/>
      <c r="AV31" s="66"/>
      <c r="AW31" s="32"/>
    </row>
    <row r="32" ht="15.75" customHeight="1">
      <c r="A32" s="64"/>
      <c r="B32" s="64"/>
      <c r="C32" s="64"/>
      <c r="D32" s="64"/>
      <c r="E32" s="64"/>
      <c r="F32" s="126" t="s">
        <v>154</v>
      </c>
      <c r="G32" s="72">
        <v>0.18</v>
      </c>
      <c r="H32" s="48">
        <f>E26*G32</f>
        <v>158265.072</v>
      </c>
      <c r="I32" s="105" t="s">
        <v>76</v>
      </c>
      <c r="J32" s="46" t="s">
        <v>155</v>
      </c>
      <c r="K32" s="46" t="s">
        <v>104</v>
      </c>
      <c r="L32" s="208" t="s">
        <v>56</v>
      </c>
      <c r="M32" s="75">
        <v>1.0</v>
      </c>
      <c r="N32" s="52">
        <v>0.5</v>
      </c>
      <c r="O32" s="53">
        <f>H32*N32</f>
        <v>79132.536</v>
      </c>
      <c r="P32" s="54" t="s">
        <v>43</v>
      </c>
      <c r="Q32" s="55"/>
      <c r="R32" s="74"/>
      <c r="S32" s="55"/>
      <c r="T32" s="55"/>
      <c r="U32" s="57">
        <v>6.0</v>
      </c>
      <c r="V32" s="189"/>
      <c r="W32" s="55"/>
      <c r="X32" s="55"/>
      <c r="Y32" s="76">
        <f>O32/U32*1000</f>
        <v>13188756</v>
      </c>
      <c r="Z32" s="61"/>
      <c r="AB32" s="134">
        <v>29566.268</v>
      </c>
      <c r="AE32" s="32"/>
      <c r="AF32" s="134">
        <v>49566.268</v>
      </c>
      <c r="AI32" s="32"/>
      <c r="AJ32" s="190"/>
      <c r="AM32" s="32"/>
      <c r="AN32" s="190"/>
      <c r="AQ32" s="32"/>
      <c r="AR32" s="190"/>
      <c r="AU32" s="32"/>
      <c r="AV32" s="61"/>
      <c r="AW32" s="62"/>
      <c r="AX32" s="188"/>
    </row>
    <row r="33" ht="15.75" customHeight="1">
      <c r="A33" s="64"/>
      <c r="B33" s="64"/>
      <c r="C33" s="64"/>
      <c r="D33" s="64"/>
      <c r="E33" s="64"/>
      <c r="F33" s="64"/>
      <c r="G33" s="64"/>
      <c r="H33" s="64"/>
      <c r="I33" s="109"/>
      <c r="J33" s="64"/>
      <c r="K33" s="64"/>
      <c r="L33" s="64"/>
      <c r="M33" s="64"/>
      <c r="N33" s="65"/>
      <c r="O33" s="65"/>
      <c r="P33" s="65"/>
      <c r="Q33" s="65"/>
      <c r="R33" s="74"/>
      <c r="S33" s="65"/>
      <c r="T33" s="65"/>
      <c r="U33" s="65"/>
      <c r="V33" s="65"/>
      <c r="W33" s="65"/>
      <c r="X33" s="65"/>
      <c r="Y33" s="78"/>
      <c r="Z33" s="61"/>
      <c r="AA33" s="60"/>
      <c r="AE33" s="32"/>
      <c r="AI33" s="32"/>
      <c r="AJ33" s="66"/>
      <c r="AM33" s="32"/>
      <c r="AN33" s="66"/>
      <c r="AQ33" s="32"/>
      <c r="AR33" s="66"/>
      <c r="AU33" s="32"/>
      <c r="AV33" s="61"/>
      <c r="AW33" s="62"/>
      <c r="AX33" s="185">
        <f>AB32+AF32+AJ32+AN32+AR32</f>
        <v>79132.536</v>
      </c>
      <c r="AY33" s="188"/>
    </row>
    <row r="34" ht="43.5" customHeight="1">
      <c r="A34" s="64"/>
      <c r="B34" s="64"/>
      <c r="C34" s="64"/>
      <c r="D34" s="64"/>
      <c r="E34" s="64"/>
      <c r="F34" s="65"/>
      <c r="G34" s="65"/>
      <c r="H34" s="65"/>
      <c r="I34" s="191"/>
      <c r="J34" s="65"/>
      <c r="K34" s="192" t="s">
        <v>156</v>
      </c>
      <c r="L34" s="65"/>
      <c r="M34" s="65"/>
      <c r="N34" s="80">
        <v>0.5</v>
      </c>
      <c r="O34" s="81">
        <f>H32*N34</f>
        <v>79132.536</v>
      </c>
      <c r="P34" s="193" t="s">
        <v>42</v>
      </c>
      <c r="Q34" s="74"/>
      <c r="R34" s="74"/>
      <c r="S34" s="74"/>
      <c r="T34" s="83">
        <v>0.8</v>
      </c>
      <c r="U34" s="74"/>
      <c r="V34" s="133"/>
      <c r="W34" s="74"/>
      <c r="X34" s="51">
        <f>O34/T34</f>
        <v>98915.67</v>
      </c>
      <c r="Y34" s="194"/>
      <c r="Z34" s="61"/>
      <c r="AA34" s="60"/>
      <c r="AB34" s="134"/>
      <c r="AC34" s="134"/>
      <c r="AD34" s="134"/>
      <c r="AE34" s="195"/>
      <c r="AF34" s="134"/>
      <c r="AG34" s="134"/>
      <c r="AH34" s="134"/>
      <c r="AI34" s="195"/>
      <c r="AJ34" s="134">
        <v>29566.268</v>
      </c>
      <c r="AM34" s="32"/>
      <c r="AN34" s="134">
        <v>29566.268</v>
      </c>
      <c r="AQ34" s="32"/>
      <c r="AR34" s="134">
        <v>20000.0</v>
      </c>
      <c r="AU34" s="32"/>
      <c r="AV34" s="61"/>
      <c r="AW34" s="62"/>
      <c r="AX34" s="185">
        <f>AJ34+AN34+AR34</f>
        <v>79132.536</v>
      </c>
      <c r="AY34" s="188"/>
    </row>
    <row r="35" ht="10.5" customHeight="1">
      <c r="A35" s="64"/>
      <c r="B35" s="64"/>
      <c r="C35" s="64"/>
      <c r="D35" s="64"/>
      <c r="E35" s="64"/>
      <c r="F35" s="89"/>
      <c r="G35" s="137"/>
      <c r="H35" s="138"/>
      <c r="I35" s="89"/>
      <c r="J35" s="89"/>
      <c r="K35" s="89"/>
      <c r="L35" s="93"/>
      <c r="M35" s="91"/>
      <c r="N35" s="90"/>
      <c r="O35" s="92"/>
      <c r="P35" s="93"/>
      <c r="Q35" s="94"/>
      <c r="R35" s="94"/>
      <c r="S35" s="94"/>
      <c r="T35" s="94"/>
      <c r="U35" s="94"/>
      <c r="V35" s="91"/>
      <c r="W35" s="94"/>
      <c r="X35" s="94"/>
      <c r="Y35" s="95"/>
      <c r="Z35" s="96"/>
      <c r="AA35" s="97"/>
      <c r="AB35" s="97"/>
      <c r="AC35" s="97"/>
      <c r="AD35" s="97"/>
      <c r="AE35" s="98"/>
      <c r="AF35" s="96"/>
      <c r="AG35" s="97"/>
      <c r="AH35" s="97"/>
      <c r="AI35" s="98"/>
      <c r="AJ35" s="96"/>
      <c r="AK35" s="97"/>
      <c r="AL35" s="97"/>
      <c r="AM35" s="98"/>
      <c r="AN35" s="96"/>
      <c r="AO35" s="97"/>
      <c r="AP35" s="97"/>
      <c r="AQ35" s="98"/>
      <c r="AR35" s="96"/>
      <c r="AS35" s="97"/>
      <c r="AT35" s="97"/>
      <c r="AU35" s="98"/>
      <c r="AV35" s="96"/>
      <c r="AW35" s="98"/>
      <c r="AX35" s="186"/>
      <c r="AY35" s="186"/>
    </row>
    <row r="36" ht="15.75" customHeight="1">
      <c r="A36" s="64"/>
      <c r="B36" s="64"/>
      <c r="C36" s="64"/>
      <c r="D36" s="64"/>
      <c r="E36" s="64"/>
      <c r="F36" s="46" t="s">
        <v>105</v>
      </c>
      <c r="G36" s="72">
        <v>0.06</v>
      </c>
      <c r="H36" s="48">
        <f>E26*G36</f>
        <v>52755.024</v>
      </c>
      <c r="I36" s="46" t="s">
        <v>71</v>
      </c>
      <c r="J36" s="46" t="s">
        <v>106</v>
      </c>
      <c r="K36" s="45" t="s">
        <v>107</v>
      </c>
      <c r="L36" s="82" t="s">
        <v>168</v>
      </c>
      <c r="M36" s="51">
        <v>1.0</v>
      </c>
      <c r="N36" s="52">
        <v>1.0</v>
      </c>
      <c r="O36" s="53">
        <f>H36*N36</f>
        <v>52755.024</v>
      </c>
      <c r="P36" s="54" t="s">
        <v>59</v>
      </c>
      <c r="Q36" s="74"/>
      <c r="R36" s="74"/>
      <c r="S36" s="74"/>
      <c r="T36" s="74"/>
      <c r="U36" s="57">
        <f>45/18.77</f>
        <v>2.397442728</v>
      </c>
      <c r="V36" s="133"/>
      <c r="W36" s="74"/>
      <c r="X36" s="74"/>
      <c r="Y36" s="76">
        <f>O36/U36*1000</f>
        <v>22004706.68</v>
      </c>
      <c r="Z36" s="61"/>
      <c r="AB36" s="60"/>
      <c r="AE36" s="32"/>
      <c r="AF36" s="61"/>
      <c r="AI36" s="32"/>
      <c r="AJ36" s="61"/>
      <c r="AM36" s="32"/>
      <c r="AN36" s="139">
        <v>36377.512</v>
      </c>
      <c r="AQ36" s="32"/>
      <c r="AR36" s="139">
        <v>10000.0</v>
      </c>
      <c r="AU36" s="32"/>
      <c r="AV36" s="139">
        <v>6377.0</v>
      </c>
      <c r="AW36" s="32"/>
      <c r="AX36" s="185">
        <f>AJ36+AR36+AV36+AN36</f>
        <v>52754.512</v>
      </c>
    </row>
    <row r="37" ht="15.75" customHeight="1">
      <c r="A37" s="64"/>
      <c r="B37" s="64"/>
      <c r="C37" s="64"/>
      <c r="D37" s="64"/>
      <c r="E37" s="64"/>
      <c r="F37" s="64"/>
      <c r="G37" s="64"/>
      <c r="H37" s="64"/>
      <c r="I37" s="64"/>
      <c r="J37" s="64"/>
      <c r="K37" s="45" t="s">
        <v>107</v>
      </c>
      <c r="L37" s="82" t="s">
        <v>168</v>
      </c>
      <c r="M37" s="51">
        <v>1.0</v>
      </c>
      <c r="N37" s="64"/>
      <c r="O37" s="64"/>
      <c r="P37" s="64"/>
      <c r="Q37" s="74"/>
      <c r="R37" s="74"/>
      <c r="S37" s="74"/>
      <c r="T37" s="74"/>
      <c r="U37" s="64"/>
      <c r="V37" s="133"/>
      <c r="W37" s="74"/>
      <c r="X37" s="74"/>
      <c r="Y37" s="108"/>
      <c r="Z37" s="61"/>
      <c r="AB37" s="60"/>
      <c r="AE37" s="32"/>
      <c r="AF37" s="61"/>
      <c r="AI37" s="32"/>
      <c r="AJ37" s="66"/>
      <c r="AM37" s="32"/>
      <c r="AN37" s="66"/>
      <c r="AQ37" s="32"/>
      <c r="AR37" s="66"/>
      <c r="AU37" s="32"/>
      <c r="AV37" s="66"/>
      <c r="AW37" s="32"/>
    </row>
    <row r="38" ht="15.75" customHeight="1">
      <c r="A38" s="64"/>
      <c r="B38" s="64"/>
      <c r="C38" s="64"/>
      <c r="D38" s="64"/>
      <c r="E38" s="64"/>
      <c r="F38" s="65"/>
      <c r="G38" s="65"/>
      <c r="H38" s="65"/>
      <c r="I38" s="65"/>
      <c r="J38" s="65"/>
      <c r="K38" s="45"/>
      <c r="L38" s="82"/>
      <c r="M38" s="51"/>
      <c r="N38" s="65"/>
      <c r="O38" s="65"/>
      <c r="P38" s="65"/>
      <c r="Q38" s="74"/>
      <c r="R38" s="74"/>
      <c r="S38" s="74"/>
      <c r="T38" s="74"/>
      <c r="U38" s="65"/>
      <c r="V38" s="133"/>
      <c r="W38" s="74"/>
      <c r="X38" s="74"/>
      <c r="Y38" s="78"/>
      <c r="Z38" s="140"/>
      <c r="AA38" s="141"/>
      <c r="AB38" s="142"/>
      <c r="AC38" s="141"/>
      <c r="AD38" s="141"/>
      <c r="AE38" s="143"/>
      <c r="AF38" s="61"/>
      <c r="AI38" s="32"/>
      <c r="AJ38" s="66"/>
      <c r="AM38" s="32"/>
      <c r="AN38" s="66"/>
      <c r="AQ38" s="32"/>
      <c r="AR38" s="66"/>
      <c r="AU38" s="32"/>
      <c r="AV38" s="66"/>
      <c r="AW38" s="32"/>
    </row>
    <row r="39" ht="12.0" customHeight="1">
      <c r="A39" s="64"/>
      <c r="B39" s="64"/>
      <c r="C39" s="64"/>
      <c r="D39" s="64"/>
      <c r="E39" s="64"/>
      <c r="F39" s="89"/>
      <c r="G39" s="137"/>
      <c r="H39" s="138"/>
      <c r="I39" s="144"/>
      <c r="J39" s="89"/>
      <c r="K39" s="89"/>
      <c r="L39" s="93"/>
      <c r="M39" s="91"/>
      <c r="N39" s="90"/>
      <c r="O39" s="92"/>
      <c r="P39" s="93"/>
      <c r="Q39" s="94"/>
      <c r="R39" s="94"/>
      <c r="S39" s="94"/>
      <c r="T39" s="94"/>
      <c r="U39" s="94"/>
      <c r="V39" s="91"/>
      <c r="W39" s="94"/>
      <c r="X39" s="91"/>
      <c r="Y39" s="91"/>
      <c r="Z39" s="97"/>
      <c r="AA39" s="97"/>
      <c r="AB39" s="97"/>
      <c r="AC39" s="97"/>
      <c r="AD39" s="97"/>
      <c r="AE39" s="97"/>
      <c r="AF39" s="96"/>
      <c r="AG39" s="97"/>
      <c r="AH39" s="97"/>
      <c r="AI39" s="98"/>
      <c r="AJ39" s="96"/>
      <c r="AK39" s="97"/>
      <c r="AL39" s="97"/>
      <c r="AM39" s="98"/>
      <c r="AN39" s="96"/>
      <c r="AO39" s="97"/>
      <c r="AP39" s="97"/>
      <c r="AQ39" s="98"/>
      <c r="AR39" s="96"/>
      <c r="AS39" s="97"/>
      <c r="AT39" s="97"/>
      <c r="AU39" s="98"/>
      <c r="AV39" s="96"/>
      <c r="AW39" s="98"/>
      <c r="AX39" s="186"/>
      <c r="AY39" s="186"/>
    </row>
    <row r="40" ht="15.75" customHeight="1">
      <c r="A40" s="65"/>
      <c r="B40" s="65"/>
      <c r="C40" s="65"/>
      <c r="D40" s="65"/>
      <c r="E40" s="65"/>
      <c r="F40" s="45" t="s">
        <v>110</v>
      </c>
      <c r="G40" s="136">
        <v>0.2</v>
      </c>
      <c r="H40" s="131">
        <f>E26*G40</f>
        <v>175850.08</v>
      </c>
      <c r="I40" s="102" t="s">
        <v>76</v>
      </c>
      <c r="J40" s="45" t="s">
        <v>111</v>
      </c>
      <c r="K40" s="45" t="s">
        <v>112</v>
      </c>
      <c r="L40" s="82" t="s">
        <v>113</v>
      </c>
      <c r="M40" s="51">
        <v>1.0</v>
      </c>
      <c r="N40" s="80">
        <v>1.0</v>
      </c>
      <c r="O40" s="81">
        <f>H40*N40</f>
        <v>175850.08</v>
      </c>
      <c r="P40" s="82" t="s">
        <v>114</v>
      </c>
      <c r="Q40" s="74"/>
      <c r="R40" s="74"/>
      <c r="S40" s="74"/>
      <c r="T40" s="74"/>
      <c r="U40" s="83">
        <v>4.85</v>
      </c>
      <c r="V40" s="133"/>
      <c r="W40" s="74"/>
      <c r="X40" s="74"/>
      <c r="Y40" s="51">
        <f>O40/U40*1000</f>
        <v>36257748.45</v>
      </c>
      <c r="Z40" s="77">
        <f>O40/4</f>
        <v>43962.52</v>
      </c>
      <c r="AB40" s="77">
        <v>33963.0</v>
      </c>
      <c r="AF40" s="77">
        <v>53963.0</v>
      </c>
      <c r="AJ40" s="77">
        <v>43961.0</v>
      </c>
      <c r="AN40" s="140"/>
      <c r="AO40" s="141"/>
      <c r="AP40" s="141"/>
      <c r="AQ40" s="143"/>
      <c r="AR40" s="140"/>
      <c r="AS40" s="141"/>
      <c r="AT40" s="141"/>
      <c r="AU40" s="143"/>
      <c r="AV40" s="140"/>
      <c r="AW40" s="143"/>
      <c r="AX40" s="185">
        <f>Z40+AB40+AF40+AJ40</f>
        <v>175849.52</v>
      </c>
    </row>
    <row r="41" ht="15.75" customHeight="1">
      <c r="A41" s="196" t="s">
        <v>115</v>
      </c>
      <c r="B41" s="196"/>
      <c r="C41" s="196"/>
      <c r="D41" s="196"/>
      <c r="E41" s="197">
        <f>SUM(E13:E40)</f>
        <v>2198126</v>
      </c>
      <c r="F41" s="196"/>
      <c r="G41" s="196"/>
      <c r="H41" s="196"/>
      <c r="I41" s="196"/>
      <c r="J41" s="196"/>
      <c r="K41" s="196"/>
      <c r="L41" s="196"/>
      <c r="M41" s="196"/>
      <c r="N41" s="196"/>
      <c r="O41" s="197">
        <f>SUM(O13:O40)+O11</f>
        <v>2198126</v>
      </c>
      <c r="P41" s="196"/>
      <c r="Q41" s="199"/>
      <c r="R41" s="199"/>
      <c r="S41" s="199"/>
      <c r="T41" s="199"/>
      <c r="U41" s="199"/>
      <c r="V41" s="151">
        <f>V13+V15+V17+V18+V27+V29+V31</f>
        <v>9172088.958</v>
      </c>
      <c r="W41" s="151">
        <f>W21+W23+W24</f>
        <v>4286345.7</v>
      </c>
      <c r="X41" s="151">
        <f>X34</f>
        <v>98915.67</v>
      </c>
      <c r="Y41" s="151">
        <f>Y13+Y15+Y17+Y18+Y21+Y22+Y23+Y24+Y27+Y29+Y31+Y36+Y40+Y26+Y11</f>
        <v>397419026.6</v>
      </c>
      <c r="Z41" s="197">
        <f>SUM(Z11:AA40)</f>
        <v>214976.7228</v>
      </c>
      <c r="AB41" s="197">
        <f>SUM(AB11:AE40)</f>
        <v>507483.2438</v>
      </c>
      <c r="AF41" s="197">
        <f>SUM(AF11:AI40)</f>
        <v>477539.883</v>
      </c>
      <c r="AJ41" s="197">
        <f>SUM(AJ11:AM40)</f>
        <v>480915.12</v>
      </c>
      <c r="AN41" s="197">
        <f>SUM(AN11:AQ40)</f>
        <v>337961.182</v>
      </c>
      <c r="AR41" s="197">
        <f>SUM(AR11:AU40)</f>
        <v>172872</v>
      </c>
      <c r="AV41" s="197">
        <f>SUM(AV11:AW40)</f>
        <v>6377</v>
      </c>
      <c r="AX41" s="197">
        <f>SUM(AX11:AY40)</f>
        <v>2198125.152</v>
      </c>
    </row>
    <row r="42" ht="15.75" customHeight="1">
      <c r="A42" s="3"/>
      <c r="B42" s="3"/>
      <c r="C42" s="3"/>
      <c r="D42" s="3"/>
      <c r="E42" s="3"/>
      <c r="F42" s="3"/>
      <c r="G42" s="3"/>
      <c r="H42" s="3"/>
      <c r="I42" s="3"/>
      <c r="J42" s="3"/>
      <c r="K42" s="3"/>
      <c r="L42" s="3"/>
      <c r="M42" s="3"/>
      <c r="N42" s="3"/>
      <c r="O42" s="3"/>
      <c r="P42" s="3"/>
      <c r="Q42" s="3"/>
      <c r="R42" s="163"/>
      <c r="S42" s="163"/>
      <c r="T42" s="163"/>
      <c r="U42" s="163"/>
      <c r="V42" s="163"/>
      <c r="W42" s="163"/>
      <c r="X42" s="163"/>
      <c r="Y42" s="163"/>
      <c r="Z42" s="163"/>
      <c r="AA42" s="163"/>
      <c r="AB42" s="163"/>
      <c r="AC42" s="3"/>
      <c r="AD42" s="3"/>
      <c r="AE42" s="3"/>
      <c r="AF42" s="3"/>
      <c r="AG42" s="3"/>
      <c r="AH42" s="3"/>
      <c r="AI42" s="3"/>
      <c r="AJ42" s="3"/>
      <c r="AK42" s="3"/>
      <c r="AL42" s="3"/>
      <c r="AM42" s="3"/>
      <c r="AN42" s="3"/>
      <c r="AO42" s="3"/>
      <c r="AP42" s="3"/>
      <c r="AQ42" s="3"/>
      <c r="AR42" s="3"/>
      <c r="AS42" s="3"/>
      <c r="AT42" s="3"/>
      <c r="AU42" s="3"/>
      <c r="AV42" s="3"/>
      <c r="AW42" s="3"/>
      <c r="AX42" s="3"/>
      <c r="AY42" s="3"/>
    </row>
    <row r="43" ht="15.75" customHeight="1">
      <c r="A43" s="3"/>
      <c r="B43" s="3"/>
      <c r="C43" s="3"/>
      <c r="D43" s="3"/>
      <c r="E43" s="3"/>
      <c r="F43" s="3"/>
      <c r="G43" s="3"/>
      <c r="H43" s="3"/>
      <c r="I43" s="3"/>
      <c r="J43" s="3"/>
      <c r="K43" s="3"/>
      <c r="L43" s="3"/>
      <c r="M43" s="3"/>
      <c r="N43" s="3"/>
      <c r="O43" s="3"/>
      <c r="P43" s="162"/>
      <c r="Q43" s="162"/>
      <c r="R43" s="162"/>
      <c r="S43" s="162"/>
      <c r="T43" s="162"/>
      <c r="U43" s="162"/>
      <c r="V43" s="200"/>
      <c r="W43" s="162"/>
      <c r="X43" s="162"/>
      <c r="Y43" s="162"/>
      <c r="Z43" s="162"/>
      <c r="AA43" s="162"/>
      <c r="AB43" s="162"/>
      <c r="AC43" s="3"/>
      <c r="AD43" s="3"/>
      <c r="AE43" s="3"/>
      <c r="AF43" s="3"/>
      <c r="AG43" s="3"/>
      <c r="AH43" s="3"/>
      <c r="AI43" s="3"/>
      <c r="AJ43" s="3"/>
      <c r="AK43" s="3"/>
      <c r="AL43" s="3"/>
      <c r="AM43" s="3"/>
      <c r="AN43" s="3"/>
      <c r="AO43" s="3"/>
      <c r="AP43" s="3"/>
      <c r="AQ43" s="3"/>
      <c r="AV43" s="3"/>
      <c r="AW43" s="3"/>
      <c r="AX43" s="3"/>
      <c r="AY43" s="3"/>
    </row>
    <row r="44" ht="15.75" customHeight="1">
      <c r="A44" s="3"/>
      <c r="B44" s="3"/>
      <c r="C44" s="3"/>
      <c r="D44" s="3"/>
      <c r="E44" s="3"/>
      <c r="N44" s="3"/>
      <c r="O44" s="162"/>
      <c r="P44" s="162"/>
      <c r="Q44" s="162"/>
      <c r="R44" s="162"/>
      <c r="S44" s="162"/>
      <c r="T44" s="162"/>
      <c r="U44" s="162"/>
      <c r="V44" s="162"/>
      <c r="W44" s="162"/>
      <c r="X44" s="162"/>
      <c r="Y44" s="162"/>
      <c r="Z44" s="162"/>
      <c r="AA44" s="162"/>
      <c r="AB44" s="162"/>
      <c r="AC44" s="3"/>
      <c r="AD44" s="3"/>
      <c r="AE44" s="3"/>
      <c r="AF44" s="3"/>
      <c r="AG44" s="3"/>
      <c r="AK44" s="3"/>
      <c r="AL44" s="3"/>
      <c r="AM44" s="3"/>
      <c r="AN44" s="3"/>
      <c r="AO44" s="3"/>
      <c r="AP44" s="3"/>
      <c r="AV44" s="3"/>
      <c r="AW44" s="3"/>
      <c r="AX44" s="3"/>
      <c r="AY44" s="3"/>
    </row>
    <row r="45" ht="15.75" customHeight="1">
      <c r="A45" s="3"/>
      <c r="B45" s="3"/>
      <c r="C45" s="3"/>
      <c r="D45" s="3"/>
      <c r="E45" s="3"/>
      <c r="N45" s="3"/>
      <c r="O45" s="162"/>
      <c r="P45" s="162"/>
      <c r="Q45" s="162"/>
      <c r="R45" s="162"/>
      <c r="S45" s="162"/>
      <c r="T45" s="162"/>
      <c r="U45" s="162"/>
      <c r="V45" s="162"/>
      <c r="W45" s="162"/>
      <c r="X45" s="201"/>
      <c r="Y45" s="201"/>
      <c r="Z45" s="201"/>
      <c r="AA45" s="201"/>
      <c r="AB45" s="162"/>
      <c r="AC45" s="163"/>
      <c r="AD45" s="3"/>
      <c r="AE45" s="3"/>
      <c r="AF45" s="3"/>
      <c r="AK45" s="3"/>
      <c r="AL45" s="3"/>
      <c r="AM45" s="3"/>
      <c r="AN45" s="3"/>
      <c r="AO45" s="3"/>
      <c r="AP45" s="3"/>
      <c r="AQ45" s="3"/>
      <c r="AR45" s="3"/>
      <c r="AS45" s="3"/>
      <c r="AT45" s="3"/>
      <c r="AU45" s="3"/>
      <c r="AV45" s="3"/>
      <c r="AW45" s="3"/>
      <c r="AX45" s="3"/>
      <c r="AY45" s="3"/>
    </row>
    <row r="46" ht="15.75" customHeight="1">
      <c r="A46" s="3"/>
      <c r="B46" s="3"/>
      <c r="C46" s="3"/>
      <c r="D46" s="3"/>
      <c r="E46" s="3"/>
      <c r="N46" s="3"/>
      <c r="O46" s="162"/>
      <c r="P46" s="162"/>
      <c r="Q46" s="162"/>
      <c r="R46" s="162"/>
      <c r="S46" s="162"/>
      <c r="T46" s="162"/>
      <c r="U46" s="162"/>
      <c r="V46" s="162"/>
      <c r="W46" s="162"/>
      <c r="X46" s="201"/>
      <c r="Y46" s="201"/>
      <c r="Z46" s="202" t="s">
        <v>117</v>
      </c>
      <c r="AB46" s="162"/>
      <c r="AC46" s="163"/>
      <c r="AD46" s="3"/>
      <c r="AE46" s="3"/>
      <c r="AF46" s="3"/>
      <c r="AG46" s="3"/>
      <c r="AH46" s="3"/>
      <c r="AI46" s="3"/>
      <c r="AJ46" s="3"/>
      <c r="AK46" s="3"/>
      <c r="AL46" s="3"/>
      <c r="AM46" s="3"/>
      <c r="AN46" s="3"/>
      <c r="AO46" s="3"/>
      <c r="AP46" s="3"/>
      <c r="AQ46" s="3"/>
      <c r="AR46" s="3"/>
      <c r="AS46" s="3"/>
      <c r="AT46" s="3"/>
      <c r="AU46" s="3"/>
      <c r="AV46" s="3"/>
      <c r="AW46" s="3"/>
      <c r="AX46" s="3"/>
      <c r="AY46" s="3"/>
    </row>
    <row r="47" ht="15.75" customHeight="1">
      <c r="A47" s="3"/>
      <c r="B47" s="3"/>
      <c r="C47" s="3"/>
      <c r="D47" s="155"/>
      <c r="E47" s="3"/>
      <c r="F47" s="3"/>
      <c r="G47" s="3"/>
      <c r="H47" s="3"/>
      <c r="I47" s="3"/>
      <c r="J47" s="3"/>
      <c r="K47" s="3"/>
      <c r="L47" s="3"/>
      <c r="M47" s="3"/>
      <c r="N47" s="210"/>
      <c r="O47" s="211" t="s">
        <v>169</v>
      </c>
      <c r="P47" s="212" t="s">
        <v>170</v>
      </c>
      <c r="Q47" s="213"/>
      <c r="R47" s="211" t="s">
        <v>171</v>
      </c>
      <c r="S47" s="214" t="s">
        <v>172</v>
      </c>
      <c r="T47" s="211" t="s">
        <v>173</v>
      </c>
      <c r="U47" s="162"/>
      <c r="V47" s="162"/>
      <c r="W47" s="162"/>
      <c r="X47" s="201"/>
      <c r="Y47" s="201" t="s">
        <v>118</v>
      </c>
      <c r="Z47" s="203">
        <f>Z41</f>
        <v>214976.7228</v>
      </c>
      <c r="AB47" s="162"/>
      <c r="AC47" s="163"/>
      <c r="AD47" s="3"/>
      <c r="AE47" s="3"/>
      <c r="AF47" s="3"/>
      <c r="AG47" s="3"/>
      <c r="AH47" s="3"/>
      <c r="AI47" s="3"/>
      <c r="AJ47" s="3"/>
      <c r="AK47" s="3"/>
      <c r="AL47" s="3"/>
      <c r="AM47" s="3"/>
      <c r="AN47" s="3"/>
      <c r="AO47" s="3"/>
      <c r="AP47" s="3"/>
      <c r="AQ47" s="3"/>
      <c r="AR47" s="3"/>
      <c r="AS47" s="3"/>
      <c r="AT47" s="3"/>
      <c r="AU47" s="3"/>
      <c r="AV47" s="3"/>
      <c r="AW47" s="3"/>
      <c r="AX47" s="3"/>
      <c r="AY47" s="3"/>
    </row>
    <row r="48" ht="15.75" customHeight="1">
      <c r="A48" s="3"/>
      <c r="B48" s="3"/>
      <c r="C48" s="3"/>
      <c r="D48" s="156"/>
      <c r="E48" s="3"/>
      <c r="F48" s="3"/>
      <c r="G48" s="3"/>
      <c r="H48" s="3"/>
      <c r="I48" s="3"/>
      <c r="J48" s="3"/>
      <c r="K48" s="3"/>
      <c r="L48" s="3"/>
      <c r="M48" s="3"/>
      <c r="N48" s="215" t="s">
        <v>174</v>
      </c>
      <c r="O48" s="216"/>
      <c r="P48" s="217" t="s">
        <v>175</v>
      </c>
      <c r="R48" s="218" t="s">
        <v>176</v>
      </c>
      <c r="S48" s="219" t="s">
        <v>177</v>
      </c>
      <c r="T48" s="218" t="s">
        <v>178</v>
      </c>
      <c r="U48" s="162"/>
      <c r="V48" s="162"/>
      <c r="W48" s="162"/>
      <c r="X48" s="201"/>
      <c r="Y48" s="204" t="s">
        <v>138</v>
      </c>
      <c r="Z48" s="203">
        <f>AB41</f>
        <v>507483.2438</v>
      </c>
      <c r="AB48" s="162"/>
      <c r="AC48" s="163"/>
      <c r="AD48" s="3"/>
      <c r="AE48" s="3"/>
      <c r="AF48" s="3"/>
      <c r="AG48" s="3"/>
      <c r="AH48" s="3"/>
      <c r="AI48" s="3"/>
      <c r="AJ48" s="3"/>
      <c r="AK48" s="3"/>
      <c r="AL48" s="3"/>
      <c r="AM48" s="3"/>
      <c r="AN48" s="3"/>
      <c r="AO48" s="3"/>
      <c r="AP48" s="3"/>
      <c r="AQ48" s="3"/>
      <c r="AR48" s="3"/>
      <c r="AS48" s="3"/>
      <c r="AT48" s="3"/>
      <c r="AU48" s="3"/>
      <c r="AV48" s="3"/>
      <c r="AW48" s="3"/>
      <c r="AX48" s="3"/>
      <c r="AY48" s="3"/>
    </row>
    <row r="49" ht="15.75" customHeight="1">
      <c r="A49" s="3"/>
      <c r="B49" s="155"/>
      <c r="C49" s="155"/>
      <c r="D49" s="156"/>
      <c r="E49" s="3"/>
      <c r="F49" s="3"/>
      <c r="G49" s="3"/>
      <c r="H49" s="3"/>
      <c r="I49" s="3"/>
      <c r="J49" s="3"/>
      <c r="K49" s="3"/>
      <c r="L49" s="3"/>
      <c r="M49" s="3"/>
      <c r="N49" s="3"/>
      <c r="O49" s="166">
        <f>O15+O16+O17+O22+O23+O2+O29+O30+O31</f>
        <v>941677.1784</v>
      </c>
      <c r="P49" s="162" t="s">
        <v>122</v>
      </c>
      <c r="Q49" s="162"/>
      <c r="R49" s="162"/>
      <c r="S49" s="162"/>
      <c r="T49" s="162"/>
      <c r="U49" s="162"/>
      <c r="V49" s="162"/>
      <c r="W49" s="162"/>
      <c r="X49" s="201"/>
      <c r="Y49" s="201" t="s">
        <v>123</v>
      </c>
      <c r="Z49" s="203">
        <f>AF41</f>
        <v>477539.883</v>
      </c>
      <c r="AB49" s="162"/>
      <c r="AC49" s="163"/>
      <c r="AD49" s="3"/>
      <c r="AE49" s="3"/>
      <c r="AF49" s="3"/>
      <c r="AG49" s="3"/>
      <c r="AH49" s="3"/>
      <c r="AI49" s="3"/>
      <c r="AJ49" s="3"/>
      <c r="AK49" s="3"/>
      <c r="AL49" s="3"/>
      <c r="AM49" s="3"/>
      <c r="AN49" s="3"/>
      <c r="AO49" s="3"/>
      <c r="AP49" s="3"/>
      <c r="AQ49" s="3"/>
      <c r="AR49" s="3"/>
      <c r="AS49" s="3"/>
      <c r="AT49" s="3"/>
      <c r="AU49" s="3"/>
      <c r="AV49" s="3"/>
      <c r="AW49" s="3"/>
      <c r="AX49" s="3"/>
      <c r="AY49" s="3"/>
    </row>
    <row r="50" ht="15.75" customHeight="1">
      <c r="A50" s="3"/>
      <c r="B50" s="159"/>
      <c r="C50" s="159"/>
      <c r="D50" s="153"/>
      <c r="E50" s="3"/>
      <c r="F50" s="3"/>
      <c r="G50" s="156"/>
      <c r="H50" s="3"/>
      <c r="I50" s="3"/>
      <c r="J50" s="3"/>
      <c r="K50" s="3"/>
      <c r="L50" s="3"/>
      <c r="M50" s="3"/>
      <c r="N50" s="3"/>
      <c r="O50" s="162">
        <f>O18+O19</f>
        <v>0</v>
      </c>
      <c r="P50" s="162"/>
      <c r="Q50" s="166">
        <f>O49</f>
        <v>941677.1784</v>
      </c>
      <c r="R50" s="162"/>
      <c r="S50" s="162"/>
      <c r="T50" s="162"/>
      <c r="U50" s="162"/>
      <c r="V50" s="162"/>
      <c r="W50" s="162"/>
      <c r="X50" s="201"/>
      <c r="Y50" s="201" t="s">
        <v>125</v>
      </c>
      <c r="Z50" s="203">
        <f>AJ41</f>
        <v>480915.12</v>
      </c>
      <c r="AB50" s="162"/>
      <c r="AC50" s="163"/>
      <c r="AD50" s="3"/>
      <c r="AE50" s="3"/>
      <c r="AF50" s="3"/>
      <c r="AG50" s="3"/>
      <c r="AH50" s="3"/>
      <c r="AI50" s="3"/>
      <c r="AJ50" s="3"/>
      <c r="AK50" s="3"/>
      <c r="AL50" s="3"/>
      <c r="AM50" s="3"/>
      <c r="AN50" s="3"/>
      <c r="AO50" s="3"/>
      <c r="AP50" s="3"/>
      <c r="AQ50" s="3"/>
      <c r="AR50" s="3"/>
      <c r="AS50" s="3"/>
      <c r="AT50" s="3"/>
      <c r="AU50" s="3"/>
      <c r="AV50" s="3"/>
      <c r="AW50" s="3"/>
      <c r="AX50" s="3"/>
      <c r="AY50" s="3"/>
    </row>
    <row r="51" ht="15.75" customHeight="1">
      <c r="A51" s="3"/>
      <c r="B51" s="159"/>
      <c r="C51" s="159"/>
      <c r="D51" s="153"/>
      <c r="E51" s="3"/>
      <c r="F51" s="3"/>
      <c r="G51" s="153"/>
      <c r="H51" s="3"/>
      <c r="I51" s="3"/>
      <c r="J51" s="3"/>
      <c r="K51" s="3"/>
      <c r="L51" s="3"/>
      <c r="M51" s="3"/>
      <c r="N51" s="3"/>
      <c r="O51" s="166">
        <f>O36+O37+O38</f>
        <v>52755.024</v>
      </c>
      <c r="P51" s="162" t="s">
        <v>127</v>
      </c>
      <c r="Q51" s="162"/>
      <c r="R51" s="162"/>
      <c r="S51" s="162"/>
      <c r="T51" s="162"/>
      <c r="U51" s="162"/>
      <c r="V51" s="162"/>
      <c r="W51" s="162"/>
      <c r="X51" s="201"/>
      <c r="Y51" s="201" t="s">
        <v>128</v>
      </c>
      <c r="Z51" s="203">
        <f>AN41</f>
        <v>337961.182</v>
      </c>
      <c r="AB51" s="162"/>
      <c r="AC51" s="163"/>
      <c r="AD51" s="3"/>
      <c r="AE51" s="3"/>
      <c r="AF51" s="3"/>
      <c r="AG51" s="3"/>
      <c r="AH51" s="3"/>
      <c r="AI51" s="3"/>
      <c r="AJ51" s="3"/>
      <c r="AK51" s="3"/>
      <c r="AL51" s="3"/>
      <c r="AM51" s="3"/>
      <c r="AN51" s="3"/>
      <c r="AO51" s="3"/>
      <c r="AP51" s="3"/>
      <c r="AQ51" s="3"/>
      <c r="AR51" s="3"/>
      <c r="AS51" s="3"/>
      <c r="AT51" s="3"/>
      <c r="AU51" s="3"/>
      <c r="AV51" s="3"/>
      <c r="AW51" s="3"/>
      <c r="AX51" s="3"/>
      <c r="AY51" s="3"/>
    </row>
    <row r="52" ht="15.75" customHeight="1">
      <c r="A52" s="3"/>
      <c r="B52" s="159"/>
      <c r="C52" s="159"/>
      <c r="D52" s="153"/>
      <c r="E52" s="3"/>
      <c r="F52" s="3"/>
      <c r="G52" s="153"/>
      <c r="H52" s="3"/>
      <c r="I52" s="3"/>
      <c r="J52" s="3"/>
      <c r="K52" s="3"/>
      <c r="L52" s="3"/>
      <c r="M52" s="3"/>
      <c r="N52" s="3"/>
      <c r="O52" s="166">
        <f>O32</f>
        <v>79132.536</v>
      </c>
      <c r="P52" s="162" t="s">
        <v>130</v>
      </c>
      <c r="Q52" s="162"/>
      <c r="R52" s="162"/>
      <c r="S52" s="162"/>
      <c r="T52" s="162">
        <v>1200000.0</v>
      </c>
      <c r="U52" s="162"/>
      <c r="V52" s="162"/>
      <c r="W52" s="162"/>
      <c r="X52" s="201"/>
      <c r="Y52" s="201" t="s">
        <v>131</v>
      </c>
      <c r="Z52" s="203">
        <f>AR41</f>
        <v>172872</v>
      </c>
      <c r="AB52" s="162"/>
      <c r="AC52" s="163"/>
      <c r="AD52" s="3"/>
      <c r="AE52" s="3"/>
      <c r="AF52" s="3"/>
      <c r="AG52" s="3"/>
      <c r="AH52" s="3"/>
      <c r="AI52" s="3"/>
      <c r="AJ52" s="3"/>
      <c r="AK52" s="3"/>
      <c r="AL52" s="3"/>
      <c r="AM52" s="3"/>
      <c r="AN52" s="3"/>
      <c r="AO52" s="3"/>
      <c r="AP52" s="3"/>
      <c r="AQ52" s="3"/>
      <c r="AR52" s="3"/>
      <c r="AS52" s="3"/>
      <c r="AT52" s="3"/>
      <c r="AU52" s="3"/>
      <c r="AV52" s="3"/>
      <c r="AW52" s="3"/>
      <c r="AX52" s="3"/>
      <c r="AY52" s="3"/>
    </row>
    <row r="53" ht="15.75" customHeight="1">
      <c r="A53" s="3"/>
      <c r="B53" s="159"/>
      <c r="C53" s="159"/>
      <c r="D53" s="153"/>
      <c r="E53" s="3"/>
      <c r="F53" s="3"/>
      <c r="G53" s="153"/>
      <c r="H53" s="3"/>
      <c r="I53" s="3"/>
      <c r="J53" s="3"/>
      <c r="K53" s="3"/>
      <c r="L53" s="3"/>
      <c r="M53" s="3"/>
      <c r="N53" s="3"/>
      <c r="O53" s="169">
        <f>O48+O49+O50+O51+O52</f>
        <v>1073564.738</v>
      </c>
      <c r="P53" s="162"/>
      <c r="Q53" s="162"/>
      <c r="R53" s="162"/>
      <c r="S53" s="162"/>
      <c r="T53" s="162">
        <v>179414.0</v>
      </c>
      <c r="U53" s="162"/>
      <c r="V53" s="162"/>
      <c r="W53" s="162"/>
      <c r="X53" s="201"/>
      <c r="Y53" s="201" t="s">
        <v>132</v>
      </c>
      <c r="Z53" s="203">
        <f>AV41</f>
        <v>6377</v>
      </c>
      <c r="AB53" s="162"/>
      <c r="AC53" s="163"/>
      <c r="AD53" s="3"/>
      <c r="AE53" s="3"/>
      <c r="AF53" s="3"/>
      <c r="AG53" s="3"/>
      <c r="AH53" s="3"/>
      <c r="AI53" s="3"/>
      <c r="AJ53" s="3"/>
      <c r="AK53" s="3"/>
      <c r="AL53" s="3"/>
      <c r="AM53" s="3"/>
      <c r="AN53" s="3"/>
      <c r="AO53" s="3"/>
      <c r="AP53" s="3"/>
      <c r="AQ53" s="3"/>
      <c r="AR53" s="3"/>
      <c r="AS53" s="3"/>
      <c r="AT53" s="3"/>
      <c r="AU53" s="3"/>
      <c r="AV53" s="3"/>
      <c r="AW53" s="3"/>
      <c r="AX53" s="3"/>
      <c r="AY53" s="3"/>
    </row>
    <row r="54" ht="15.75" customHeight="1">
      <c r="A54" s="3"/>
      <c r="B54" s="155"/>
      <c r="C54" s="155"/>
      <c r="D54" s="3"/>
      <c r="E54" s="3"/>
      <c r="F54" s="3"/>
      <c r="G54" s="153"/>
      <c r="H54" s="3"/>
      <c r="I54" s="3"/>
      <c r="J54" s="3"/>
      <c r="K54" s="3"/>
      <c r="L54" s="3"/>
      <c r="M54" s="3"/>
      <c r="N54" s="3"/>
      <c r="O54" s="162"/>
      <c r="P54" s="162"/>
      <c r="Q54" s="162"/>
      <c r="R54" s="162"/>
      <c r="S54" s="162"/>
      <c r="T54" s="162"/>
      <c r="U54" s="162"/>
      <c r="V54" s="162"/>
      <c r="W54" s="162"/>
      <c r="X54" s="201"/>
      <c r="Y54" s="201"/>
      <c r="Z54" s="201"/>
      <c r="AA54" s="201"/>
      <c r="AB54" s="162"/>
      <c r="AC54" s="163"/>
      <c r="AD54" s="3"/>
      <c r="AE54" s="3"/>
      <c r="AF54" s="3"/>
      <c r="AG54" s="3"/>
      <c r="AH54" s="3"/>
      <c r="AI54" s="3"/>
      <c r="AJ54" s="3"/>
      <c r="AK54" s="3"/>
      <c r="AL54" s="3"/>
      <c r="AM54" s="3"/>
      <c r="AN54" s="3"/>
      <c r="AO54" s="3"/>
      <c r="AP54" s="3"/>
      <c r="AQ54" s="3"/>
      <c r="AR54" s="3"/>
      <c r="AS54" s="3"/>
      <c r="AT54" s="3"/>
      <c r="AU54" s="3"/>
      <c r="AV54" s="3"/>
      <c r="AW54" s="3"/>
      <c r="AX54" s="3"/>
      <c r="AY54" s="3"/>
    </row>
    <row r="55" ht="15.75" customHeight="1">
      <c r="A55" s="3"/>
      <c r="B55" s="155"/>
      <c r="C55" s="155"/>
      <c r="D55" s="3"/>
      <c r="E55" s="3"/>
      <c r="F55" s="3"/>
      <c r="G55" s="3"/>
      <c r="H55" s="3"/>
      <c r="I55" s="3"/>
      <c r="J55" s="3"/>
      <c r="K55" s="3"/>
      <c r="L55" s="3"/>
      <c r="M55" s="3"/>
      <c r="N55" s="3"/>
      <c r="O55" s="162"/>
      <c r="P55" s="162"/>
      <c r="Q55" s="162"/>
      <c r="R55" s="162"/>
      <c r="S55" s="162"/>
      <c r="T55" s="162"/>
      <c r="U55" s="162"/>
      <c r="V55" s="162"/>
      <c r="W55" s="162"/>
      <c r="X55" s="201"/>
      <c r="Y55" s="201"/>
      <c r="Z55" s="201"/>
      <c r="AA55" s="201"/>
      <c r="AB55" s="162"/>
      <c r="AC55" s="163"/>
      <c r="AD55" s="3"/>
      <c r="AE55" s="3"/>
      <c r="AF55" s="3"/>
      <c r="AG55" s="3"/>
      <c r="AH55" s="3"/>
      <c r="AI55" s="3"/>
      <c r="AJ55" s="3"/>
      <c r="AK55" s="3"/>
      <c r="AL55" s="3"/>
      <c r="AM55" s="3"/>
      <c r="AN55" s="3"/>
      <c r="AO55" s="3"/>
      <c r="AP55" s="3"/>
      <c r="AQ55" s="3"/>
      <c r="AR55" s="3"/>
      <c r="AS55" s="3"/>
      <c r="AT55" s="3"/>
      <c r="AU55" s="3"/>
      <c r="AV55" s="3"/>
      <c r="AW55" s="3"/>
      <c r="AX55" s="3"/>
      <c r="AY55" s="3"/>
    </row>
    <row r="56" ht="15.75" customHeight="1">
      <c r="A56" s="3"/>
      <c r="B56" s="155"/>
      <c r="C56" s="155"/>
      <c r="D56" s="3"/>
      <c r="E56" s="3"/>
      <c r="F56" s="3"/>
      <c r="G56" s="3"/>
      <c r="H56" s="3"/>
      <c r="I56" s="3"/>
      <c r="J56" s="3"/>
      <c r="K56" s="3"/>
      <c r="L56" s="3"/>
      <c r="M56" s="3"/>
      <c r="N56" s="3"/>
      <c r="O56" s="162"/>
      <c r="P56" s="162"/>
      <c r="Q56" s="162"/>
      <c r="R56" s="162"/>
      <c r="S56" s="162"/>
      <c r="T56" s="162"/>
      <c r="U56" s="162"/>
      <c r="V56" s="162"/>
      <c r="W56" s="162"/>
      <c r="X56" s="201"/>
      <c r="Y56" s="201"/>
      <c r="Z56" s="201"/>
      <c r="AA56" s="201"/>
      <c r="AB56" s="162"/>
      <c r="AC56" s="163"/>
      <c r="AD56" s="3"/>
      <c r="AE56" s="3"/>
      <c r="AF56" s="3"/>
      <c r="AG56" s="3"/>
      <c r="AH56" s="3"/>
      <c r="AI56" s="3"/>
      <c r="AJ56" s="3"/>
      <c r="AK56" s="3"/>
      <c r="AL56" s="3"/>
      <c r="AM56" s="3"/>
      <c r="AN56" s="3"/>
      <c r="AO56" s="3"/>
      <c r="AP56" s="3"/>
      <c r="AQ56" s="3"/>
      <c r="AR56" s="3"/>
      <c r="AS56" s="3"/>
      <c r="AT56" s="3"/>
      <c r="AU56" s="3"/>
      <c r="AV56" s="3"/>
      <c r="AW56" s="3"/>
      <c r="AX56" s="3"/>
      <c r="AY56" s="3"/>
    </row>
    <row r="57" ht="15.75" customHeight="1">
      <c r="A57" s="3"/>
      <c r="B57" s="3"/>
      <c r="C57" s="3"/>
      <c r="D57" s="3"/>
      <c r="E57" s="3"/>
      <c r="F57" s="3"/>
      <c r="G57" s="3"/>
      <c r="H57" s="3"/>
      <c r="I57" s="3"/>
      <c r="J57" s="3"/>
      <c r="K57" s="3"/>
      <c r="L57" s="3"/>
      <c r="M57" s="3"/>
      <c r="N57" s="3"/>
      <c r="O57" s="162"/>
      <c r="P57" s="162"/>
      <c r="Q57" s="162"/>
      <c r="R57" s="162"/>
      <c r="S57" s="162"/>
      <c r="T57" s="162"/>
      <c r="U57" s="162"/>
      <c r="V57" s="162"/>
      <c r="W57" s="162"/>
      <c r="X57" s="162"/>
      <c r="Y57" s="162"/>
      <c r="Z57" s="162"/>
      <c r="AA57" s="162"/>
      <c r="AB57" s="162"/>
      <c r="AC57" s="163"/>
      <c r="AD57" s="3"/>
      <c r="AE57" s="3"/>
      <c r="AF57" s="3"/>
      <c r="AG57" s="3"/>
      <c r="AH57" s="3"/>
      <c r="AI57" s="3"/>
      <c r="AJ57" s="3"/>
      <c r="AK57" s="3"/>
      <c r="AL57" s="3"/>
      <c r="AM57" s="3"/>
      <c r="AN57" s="3"/>
      <c r="AO57" s="3"/>
      <c r="AP57" s="3"/>
      <c r="AQ57" s="3"/>
      <c r="AR57" s="3"/>
      <c r="AS57" s="3"/>
      <c r="AT57" s="3"/>
      <c r="AU57" s="3"/>
      <c r="AV57" s="3"/>
      <c r="AW57" s="3"/>
      <c r="AX57" s="3"/>
      <c r="AY57" s="3"/>
    </row>
    <row r="58" ht="15.75" customHeight="1">
      <c r="A58" s="3"/>
      <c r="B58" s="3"/>
      <c r="C58" s="3"/>
      <c r="D58" s="3"/>
      <c r="E58" s="3"/>
      <c r="F58" s="3"/>
      <c r="G58" s="3"/>
      <c r="H58" s="3"/>
      <c r="I58" s="3"/>
      <c r="J58" s="3"/>
      <c r="K58" s="3"/>
      <c r="L58" s="3"/>
      <c r="M58" s="3"/>
      <c r="N58" s="3"/>
      <c r="O58" s="162"/>
      <c r="P58" s="163"/>
      <c r="Q58" s="163"/>
      <c r="R58" s="163"/>
      <c r="S58" s="163"/>
      <c r="T58" s="163"/>
      <c r="U58" s="163"/>
      <c r="V58" s="163"/>
      <c r="W58" s="163"/>
      <c r="X58" s="162"/>
      <c r="Y58" s="162"/>
      <c r="Z58" s="162"/>
      <c r="AA58" s="162"/>
      <c r="AB58" s="162"/>
      <c r="AC58" s="163"/>
      <c r="AD58" s="3"/>
      <c r="AE58" s="3"/>
      <c r="AF58" s="3"/>
      <c r="AG58" s="3"/>
      <c r="AH58" s="3"/>
      <c r="AI58" s="3"/>
      <c r="AJ58" s="3"/>
      <c r="AK58" s="3"/>
      <c r="AL58" s="3"/>
      <c r="AM58" s="3"/>
      <c r="AN58" s="3"/>
      <c r="AO58" s="3"/>
      <c r="AP58" s="3"/>
      <c r="AQ58" s="3"/>
      <c r="AR58" s="3"/>
      <c r="AS58" s="3"/>
      <c r="AT58" s="3"/>
      <c r="AU58" s="3"/>
      <c r="AV58" s="3"/>
      <c r="AW58" s="3"/>
      <c r="AX58" s="3"/>
      <c r="AY58" s="3"/>
    </row>
    <row r="59" ht="15.75" customHeight="1">
      <c r="A59" s="3"/>
      <c r="B59" s="3"/>
      <c r="C59" s="3"/>
      <c r="D59" s="3"/>
      <c r="E59" s="3"/>
      <c r="F59" s="3"/>
      <c r="G59" s="3"/>
      <c r="H59" s="3"/>
      <c r="I59" s="3"/>
      <c r="J59" s="3"/>
      <c r="K59" s="3"/>
      <c r="L59" s="3"/>
      <c r="M59" s="3"/>
      <c r="N59" s="3"/>
      <c r="O59" s="162"/>
      <c r="P59" s="163"/>
      <c r="Q59" s="163"/>
      <c r="R59" s="163"/>
      <c r="S59" s="163"/>
      <c r="T59" s="163"/>
      <c r="U59" s="163"/>
      <c r="V59" s="163"/>
      <c r="W59" s="163"/>
      <c r="X59" s="162"/>
      <c r="Y59" s="162"/>
      <c r="Z59" s="162"/>
      <c r="AA59" s="162"/>
      <c r="AB59" s="162"/>
      <c r="AC59" s="163"/>
      <c r="AD59" s="3"/>
      <c r="AE59" s="3"/>
      <c r="AF59" s="3"/>
      <c r="AG59" s="3"/>
      <c r="AH59" s="3"/>
      <c r="AI59" s="3"/>
      <c r="AJ59" s="3"/>
      <c r="AK59" s="3"/>
      <c r="AL59" s="3"/>
      <c r="AM59" s="3"/>
      <c r="AN59" s="3"/>
      <c r="AO59" s="3"/>
      <c r="AP59" s="3"/>
      <c r="AQ59" s="3"/>
      <c r="AR59" s="3"/>
      <c r="AS59" s="3"/>
      <c r="AT59" s="3"/>
      <c r="AU59" s="3"/>
      <c r="AV59" s="3"/>
      <c r="AW59" s="3"/>
      <c r="AX59" s="3"/>
      <c r="AY59" s="3"/>
    </row>
    <row r="60" ht="15.75" customHeight="1">
      <c r="A60" s="3"/>
      <c r="B60" s="3"/>
      <c r="C60" s="3"/>
      <c r="D60" s="3"/>
      <c r="E60" s="3"/>
      <c r="F60" s="3"/>
      <c r="G60" s="3"/>
      <c r="H60" s="3"/>
      <c r="I60" s="3"/>
      <c r="J60" s="3"/>
      <c r="K60" s="3"/>
      <c r="L60" s="3"/>
      <c r="M60" s="3"/>
      <c r="N60" s="3"/>
      <c r="O60" s="162"/>
      <c r="P60" s="163"/>
      <c r="Q60" s="163"/>
      <c r="R60" s="163"/>
      <c r="S60" s="163"/>
      <c r="T60" s="163"/>
      <c r="U60" s="163"/>
      <c r="V60" s="163"/>
      <c r="W60" s="163"/>
      <c r="X60" s="162"/>
      <c r="Y60" s="162"/>
      <c r="Z60" s="162"/>
      <c r="AA60" s="162"/>
      <c r="AB60" s="162"/>
      <c r="AC60" s="163"/>
      <c r="AD60" s="3"/>
      <c r="AE60" s="3"/>
      <c r="AF60" s="3"/>
      <c r="AG60" s="3"/>
      <c r="AH60" s="3"/>
      <c r="AI60" s="3"/>
      <c r="AJ60" s="3"/>
      <c r="AK60" s="3"/>
      <c r="AL60" s="3"/>
      <c r="AM60" s="3"/>
      <c r="AN60" s="3"/>
      <c r="AO60" s="3"/>
      <c r="AP60" s="3"/>
      <c r="AQ60" s="3"/>
      <c r="AR60" s="3"/>
      <c r="AS60" s="3"/>
      <c r="AT60" s="3"/>
      <c r="AU60" s="3"/>
      <c r="AV60" s="3"/>
      <c r="AW60" s="3"/>
      <c r="AX60" s="3"/>
      <c r="AY60" s="3"/>
    </row>
    <row r="61" ht="15.75" customHeight="1">
      <c r="A61" s="3"/>
      <c r="B61" s="3"/>
      <c r="C61" s="3"/>
      <c r="D61" s="3"/>
      <c r="E61" s="3"/>
      <c r="F61" s="3"/>
      <c r="G61" s="3"/>
      <c r="H61" s="3"/>
      <c r="I61" s="3"/>
      <c r="J61" s="3"/>
      <c r="K61" s="3"/>
      <c r="L61" s="3"/>
      <c r="M61" s="3"/>
      <c r="N61" s="3"/>
      <c r="O61" s="162"/>
      <c r="P61" s="163"/>
      <c r="Q61" s="163"/>
      <c r="R61" s="163"/>
      <c r="S61" s="163"/>
      <c r="T61" s="163"/>
      <c r="U61" s="163"/>
      <c r="V61" s="163"/>
      <c r="W61" s="163"/>
      <c r="X61" s="162"/>
      <c r="Y61" s="162"/>
      <c r="Z61" s="162"/>
      <c r="AA61" s="162" t="s">
        <v>139</v>
      </c>
      <c r="AB61" s="162"/>
      <c r="AC61" s="163"/>
      <c r="AD61" s="3"/>
      <c r="AE61" s="3"/>
      <c r="AF61" s="3"/>
      <c r="AG61" s="3"/>
      <c r="AH61" s="3"/>
      <c r="AI61" s="3"/>
      <c r="AJ61" s="3"/>
      <c r="AK61" s="3"/>
      <c r="AL61" s="3"/>
      <c r="AM61" s="3"/>
      <c r="AN61" s="3"/>
      <c r="AO61" s="3"/>
      <c r="AP61" s="3"/>
      <c r="AQ61" s="3"/>
      <c r="AR61" s="3"/>
      <c r="AS61" s="3"/>
      <c r="AT61" s="3"/>
      <c r="AU61" s="3"/>
      <c r="AV61" s="3"/>
      <c r="AW61" s="3"/>
      <c r="AX61" s="3"/>
      <c r="AY61" s="3"/>
    </row>
    <row r="62" ht="15.75" customHeight="1">
      <c r="A62" s="3"/>
      <c r="B62" s="3"/>
      <c r="C62" s="3"/>
      <c r="D62" s="3"/>
      <c r="E62" s="3"/>
      <c r="F62" s="3"/>
      <c r="G62" s="3"/>
      <c r="H62" s="3"/>
      <c r="I62" s="3"/>
      <c r="J62" s="3"/>
      <c r="K62" s="3"/>
      <c r="L62" s="3"/>
      <c r="M62" s="3"/>
      <c r="N62" s="3"/>
      <c r="O62" s="162"/>
      <c r="P62" s="163"/>
      <c r="Q62" s="163"/>
      <c r="R62" s="163"/>
      <c r="S62" s="163"/>
      <c r="T62" s="163"/>
      <c r="U62" s="163"/>
      <c r="V62" s="163"/>
      <c r="W62" s="163"/>
      <c r="X62" s="162"/>
      <c r="Y62" s="162"/>
      <c r="Z62" s="162"/>
      <c r="AA62" s="162"/>
      <c r="AB62" s="162"/>
      <c r="AC62" s="163"/>
      <c r="AD62" s="3"/>
      <c r="AE62" s="3"/>
      <c r="AF62" s="3"/>
      <c r="AG62" s="3"/>
      <c r="AH62" s="3"/>
      <c r="AI62" s="3"/>
      <c r="AJ62" s="3"/>
      <c r="AK62" s="3"/>
      <c r="AL62" s="3"/>
      <c r="AM62" s="3"/>
      <c r="AN62" s="3"/>
      <c r="AO62" s="3"/>
      <c r="AP62" s="3"/>
      <c r="AQ62" s="3"/>
      <c r="AR62" s="3"/>
      <c r="AS62" s="3"/>
      <c r="AT62" s="3"/>
      <c r="AU62" s="3"/>
      <c r="AV62" s="3"/>
      <c r="AW62" s="3"/>
      <c r="AX62" s="3"/>
      <c r="AY62" s="3"/>
    </row>
    <row r="63" ht="15.75" customHeight="1">
      <c r="A63" s="3"/>
      <c r="B63" s="3"/>
      <c r="C63" s="3"/>
      <c r="D63" s="3"/>
      <c r="E63" s="3"/>
      <c r="F63" s="3"/>
      <c r="G63" s="3"/>
      <c r="H63" s="3"/>
      <c r="I63" s="3"/>
      <c r="J63" s="3"/>
      <c r="K63" s="3"/>
      <c r="L63" s="3"/>
      <c r="M63" s="3"/>
      <c r="N63" s="3"/>
      <c r="O63" s="162"/>
      <c r="P63" s="163"/>
      <c r="Q63" s="163"/>
      <c r="R63" s="163"/>
      <c r="S63" s="163"/>
      <c r="T63" s="163"/>
      <c r="U63" s="163"/>
      <c r="V63" s="163"/>
      <c r="W63" s="163"/>
      <c r="X63" s="162"/>
      <c r="Y63" s="162"/>
      <c r="Z63" s="162"/>
      <c r="AA63" s="162"/>
      <c r="AB63" s="162"/>
      <c r="AC63" s="163"/>
      <c r="AD63" s="3"/>
      <c r="AE63" s="3"/>
      <c r="AF63" s="3"/>
      <c r="AG63" s="3"/>
      <c r="AH63" s="3"/>
      <c r="AI63" s="3"/>
      <c r="AJ63" s="3"/>
      <c r="AK63" s="3"/>
      <c r="AL63" s="3"/>
      <c r="AM63" s="3"/>
      <c r="AN63" s="3"/>
      <c r="AO63" s="3"/>
      <c r="AP63" s="3"/>
      <c r="AQ63" s="3"/>
      <c r="AR63" s="3"/>
      <c r="AS63" s="3"/>
      <c r="AT63" s="3"/>
      <c r="AU63" s="3"/>
      <c r="AV63" s="3"/>
      <c r="AW63" s="3"/>
      <c r="AX63" s="3"/>
      <c r="AY63" s="3"/>
    </row>
    <row r="64" ht="15.75" customHeight="1">
      <c r="A64" s="3"/>
      <c r="B64" s="3"/>
      <c r="C64" s="3"/>
      <c r="D64" s="3"/>
      <c r="E64" s="3"/>
      <c r="F64" s="3"/>
      <c r="G64" s="3"/>
      <c r="H64" s="3"/>
      <c r="I64" s="3"/>
      <c r="J64" s="3"/>
      <c r="K64" s="3"/>
      <c r="L64" s="3"/>
      <c r="M64" s="3"/>
      <c r="N64" s="3"/>
      <c r="O64" s="162"/>
      <c r="P64" s="163"/>
      <c r="Q64" s="163"/>
      <c r="R64" s="163"/>
      <c r="S64" s="163"/>
      <c r="T64" s="163"/>
      <c r="U64" s="163"/>
      <c r="V64" s="163"/>
      <c r="W64" s="163"/>
      <c r="X64" s="162"/>
      <c r="Y64" s="162"/>
      <c r="Z64" s="162"/>
      <c r="AA64" s="162"/>
      <c r="AB64" s="162"/>
      <c r="AC64" s="163"/>
      <c r="AD64" s="3"/>
      <c r="AE64" s="3"/>
      <c r="AF64" s="3"/>
      <c r="AG64" s="3"/>
      <c r="AH64" s="3"/>
      <c r="AI64" s="3"/>
      <c r="AJ64" s="3"/>
      <c r="AK64" s="3"/>
      <c r="AL64" s="3"/>
      <c r="AM64" s="3"/>
      <c r="AN64" s="3"/>
      <c r="AO64" s="3"/>
      <c r="AP64" s="3"/>
      <c r="AQ64" s="3"/>
      <c r="AR64" s="3"/>
      <c r="AS64" s="3"/>
      <c r="AT64" s="3"/>
      <c r="AU64" s="3"/>
      <c r="AV64" s="3"/>
      <c r="AW64" s="3"/>
      <c r="AX64" s="3"/>
      <c r="AY64" s="3"/>
    </row>
    <row r="65" ht="15.75" customHeight="1">
      <c r="A65" s="3"/>
      <c r="B65" s="3"/>
      <c r="C65" s="3"/>
      <c r="D65" s="3"/>
      <c r="E65" s="3"/>
      <c r="F65" s="3"/>
      <c r="G65" s="3"/>
      <c r="H65" s="3"/>
      <c r="I65" s="3"/>
      <c r="J65" s="3"/>
      <c r="K65" s="3"/>
      <c r="L65" s="3"/>
      <c r="M65" s="3"/>
      <c r="N65" s="3"/>
      <c r="O65" s="162"/>
      <c r="P65" s="163"/>
      <c r="Q65" s="163"/>
      <c r="R65" s="163"/>
      <c r="S65" s="163"/>
      <c r="T65" s="163"/>
      <c r="U65" s="163"/>
      <c r="V65" s="163"/>
      <c r="W65" s="163"/>
      <c r="X65" s="162"/>
      <c r="Y65" s="162"/>
      <c r="Z65" s="162"/>
      <c r="AA65" s="162"/>
      <c r="AB65" s="162"/>
      <c r="AC65" s="163"/>
      <c r="AD65" s="3"/>
      <c r="AE65" s="3"/>
      <c r="AF65" s="3"/>
      <c r="AG65" s="3"/>
      <c r="AH65" s="3"/>
      <c r="AI65" s="3"/>
      <c r="AJ65" s="3"/>
      <c r="AK65" s="3"/>
      <c r="AL65" s="3"/>
      <c r="AM65" s="3"/>
      <c r="AN65" s="3"/>
      <c r="AO65" s="3"/>
      <c r="AP65" s="3"/>
      <c r="AQ65" s="3"/>
      <c r="AR65" s="3"/>
      <c r="AS65" s="3"/>
      <c r="AT65" s="3"/>
      <c r="AU65" s="3"/>
      <c r="AV65" s="3"/>
      <c r="AW65" s="3"/>
      <c r="AX65" s="3"/>
      <c r="AY65" s="3"/>
    </row>
    <row r="66" ht="15.75" customHeight="1">
      <c r="A66" s="3"/>
      <c r="B66" s="3"/>
      <c r="C66" s="3"/>
      <c r="D66" s="3"/>
      <c r="E66" s="3"/>
      <c r="F66" s="3"/>
      <c r="G66" s="3"/>
      <c r="H66" s="3"/>
      <c r="I66" s="3"/>
      <c r="J66" s="3"/>
      <c r="K66" s="3"/>
      <c r="L66" s="3"/>
      <c r="M66" s="3"/>
      <c r="N66" s="3"/>
      <c r="O66" s="3"/>
      <c r="P66" s="163"/>
      <c r="Q66" s="163"/>
      <c r="R66" s="163"/>
      <c r="S66" s="163"/>
      <c r="T66" s="163"/>
      <c r="U66" s="163"/>
      <c r="V66" s="163"/>
      <c r="W66" s="163"/>
      <c r="X66" s="162"/>
      <c r="Y66" s="162"/>
      <c r="Z66" s="162"/>
      <c r="AA66" s="162"/>
      <c r="AB66" s="162"/>
      <c r="AC66" s="163"/>
      <c r="AD66" s="3"/>
      <c r="AE66" s="3"/>
      <c r="AF66" s="3"/>
      <c r="AG66" s="3"/>
      <c r="AH66" s="3"/>
      <c r="AI66" s="3"/>
      <c r="AJ66" s="3"/>
      <c r="AK66" s="3"/>
      <c r="AL66" s="3"/>
      <c r="AM66" s="3"/>
      <c r="AN66" s="3"/>
      <c r="AO66" s="3"/>
      <c r="AP66" s="3"/>
      <c r="AQ66" s="3"/>
      <c r="AR66" s="3"/>
      <c r="AS66" s="3"/>
      <c r="AT66" s="3"/>
      <c r="AU66" s="3"/>
      <c r="AV66" s="3"/>
      <c r="AW66" s="3"/>
      <c r="AX66" s="3"/>
      <c r="AY66" s="3"/>
    </row>
    <row r="67" ht="15.75" customHeight="1">
      <c r="A67" s="3"/>
      <c r="B67" s="3"/>
      <c r="C67" s="3"/>
      <c r="D67" s="3"/>
      <c r="E67" s="3"/>
      <c r="F67" s="3"/>
      <c r="G67" s="3"/>
      <c r="H67" s="3"/>
      <c r="I67" s="3"/>
      <c r="J67" s="3"/>
      <c r="K67" s="3"/>
      <c r="L67" s="3"/>
      <c r="M67" s="3"/>
      <c r="N67" s="3"/>
      <c r="O67" s="3"/>
      <c r="P67" s="163"/>
      <c r="Q67" s="163"/>
      <c r="R67" s="163"/>
      <c r="S67" s="163"/>
      <c r="T67" s="163"/>
      <c r="U67" s="163"/>
      <c r="V67" s="163"/>
      <c r="W67" s="163"/>
      <c r="X67" s="162"/>
      <c r="Y67" s="162"/>
      <c r="Z67" s="162"/>
      <c r="AA67" s="162"/>
      <c r="AB67" s="162"/>
      <c r="AC67" s="163"/>
      <c r="AD67" s="3"/>
      <c r="AE67" s="3"/>
      <c r="AF67" s="3"/>
      <c r="AG67" s="3"/>
      <c r="AH67" s="3"/>
      <c r="AI67" s="3"/>
      <c r="AJ67" s="3"/>
      <c r="AK67" s="3"/>
      <c r="AL67" s="3"/>
      <c r="AM67" s="3"/>
      <c r="AN67" s="3"/>
      <c r="AO67" s="3"/>
      <c r="AP67" s="3"/>
      <c r="AQ67" s="3"/>
      <c r="AR67" s="3"/>
      <c r="AS67" s="3"/>
      <c r="AT67" s="3"/>
      <c r="AU67" s="3"/>
      <c r="AV67" s="3"/>
      <c r="AW67" s="3"/>
      <c r="AX67" s="3"/>
      <c r="AY67" s="3"/>
    </row>
    <row r="68" ht="15.75" customHeight="1">
      <c r="A68" s="3"/>
      <c r="B68" s="3"/>
      <c r="C68" s="3"/>
      <c r="D68" s="3"/>
      <c r="E68" s="3"/>
      <c r="F68" s="3"/>
      <c r="G68" s="3"/>
      <c r="H68" s="3"/>
      <c r="I68" s="3"/>
      <c r="J68" s="3"/>
      <c r="K68" s="3"/>
      <c r="L68" s="3"/>
      <c r="M68" s="3"/>
      <c r="N68" s="3"/>
      <c r="O68" s="3"/>
      <c r="P68" s="163"/>
      <c r="Q68" s="163"/>
      <c r="R68" s="163"/>
      <c r="S68" s="163"/>
      <c r="T68" s="163"/>
      <c r="U68" s="163"/>
      <c r="V68" s="163"/>
      <c r="W68" s="163"/>
      <c r="X68" s="163"/>
      <c r="Y68" s="163"/>
      <c r="Z68" s="163"/>
      <c r="AA68" s="163"/>
      <c r="AB68" s="163"/>
      <c r="AC68" s="163"/>
      <c r="AD68" s="3"/>
      <c r="AE68" s="3"/>
      <c r="AF68" s="3"/>
      <c r="AG68" s="3"/>
      <c r="AH68" s="3"/>
      <c r="AI68" s="3"/>
      <c r="AJ68" s="3"/>
      <c r="AK68" s="3"/>
      <c r="AL68" s="3"/>
      <c r="AM68" s="3"/>
      <c r="AN68" s="3"/>
      <c r="AO68" s="3"/>
      <c r="AP68" s="3"/>
      <c r="AQ68" s="3"/>
      <c r="AR68" s="3"/>
      <c r="AS68" s="3"/>
      <c r="AT68" s="3"/>
      <c r="AU68" s="3"/>
      <c r="AV68" s="3"/>
      <c r="AW68" s="3"/>
      <c r="AX68" s="3"/>
      <c r="AY68" s="3"/>
    </row>
    <row r="69" ht="15.75" customHeight="1">
      <c r="A69" s="3"/>
      <c r="B69" s="3"/>
      <c r="C69" s="3"/>
      <c r="D69" s="3"/>
      <c r="E69" s="3"/>
      <c r="F69" s="3"/>
      <c r="G69" s="3"/>
      <c r="H69" s="3"/>
      <c r="I69" s="3"/>
      <c r="J69" s="3"/>
      <c r="K69" s="3"/>
      <c r="L69" s="3"/>
      <c r="M69" s="3"/>
      <c r="N69" s="3"/>
      <c r="O69" s="3"/>
      <c r="P69" s="163"/>
      <c r="Q69" s="163"/>
      <c r="R69" s="163"/>
      <c r="S69" s="163"/>
      <c r="T69" s="163"/>
      <c r="U69" s="163"/>
      <c r="V69" s="163"/>
      <c r="W69" s="163"/>
      <c r="X69" s="163"/>
      <c r="Y69" s="163"/>
      <c r="Z69" s="163"/>
      <c r="AA69" s="163"/>
      <c r="AB69" s="163"/>
      <c r="AC69" s="163"/>
      <c r="AD69" s="3"/>
      <c r="AE69" s="3"/>
      <c r="AF69" s="3"/>
      <c r="AG69" s="3"/>
      <c r="AH69" s="3"/>
      <c r="AI69" s="3"/>
      <c r="AJ69" s="3"/>
      <c r="AK69" s="3"/>
      <c r="AL69" s="3"/>
      <c r="AM69" s="3"/>
      <c r="AN69" s="3"/>
      <c r="AO69" s="3"/>
      <c r="AP69" s="3"/>
      <c r="AQ69" s="3"/>
      <c r="AR69" s="3"/>
      <c r="AS69" s="3"/>
      <c r="AT69" s="3"/>
      <c r="AU69" s="3"/>
      <c r="AV69" s="3"/>
      <c r="AW69" s="3"/>
      <c r="AX69" s="3"/>
      <c r="AY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row>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33">
    <mergeCell ref="G13:G19"/>
    <mergeCell ref="J13:J19"/>
    <mergeCell ref="I15:I19"/>
    <mergeCell ref="K13:K14"/>
    <mergeCell ref="L13:L14"/>
    <mergeCell ref="L11:L12"/>
    <mergeCell ref="K15:K19"/>
    <mergeCell ref="L15:L19"/>
    <mergeCell ref="E13:E24"/>
    <mergeCell ref="F21:F24"/>
    <mergeCell ref="C26:C40"/>
    <mergeCell ref="D26:D40"/>
    <mergeCell ref="G26:G31"/>
    <mergeCell ref="H26:H31"/>
    <mergeCell ref="H36:H38"/>
    <mergeCell ref="I36:I38"/>
    <mergeCell ref="J36:J38"/>
    <mergeCell ref="N36:N38"/>
    <mergeCell ref="O36:O38"/>
    <mergeCell ref="P36:P38"/>
    <mergeCell ref="M21:M24"/>
    <mergeCell ref="H22:H24"/>
    <mergeCell ref="I22:I23"/>
    <mergeCell ref="J23:J24"/>
    <mergeCell ref="O27:O28"/>
    <mergeCell ref="P27:P28"/>
    <mergeCell ref="Q27:Q28"/>
    <mergeCell ref="M32:M34"/>
    <mergeCell ref="G36:G38"/>
    <mergeCell ref="M11:M12"/>
    <mergeCell ref="A13:A40"/>
    <mergeCell ref="B13:B40"/>
    <mergeCell ref="C13:C24"/>
    <mergeCell ref="D13:D24"/>
    <mergeCell ref="M13:M14"/>
    <mergeCell ref="M15:M19"/>
    <mergeCell ref="E26:E40"/>
    <mergeCell ref="F26:F31"/>
    <mergeCell ref="F32:F34"/>
    <mergeCell ref="F36:F38"/>
    <mergeCell ref="I26:I28"/>
    <mergeCell ref="J27:J31"/>
    <mergeCell ref="I29:I31"/>
    <mergeCell ref="K27:K28"/>
    <mergeCell ref="L27:L28"/>
    <mergeCell ref="M27:M28"/>
    <mergeCell ref="K29:K31"/>
    <mergeCell ref="L29:L31"/>
    <mergeCell ref="M29:M31"/>
    <mergeCell ref="G32:G34"/>
    <mergeCell ref="H32:H34"/>
    <mergeCell ref="I32:I34"/>
    <mergeCell ref="J32:J34"/>
    <mergeCell ref="Z40:AA40"/>
    <mergeCell ref="Z41:AA41"/>
    <mergeCell ref="K32:K33"/>
    <mergeCell ref="L32:L34"/>
    <mergeCell ref="U36:U38"/>
    <mergeCell ref="Y36:Y38"/>
    <mergeCell ref="Z36:AA36"/>
    <mergeCell ref="Z37:AA37"/>
    <mergeCell ref="Z38:AA38"/>
    <mergeCell ref="AX11:AY12"/>
    <mergeCell ref="AX13:AY14"/>
    <mergeCell ref="AN9:AQ9"/>
    <mergeCell ref="AR9:AU9"/>
    <mergeCell ref="AX9:AY9"/>
    <mergeCell ref="AX10:AY10"/>
    <mergeCell ref="AN13:AQ14"/>
    <mergeCell ref="AR13:AU13"/>
    <mergeCell ref="AV13:AW13"/>
    <mergeCell ref="C1:AA1"/>
    <mergeCell ref="I7:J9"/>
    <mergeCell ref="Z7:AE7"/>
    <mergeCell ref="AF7:AU7"/>
    <mergeCell ref="AV7:AW7"/>
    <mergeCell ref="Z9:AA9"/>
    <mergeCell ref="AB9:AE9"/>
    <mergeCell ref="AV9:AW9"/>
    <mergeCell ref="N11:N12"/>
    <mergeCell ref="O11:O12"/>
    <mergeCell ref="P11:P12"/>
    <mergeCell ref="Q11:Q12"/>
    <mergeCell ref="U11:U12"/>
    <mergeCell ref="Y11:Y12"/>
    <mergeCell ref="N13:N14"/>
    <mergeCell ref="O13:O14"/>
    <mergeCell ref="P13:P14"/>
    <mergeCell ref="Q13:Q14"/>
    <mergeCell ref="AR14:AU14"/>
    <mergeCell ref="AV14:AW14"/>
    <mergeCell ref="K11:K12"/>
    <mergeCell ref="N15:N19"/>
    <mergeCell ref="Z15:AA19"/>
    <mergeCell ref="AB15:AE19"/>
    <mergeCell ref="AF15:AI19"/>
    <mergeCell ref="AJ15:AM19"/>
    <mergeCell ref="AN15:AQ19"/>
    <mergeCell ref="AR15:AU19"/>
    <mergeCell ref="AV15:AW19"/>
    <mergeCell ref="AX15:AY19"/>
    <mergeCell ref="AF9:AI9"/>
    <mergeCell ref="AJ9:AM9"/>
    <mergeCell ref="F11:F19"/>
    <mergeCell ref="H11:H19"/>
    <mergeCell ref="I11:I14"/>
    <mergeCell ref="J11:J12"/>
    <mergeCell ref="AJ13:AM14"/>
    <mergeCell ref="AB13:AE14"/>
    <mergeCell ref="AF13:AI14"/>
    <mergeCell ref="Y13:Y14"/>
    <mergeCell ref="Z13:AA14"/>
    <mergeCell ref="Z21:AA21"/>
    <mergeCell ref="AB21:AE21"/>
    <mergeCell ref="AF21:AI21"/>
    <mergeCell ref="AJ21:AM21"/>
    <mergeCell ref="AN21:AQ21"/>
    <mergeCell ref="AB22:AE22"/>
    <mergeCell ref="AF22:AI22"/>
    <mergeCell ref="AJ22:AM22"/>
    <mergeCell ref="AN22:AQ22"/>
    <mergeCell ref="AR22:AU22"/>
    <mergeCell ref="AV22:AW22"/>
    <mergeCell ref="AX22:AY22"/>
    <mergeCell ref="Z22:AA22"/>
    <mergeCell ref="Z23:AA23"/>
    <mergeCell ref="AB23:AE23"/>
    <mergeCell ref="AF23:AI23"/>
    <mergeCell ref="AJ23:AM23"/>
    <mergeCell ref="AN23:AQ23"/>
    <mergeCell ref="AR23:AU23"/>
    <mergeCell ref="V27:V28"/>
    <mergeCell ref="Y27:Y28"/>
    <mergeCell ref="U29:U31"/>
    <mergeCell ref="V29:V31"/>
    <mergeCell ref="Y29:Y31"/>
    <mergeCell ref="Z29:AA31"/>
    <mergeCell ref="Z24:AA24"/>
    <mergeCell ref="AB24:AE24"/>
    <mergeCell ref="AF24:AI24"/>
    <mergeCell ref="AJ24:AM24"/>
    <mergeCell ref="AX24:AY24"/>
    <mergeCell ref="Z26:AA26"/>
    <mergeCell ref="U27:U28"/>
    <mergeCell ref="AX27:AY28"/>
    <mergeCell ref="AV29:AW31"/>
    <mergeCell ref="AX29:AY31"/>
    <mergeCell ref="Z27:AA28"/>
    <mergeCell ref="AB27:AE28"/>
    <mergeCell ref="AB29:AE31"/>
    <mergeCell ref="AF29:AI31"/>
    <mergeCell ref="AJ29:AM31"/>
    <mergeCell ref="AN29:AQ31"/>
    <mergeCell ref="AR29:AU31"/>
    <mergeCell ref="Z11:AA12"/>
    <mergeCell ref="AB11:AE11"/>
    <mergeCell ref="AB12:AE12"/>
    <mergeCell ref="U13:U14"/>
    <mergeCell ref="V13:V14"/>
    <mergeCell ref="O15:O19"/>
    <mergeCell ref="P15:P19"/>
    <mergeCell ref="Q15:Q19"/>
    <mergeCell ref="U15:U19"/>
    <mergeCell ref="V15:V19"/>
    <mergeCell ref="Y15:Y19"/>
    <mergeCell ref="AR21:AU21"/>
    <mergeCell ref="AV21:AW21"/>
    <mergeCell ref="AX21:AY21"/>
    <mergeCell ref="AV23:AW23"/>
    <mergeCell ref="AX23:AY23"/>
    <mergeCell ref="AJ34:AM34"/>
    <mergeCell ref="AN34:AQ34"/>
    <mergeCell ref="AR34:AU34"/>
    <mergeCell ref="AB36:AE36"/>
    <mergeCell ref="AF36:AI36"/>
    <mergeCell ref="AJ36:AM38"/>
    <mergeCell ref="AN36:AQ38"/>
    <mergeCell ref="AB38:AE38"/>
    <mergeCell ref="AF38:AI38"/>
    <mergeCell ref="AB40:AE40"/>
    <mergeCell ref="AF40:AI40"/>
    <mergeCell ref="AJ40:AM40"/>
    <mergeCell ref="AN40:AQ40"/>
    <mergeCell ref="AR40:AU40"/>
    <mergeCell ref="AB41:AE41"/>
    <mergeCell ref="AJ41:AM41"/>
    <mergeCell ref="AN41:AQ41"/>
    <mergeCell ref="AR41:AU41"/>
    <mergeCell ref="AV41:AW41"/>
    <mergeCell ref="AX41:AY41"/>
    <mergeCell ref="AQ43:AU44"/>
    <mergeCell ref="Z49:AA49"/>
    <mergeCell ref="Z50:AA50"/>
    <mergeCell ref="Z51:AA51"/>
    <mergeCell ref="Z52:AA52"/>
    <mergeCell ref="Z53:AA53"/>
    <mergeCell ref="AF41:AI41"/>
    <mergeCell ref="AG44:AJ45"/>
    <mergeCell ref="Z46:AA46"/>
    <mergeCell ref="P47:Q47"/>
    <mergeCell ref="Z47:AA47"/>
    <mergeCell ref="P48:Q48"/>
    <mergeCell ref="Z48:AA48"/>
    <mergeCell ref="N27:N28"/>
    <mergeCell ref="N29:N31"/>
    <mergeCell ref="O29:O31"/>
    <mergeCell ref="P29:P31"/>
    <mergeCell ref="Q29:Q31"/>
    <mergeCell ref="N32:N33"/>
    <mergeCell ref="O32:O33"/>
    <mergeCell ref="P32:P33"/>
    <mergeCell ref="Q32:Q33"/>
    <mergeCell ref="S32:S33"/>
    <mergeCell ref="T32:T33"/>
    <mergeCell ref="U32:U33"/>
    <mergeCell ref="V32:V33"/>
    <mergeCell ref="W32:W33"/>
    <mergeCell ref="AR32:AU33"/>
    <mergeCell ref="AX32:AY32"/>
    <mergeCell ref="X32:X33"/>
    <mergeCell ref="Y32:Y33"/>
    <mergeCell ref="Z32:AA32"/>
    <mergeCell ref="AB32:AE33"/>
    <mergeCell ref="AF32:AI33"/>
    <mergeCell ref="AJ32:AM33"/>
    <mergeCell ref="AN32:AQ33"/>
    <mergeCell ref="AR36:AU38"/>
    <mergeCell ref="AV36:AW38"/>
    <mergeCell ref="AX36:AY38"/>
    <mergeCell ref="AB37:AE37"/>
    <mergeCell ref="AF37:AI37"/>
    <mergeCell ref="AV40:AW40"/>
    <mergeCell ref="AX40:AY40"/>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1" max="1" width="19.57"/>
    <col customWidth="1" min="2" max="2" width="31.29"/>
    <col customWidth="1" min="3" max="3" width="23.86"/>
    <col customWidth="1" min="4" max="4" width="18.71"/>
    <col customWidth="1" min="5" max="5" width="26.43"/>
    <col customWidth="1" min="6" max="6" width="27.14"/>
    <col customWidth="1" min="7" max="7" width="22.0"/>
    <col customWidth="1" min="8" max="8" width="25.43"/>
    <col customWidth="1" min="9" max="9" width="32.71"/>
    <col customWidth="1" min="10" max="10" width="34.43"/>
    <col customWidth="1" min="11" max="11" width="75.0"/>
    <col customWidth="1" min="12" max="12" width="35.14"/>
    <col customWidth="1" min="14" max="14" width="43.57"/>
    <col customWidth="1" min="17" max="17" width="25.86"/>
    <col customWidth="1" min="26" max="26" width="23.29"/>
    <col customWidth="1" min="27" max="29" width="6.14"/>
    <col customWidth="1" min="30" max="30" width="22.14"/>
    <col customWidth="1" min="31" max="36" width="6.14"/>
    <col customWidth="1" min="37" max="37" width="9.43"/>
    <col customWidth="1" min="38" max="40" width="6.14"/>
    <col customWidth="1" min="41" max="41" width="18.14"/>
    <col customWidth="1" min="42" max="42" width="6.14"/>
    <col customWidth="1" min="43" max="43" width="20.86"/>
    <col customWidth="1" min="44" max="45" width="6.14"/>
  </cols>
  <sheetData>
    <row r="1" ht="49.5" customHeight="1">
      <c r="A1" s="1"/>
      <c r="B1" s="2"/>
      <c r="C1" s="2"/>
    </row>
    <row r="2" ht="15.75" customHeight="1">
      <c r="A2" s="3"/>
      <c r="B2" s="3"/>
      <c r="C2" s="3"/>
      <c r="D2" s="3"/>
      <c r="E2" s="3"/>
      <c r="F2" s="3"/>
      <c r="G2" s="3"/>
      <c r="H2" s="3"/>
      <c r="I2" s="3"/>
      <c r="J2" s="3"/>
      <c r="K2" s="3"/>
      <c r="L2" s="3"/>
      <c r="M2" s="4"/>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row>
    <row r="3" ht="15.75" customHeight="1">
      <c r="A3" s="220" t="s">
        <v>0</v>
      </c>
      <c r="B3" s="221" t="s">
        <v>1</v>
      </c>
      <c r="C3" s="9"/>
      <c r="D3" s="172"/>
      <c r="E3" s="7"/>
      <c r="F3" s="3"/>
      <c r="G3" s="3"/>
      <c r="H3" s="3"/>
      <c r="I3" s="3"/>
      <c r="J3" s="3"/>
      <c r="K3" s="3"/>
      <c r="L3" s="3"/>
      <c r="M3" s="3"/>
      <c r="N3" s="3"/>
      <c r="O3" s="3"/>
      <c r="P3" s="3"/>
      <c r="Q3" s="3"/>
      <c r="R3" s="3"/>
      <c r="S3" s="3"/>
      <c r="T3" s="3"/>
      <c r="U3" s="3"/>
      <c r="V3" s="3"/>
      <c r="W3" s="3"/>
      <c r="X3" s="3"/>
      <c r="Y3" s="3"/>
      <c r="Z3" s="3"/>
      <c r="AA3" s="222" t="s">
        <v>179</v>
      </c>
      <c r="AE3" s="223" t="s">
        <v>179</v>
      </c>
      <c r="AO3" s="3"/>
      <c r="AP3" s="3"/>
      <c r="AQ3" s="3"/>
      <c r="AR3" s="3"/>
      <c r="AS3" s="3"/>
    </row>
    <row r="4" ht="15.75" customHeight="1">
      <c r="A4" s="191"/>
      <c r="B4" s="191"/>
      <c r="C4" s="173"/>
      <c r="D4" s="172"/>
      <c r="E4" s="8"/>
      <c r="F4" s="3"/>
      <c r="G4" s="3"/>
      <c r="H4" s="3"/>
      <c r="I4" s="3"/>
      <c r="J4" s="3"/>
      <c r="K4" s="3"/>
      <c r="L4" s="3"/>
      <c r="M4" s="3"/>
      <c r="N4" s="3"/>
      <c r="O4" s="3"/>
      <c r="P4" s="3"/>
      <c r="Q4" s="3"/>
      <c r="R4" s="9"/>
      <c r="S4" s="9"/>
      <c r="T4" s="9"/>
      <c r="U4" s="9"/>
      <c r="V4" s="10"/>
      <c r="W4" s="9"/>
      <c r="X4" s="9"/>
      <c r="Y4" s="9"/>
      <c r="Z4" s="9"/>
      <c r="AA4" s="224" t="s">
        <v>180</v>
      </c>
      <c r="AE4" s="225" t="s">
        <v>181</v>
      </c>
      <c r="AO4" s="9"/>
      <c r="AP4" s="9"/>
      <c r="AQ4" s="9"/>
      <c r="AR4" s="9"/>
      <c r="AS4" s="9"/>
    </row>
    <row r="5" ht="15.75" customHeight="1">
      <c r="A5" s="226" t="s">
        <v>4</v>
      </c>
      <c r="B5" s="227">
        <v>1910200.0</v>
      </c>
      <c r="C5" s="175">
        <v>2198126.0</v>
      </c>
      <c r="D5" s="172"/>
      <c r="E5" s="12"/>
      <c r="F5" s="3"/>
      <c r="G5" s="3"/>
      <c r="H5" s="3"/>
      <c r="I5" s="3"/>
      <c r="J5" s="3"/>
      <c r="K5" s="3"/>
      <c r="L5" s="3"/>
      <c r="M5" s="3"/>
      <c r="N5" s="3"/>
      <c r="O5" s="3"/>
      <c r="P5" s="3"/>
      <c r="Q5" s="3"/>
      <c r="R5" s="9"/>
      <c r="S5" s="9"/>
      <c r="T5" s="9"/>
      <c r="U5" s="9"/>
      <c r="V5" s="10"/>
      <c r="W5" s="13"/>
      <c r="X5" s="9"/>
      <c r="Y5" s="9"/>
      <c r="Z5" s="9"/>
      <c r="AA5" s="228"/>
      <c r="AB5" s="228"/>
      <c r="AC5" s="228"/>
      <c r="AD5" s="229" t="s">
        <v>182</v>
      </c>
      <c r="AE5" s="228"/>
      <c r="AF5" s="228"/>
      <c r="AG5" s="228"/>
      <c r="AH5" s="228"/>
      <c r="AI5" s="228"/>
      <c r="AJ5" s="228"/>
      <c r="AK5" s="228"/>
      <c r="AL5" s="228"/>
      <c r="AM5" s="228"/>
      <c r="AN5" s="228"/>
      <c r="AO5" s="9"/>
      <c r="AP5" s="9"/>
      <c r="AQ5" s="9"/>
      <c r="AR5" s="9"/>
      <c r="AS5" s="9"/>
    </row>
    <row r="6" ht="15.75" customHeight="1">
      <c r="A6" s="170" t="s">
        <v>5</v>
      </c>
      <c r="B6" s="171" t="s">
        <v>6</v>
      </c>
      <c r="C6" s="176"/>
      <c r="D6" s="172"/>
      <c r="E6" s="8"/>
      <c r="F6" s="3"/>
      <c r="G6" s="3"/>
      <c r="H6" s="3"/>
      <c r="I6" s="3"/>
      <c r="J6" s="3"/>
      <c r="K6" s="3"/>
      <c r="L6" s="3"/>
      <c r="M6" s="3"/>
      <c r="N6" s="3"/>
      <c r="O6" s="3"/>
      <c r="P6" s="3"/>
      <c r="Q6" s="3"/>
      <c r="R6" s="9"/>
      <c r="S6" s="9"/>
      <c r="T6" s="9"/>
      <c r="U6" s="15"/>
      <c r="V6" s="10"/>
      <c r="W6" s="10"/>
      <c r="X6" s="9"/>
      <c r="Y6" s="9"/>
      <c r="Z6" s="9"/>
      <c r="AA6" s="230"/>
      <c r="AB6" s="230"/>
      <c r="AC6" s="230"/>
      <c r="AD6" s="229" t="s">
        <v>183</v>
      </c>
      <c r="AE6" s="230"/>
      <c r="AF6" s="230"/>
      <c r="AG6" s="230"/>
      <c r="AH6" s="230"/>
      <c r="AI6" s="230"/>
      <c r="AJ6" s="230"/>
      <c r="AK6" s="230"/>
      <c r="AL6" s="230"/>
      <c r="AM6" s="230"/>
      <c r="AN6" s="230"/>
      <c r="AO6" s="16"/>
      <c r="AP6" s="16"/>
      <c r="AQ6" s="16"/>
      <c r="AR6" s="16"/>
      <c r="AS6" s="16"/>
    </row>
    <row r="7" ht="15.75" customHeight="1">
      <c r="A7" s="9"/>
      <c r="B7" s="171" t="s">
        <v>7</v>
      </c>
      <c r="C7" s="178" t="s">
        <v>8</v>
      </c>
      <c r="D7" s="172"/>
      <c r="E7" s="7"/>
      <c r="I7" s="231"/>
      <c r="K7" s="3"/>
      <c r="L7" s="3"/>
      <c r="M7" s="3"/>
      <c r="N7" s="3"/>
      <c r="O7" s="3"/>
      <c r="P7" s="3"/>
      <c r="Q7" s="3"/>
      <c r="R7" s="9"/>
      <c r="S7" s="9"/>
      <c r="T7" s="9"/>
      <c r="U7" s="9"/>
      <c r="V7" s="9"/>
      <c r="W7" s="9"/>
      <c r="X7" s="9"/>
      <c r="Y7" s="9"/>
      <c r="Z7" s="9"/>
      <c r="AA7" s="18" t="s">
        <v>9</v>
      </c>
      <c r="AG7" s="19" t="s">
        <v>10</v>
      </c>
      <c r="AO7" s="16"/>
      <c r="AP7" s="16"/>
      <c r="AQ7" s="16"/>
      <c r="AR7" s="16"/>
      <c r="AS7" s="16"/>
    </row>
    <row r="8" ht="15.75" customHeight="1">
      <c r="A8" s="9"/>
      <c r="B8" s="180" t="s">
        <v>12</v>
      </c>
      <c r="C8" s="181" t="s">
        <v>13</v>
      </c>
      <c r="D8" s="181" t="s">
        <v>14</v>
      </c>
      <c r="E8" s="182"/>
      <c r="K8" s="7"/>
      <c r="L8" s="9"/>
      <c r="M8" s="9"/>
      <c r="N8" s="9"/>
      <c r="O8" s="9"/>
      <c r="P8" s="9"/>
      <c r="Q8" s="9"/>
      <c r="R8" s="23"/>
      <c r="S8" s="23"/>
      <c r="T8" s="23"/>
      <c r="U8" s="23"/>
      <c r="V8" s="23"/>
      <c r="W8" s="23"/>
      <c r="X8" s="23"/>
      <c r="Y8" s="23"/>
      <c r="Z8" s="23"/>
      <c r="AA8" s="232" t="s">
        <v>19</v>
      </c>
      <c r="AB8" s="233"/>
      <c r="AC8" s="234"/>
      <c r="AD8" s="232" t="s">
        <v>20</v>
      </c>
      <c r="AE8" s="233"/>
      <c r="AF8" s="233"/>
      <c r="AG8" s="232" t="s">
        <v>21</v>
      </c>
      <c r="AH8" s="233"/>
      <c r="AI8" s="233"/>
      <c r="AJ8" s="234"/>
      <c r="AK8" s="232" t="s">
        <v>22</v>
      </c>
      <c r="AL8" s="233"/>
      <c r="AM8" s="233"/>
      <c r="AN8" s="234"/>
      <c r="AO8" s="232" t="s">
        <v>25</v>
      </c>
      <c r="AP8" s="234"/>
      <c r="AQ8" s="27"/>
      <c r="AR8" s="27"/>
      <c r="AS8" s="27"/>
    </row>
    <row r="9" ht="15.75" customHeight="1">
      <c r="A9" s="9"/>
      <c r="B9" s="183">
        <v>1.6E7</v>
      </c>
      <c r="C9" s="183">
        <f>B9*D9</f>
        <v>9760000</v>
      </c>
      <c r="D9" s="184">
        <v>0.61</v>
      </c>
      <c r="E9" s="7"/>
      <c r="K9" s="7"/>
      <c r="L9" s="9"/>
      <c r="M9" s="9"/>
      <c r="N9" s="9"/>
      <c r="O9" s="9"/>
      <c r="P9" s="9"/>
      <c r="Q9" s="9"/>
      <c r="R9" s="23"/>
      <c r="S9" s="23"/>
      <c r="T9" s="23"/>
      <c r="U9" s="23" t="s">
        <v>16</v>
      </c>
      <c r="V9" s="23"/>
      <c r="W9" s="23"/>
      <c r="X9" s="23"/>
      <c r="Y9" s="23" t="s">
        <v>17</v>
      </c>
      <c r="Z9" s="235" t="s">
        <v>184</v>
      </c>
      <c r="AA9" s="236" t="s">
        <v>14</v>
      </c>
      <c r="AB9" s="233"/>
      <c r="AC9" s="234"/>
      <c r="AD9" s="236" t="s">
        <v>14</v>
      </c>
      <c r="AE9" s="233"/>
      <c r="AF9" s="234"/>
      <c r="AG9" s="236" t="s">
        <v>14</v>
      </c>
      <c r="AH9" s="233"/>
      <c r="AI9" s="233"/>
      <c r="AJ9" s="233"/>
      <c r="AK9" s="237" t="s">
        <v>14</v>
      </c>
      <c r="AL9" s="233"/>
      <c r="AM9" s="233"/>
      <c r="AN9" s="234"/>
      <c r="AO9" s="238">
        <v>0.61</v>
      </c>
      <c r="AP9" s="234"/>
      <c r="AQ9" s="27"/>
      <c r="AR9" s="27"/>
      <c r="AS9" s="27"/>
    </row>
    <row r="10" ht="15.75" customHeight="1">
      <c r="A10" s="239" t="s">
        <v>26</v>
      </c>
      <c r="B10" s="240"/>
      <c r="C10" s="34" t="s">
        <v>5</v>
      </c>
      <c r="D10" s="34" t="s">
        <v>27</v>
      </c>
      <c r="E10" s="35" t="s">
        <v>28</v>
      </c>
      <c r="F10" s="36" t="s">
        <v>29</v>
      </c>
      <c r="G10" s="36" t="s">
        <v>30</v>
      </c>
      <c r="H10" s="36" t="s">
        <v>31</v>
      </c>
      <c r="I10" s="36"/>
      <c r="J10" s="36"/>
      <c r="K10" s="36" t="s">
        <v>32</v>
      </c>
      <c r="L10" s="37" t="s">
        <v>33</v>
      </c>
      <c r="M10" s="37" t="s">
        <v>36</v>
      </c>
      <c r="N10" s="37" t="s">
        <v>185</v>
      </c>
      <c r="O10" s="37" t="s">
        <v>37</v>
      </c>
      <c r="P10" s="37" t="s">
        <v>38</v>
      </c>
      <c r="Q10" s="37" t="s">
        <v>39</v>
      </c>
      <c r="R10" s="37" t="s">
        <v>40</v>
      </c>
      <c r="S10" s="37" t="s">
        <v>148</v>
      </c>
      <c r="T10" s="37" t="s">
        <v>41</v>
      </c>
      <c r="U10" s="37" t="s">
        <v>42</v>
      </c>
      <c r="V10" s="37" t="s">
        <v>43</v>
      </c>
      <c r="W10" s="37" t="s">
        <v>44</v>
      </c>
      <c r="X10" s="37" t="s">
        <v>149</v>
      </c>
      <c r="Y10" s="37" t="s">
        <v>46</v>
      </c>
      <c r="Z10" s="37" t="s">
        <v>47</v>
      </c>
      <c r="AA10" s="38" t="s">
        <v>48</v>
      </c>
      <c r="AB10" s="39" t="s">
        <v>49</v>
      </c>
      <c r="AC10" s="39" t="s">
        <v>50</v>
      </c>
      <c r="AD10" s="39" t="s">
        <v>51</v>
      </c>
      <c r="AE10" s="39" t="s">
        <v>48</v>
      </c>
      <c r="AF10" s="40" t="s">
        <v>49</v>
      </c>
      <c r="AG10" s="38" t="s">
        <v>50</v>
      </c>
      <c r="AH10" s="39" t="s">
        <v>51</v>
      </c>
      <c r="AI10" s="39" t="s">
        <v>48</v>
      </c>
      <c r="AJ10" s="40" t="s">
        <v>49</v>
      </c>
      <c r="AK10" s="38" t="s">
        <v>50</v>
      </c>
      <c r="AL10" s="39" t="s">
        <v>51</v>
      </c>
      <c r="AM10" s="39" t="s">
        <v>48</v>
      </c>
      <c r="AN10" s="40" t="s">
        <v>49</v>
      </c>
      <c r="AO10" s="39"/>
      <c r="AQ10" s="39"/>
      <c r="AR10" s="39"/>
      <c r="AS10" s="39"/>
    </row>
    <row r="11" ht="15.75" customHeight="1">
      <c r="A11" s="241" t="s">
        <v>59</v>
      </c>
      <c r="B11" s="242"/>
      <c r="C11" s="43"/>
      <c r="D11" s="44"/>
      <c r="E11" s="45"/>
      <c r="F11" s="46" t="s">
        <v>52</v>
      </c>
      <c r="G11" s="47"/>
      <c r="H11" s="48">
        <f>E13*G13</f>
        <v>573060</v>
      </c>
      <c r="I11" s="46" t="s">
        <v>53</v>
      </c>
      <c r="J11" s="49" t="s">
        <v>150</v>
      </c>
      <c r="K11" s="46" t="s">
        <v>55</v>
      </c>
      <c r="L11" s="50" t="s">
        <v>56</v>
      </c>
      <c r="M11" s="75">
        <v>1.0</v>
      </c>
      <c r="N11" s="243" t="s">
        <v>186</v>
      </c>
      <c r="O11" s="52">
        <v>0.12</v>
      </c>
      <c r="P11" s="53">
        <f>H11*O11</f>
        <v>68767.2</v>
      </c>
      <c r="Q11" s="54" t="s">
        <v>57</v>
      </c>
      <c r="R11" s="55"/>
      <c r="S11" s="56"/>
      <c r="T11" s="56"/>
      <c r="U11" s="56"/>
      <c r="V11" s="57">
        <v>4.85</v>
      </c>
      <c r="W11" s="56"/>
      <c r="X11" s="56"/>
      <c r="Y11" s="56"/>
      <c r="Z11" s="58">
        <f>P11/V11*1000</f>
        <v>14178804.12</v>
      </c>
      <c r="AA11" s="59">
        <f>P11</f>
        <v>68767.2</v>
      </c>
      <c r="AC11" s="60"/>
      <c r="AF11" s="32"/>
      <c r="AG11" s="61"/>
      <c r="AH11" s="60"/>
      <c r="AI11" s="60"/>
      <c r="AJ11" s="62"/>
      <c r="AK11" s="61"/>
      <c r="AL11" s="60"/>
      <c r="AM11" s="60"/>
      <c r="AN11" s="62"/>
      <c r="AO11" s="185">
        <f>SUM(AA11:AN12)</f>
        <v>68767.2</v>
      </c>
      <c r="AQ11" s="188"/>
      <c r="AR11" s="188"/>
      <c r="AS11" s="188"/>
    </row>
    <row r="12" ht="15.75" customHeight="1">
      <c r="A12" s="108"/>
      <c r="B12" s="111"/>
      <c r="C12" s="43"/>
      <c r="D12" s="44"/>
      <c r="E12" s="45"/>
      <c r="F12" s="64"/>
      <c r="G12" s="47"/>
      <c r="H12" s="64"/>
      <c r="I12" s="64"/>
      <c r="K12" s="65"/>
      <c r="M12" s="65"/>
      <c r="N12" s="65"/>
      <c r="O12" s="65"/>
      <c r="P12" s="65"/>
      <c r="Q12" s="65"/>
      <c r="R12" s="65"/>
      <c r="S12" s="56"/>
      <c r="T12" s="56"/>
      <c r="U12" s="56"/>
      <c r="V12" s="65"/>
      <c r="W12" s="56"/>
      <c r="X12" s="56"/>
      <c r="Y12" s="56"/>
      <c r="AA12" s="66"/>
      <c r="AC12" s="60"/>
      <c r="AF12" s="32"/>
      <c r="AG12" s="61"/>
      <c r="AH12" s="60"/>
      <c r="AI12" s="60"/>
      <c r="AJ12" s="62"/>
      <c r="AK12" s="61"/>
      <c r="AL12" s="60"/>
      <c r="AM12" s="60"/>
      <c r="AN12" s="62"/>
      <c r="AQ12" s="188"/>
      <c r="AR12" s="188"/>
      <c r="AS12" s="188"/>
    </row>
    <row r="13" ht="15.75" customHeight="1">
      <c r="A13" s="108"/>
      <c r="B13" s="111"/>
      <c r="C13" s="69" t="s">
        <v>60</v>
      </c>
      <c r="D13" s="70">
        <v>0.6</v>
      </c>
      <c r="E13" s="71">
        <f>V48*D13</f>
        <v>1146120</v>
      </c>
      <c r="F13" s="64"/>
      <c r="G13" s="72">
        <v>0.5</v>
      </c>
      <c r="H13" s="64"/>
      <c r="I13" s="64"/>
      <c r="J13" s="161" t="s">
        <v>151</v>
      </c>
      <c r="K13" s="46" t="s">
        <v>160</v>
      </c>
      <c r="L13" s="208" t="s">
        <v>161</v>
      </c>
      <c r="M13" s="75">
        <v>1.0</v>
      </c>
      <c r="N13" s="243" t="s">
        <v>187</v>
      </c>
      <c r="O13" s="52">
        <v>0.48</v>
      </c>
      <c r="P13" s="53">
        <f>H11*O13</f>
        <v>275068.8</v>
      </c>
      <c r="Q13" s="54" t="s">
        <v>44</v>
      </c>
      <c r="R13" s="57">
        <v>0.07</v>
      </c>
      <c r="S13" s="74"/>
      <c r="T13" s="74"/>
      <c r="U13" s="74"/>
      <c r="V13" s="57">
        <v>4.85</v>
      </c>
      <c r="W13" s="75">
        <f>P13/R13</f>
        <v>3929554.286</v>
      </c>
      <c r="X13" s="74"/>
      <c r="Y13" s="74"/>
      <c r="Z13" s="76">
        <f>P13/V13*1000</f>
        <v>56715216.49</v>
      </c>
      <c r="AA13" s="61"/>
      <c r="AC13" s="77">
        <v>150000.0</v>
      </c>
      <c r="AF13" s="32"/>
      <c r="AG13" s="77">
        <v>90000.0</v>
      </c>
      <c r="AJ13" s="32"/>
      <c r="AK13" s="77">
        <v>35069.0</v>
      </c>
      <c r="AN13" s="32"/>
      <c r="AO13" s="185">
        <f>SUM(AA13:AN14)</f>
        <v>275069</v>
      </c>
      <c r="AQ13" s="185"/>
      <c r="AR13" s="185"/>
      <c r="AS13" s="185"/>
    </row>
    <row r="14" ht="15.75" customHeight="1">
      <c r="A14" s="108"/>
      <c r="B14" s="111"/>
      <c r="C14" s="64"/>
      <c r="D14" s="64"/>
      <c r="E14" s="64"/>
      <c r="F14" s="64"/>
      <c r="G14" s="64"/>
      <c r="H14" s="64"/>
      <c r="I14" s="65"/>
      <c r="J14" s="64"/>
      <c r="K14" s="65"/>
      <c r="L14" s="65"/>
      <c r="M14" s="65"/>
      <c r="N14" s="65"/>
      <c r="O14" s="65"/>
      <c r="P14" s="65"/>
      <c r="Q14" s="65"/>
      <c r="R14" s="65"/>
      <c r="S14" s="74"/>
      <c r="T14" s="74"/>
      <c r="U14" s="74"/>
      <c r="V14" s="65"/>
      <c r="W14" s="65"/>
      <c r="X14" s="74"/>
      <c r="Y14" s="74"/>
      <c r="Z14" s="78"/>
      <c r="AA14" s="66"/>
      <c r="AF14" s="32"/>
      <c r="AJ14" s="32"/>
      <c r="AN14" s="32"/>
      <c r="AQ14" s="185"/>
      <c r="AR14" s="185"/>
      <c r="AS14" s="185"/>
    </row>
    <row r="15" ht="15.75" customHeight="1">
      <c r="A15" s="108"/>
      <c r="B15" s="111"/>
      <c r="C15" s="64"/>
      <c r="D15" s="64"/>
      <c r="E15" s="64"/>
      <c r="F15" s="64"/>
      <c r="G15" s="64"/>
      <c r="H15" s="64"/>
      <c r="I15" s="46" t="s">
        <v>65</v>
      </c>
      <c r="J15" s="64"/>
      <c r="K15" s="46" t="s">
        <v>162</v>
      </c>
      <c r="L15" s="208" t="s">
        <v>161</v>
      </c>
      <c r="M15" s="75">
        <v>2.0</v>
      </c>
      <c r="N15" s="80"/>
      <c r="O15" s="52">
        <v>0.4</v>
      </c>
      <c r="P15" s="53">
        <f>H11*O15</f>
        <v>229224</v>
      </c>
      <c r="Q15" s="54" t="s">
        <v>44</v>
      </c>
      <c r="R15" s="57">
        <v>0.07</v>
      </c>
      <c r="S15" s="74"/>
      <c r="T15" s="74"/>
      <c r="U15" s="74"/>
      <c r="V15" s="57">
        <v>4.85</v>
      </c>
      <c r="W15" s="75">
        <f>P15/R15</f>
        <v>3274628.571</v>
      </c>
      <c r="X15" s="74"/>
      <c r="Y15" s="74"/>
      <c r="Z15" s="76">
        <f>P15/V15*1000</f>
        <v>47262680.41</v>
      </c>
      <c r="AA15" s="61"/>
      <c r="AC15" s="79">
        <v>100000.0</v>
      </c>
      <c r="AF15" s="32"/>
      <c r="AG15" s="79">
        <v>84236.0</v>
      </c>
      <c r="AJ15" s="32"/>
      <c r="AK15" s="79">
        <f>45000-12</f>
        <v>44988</v>
      </c>
      <c r="AN15" s="32"/>
      <c r="AO15" s="185">
        <f>sum(AA15:AN19)</f>
        <v>229224</v>
      </c>
      <c r="AQ15" s="188"/>
      <c r="AR15" s="188"/>
      <c r="AS15" s="188"/>
    </row>
    <row r="16" ht="15.75" customHeight="1">
      <c r="A16" s="108"/>
      <c r="B16" s="111"/>
      <c r="C16" s="64"/>
      <c r="D16" s="64"/>
      <c r="E16" s="64"/>
      <c r="F16" s="64"/>
      <c r="G16" s="64"/>
      <c r="H16" s="64"/>
      <c r="I16" s="64"/>
      <c r="J16" s="64"/>
      <c r="K16" s="64"/>
      <c r="L16" s="64"/>
      <c r="M16" s="64"/>
      <c r="N16" s="80"/>
      <c r="O16" s="64"/>
      <c r="P16" s="64"/>
      <c r="Q16" s="64"/>
      <c r="R16" s="64"/>
      <c r="S16" s="74"/>
      <c r="T16" s="74"/>
      <c r="U16" s="74"/>
      <c r="V16" s="64"/>
      <c r="W16" s="64"/>
      <c r="X16" s="74"/>
      <c r="Y16" s="74"/>
      <c r="Z16" s="108"/>
      <c r="AA16" s="66"/>
      <c r="AC16" s="66"/>
      <c r="AF16" s="32"/>
      <c r="AG16" s="66"/>
      <c r="AJ16" s="32"/>
      <c r="AK16" s="66"/>
      <c r="AN16" s="32"/>
      <c r="AQ16" s="188"/>
      <c r="AR16" s="188"/>
      <c r="AS16" s="188"/>
    </row>
    <row r="17" ht="15.75" customHeight="1">
      <c r="A17" s="108"/>
      <c r="B17" s="111"/>
      <c r="C17" s="64"/>
      <c r="D17" s="64"/>
      <c r="E17" s="64"/>
      <c r="F17" s="64"/>
      <c r="G17" s="64"/>
      <c r="H17" s="64"/>
      <c r="I17" s="64"/>
      <c r="J17" s="64"/>
      <c r="K17" s="64"/>
      <c r="L17" s="64"/>
      <c r="M17" s="64"/>
      <c r="N17" s="80"/>
      <c r="O17" s="64"/>
      <c r="P17" s="64"/>
      <c r="Q17" s="64"/>
      <c r="R17" s="64"/>
      <c r="S17" s="74"/>
      <c r="T17" s="74"/>
      <c r="U17" s="74"/>
      <c r="V17" s="64"/>
      <c r="W17" s="64"/>
      <c r="X17" s="74"/>
      <c r="Y17" s="74"/>
      <c r="Z17" s="108"/>
      <c r="AA17" s="66"/>
      <c r="AC17" s="66"/>
      <c r="AF17" s="32"/>
      <c r="AG17" s="66"/>
      <c r="AJ17" s="32"/>
      <c r="AK17" s="66"/>
      <c r="AN17" s="32"/>
      <c r="AQ17" s="188"/>
      <c r="AR17" s="188"/>
      <c r="AS17" s="188"/>
    </row>
    <row r="18" ht="15.75" customHeight="1">
      <c r="A18" s="108"/>
      <c r="B18" s="111"/>
      <c r="C18" s="64"/>
      <c r="D18" s="64"/>
      <c r="E18" s="64"/>
      <c r="F18" s="64"/>
      <c r="G18" s="64"/>
      <c r="H18" s="64"/>
      <c r="I18" s="64"/>
      <c r="J18" s="64"/>
      <c r="K18" s="64"/>
      <c r="L18" s="64"/>
      <c r="M18" s="64"/>
      <c r="N18" s="80"/>
      <c r="O18" s="64"/>
      <c r="P18" s="64"/>
      <c r="Q18" s="64"/>
      <c r="R18" s="64"/>
      <c r="S18" s="74"/>
      <c r="T18" s="74"/>
      <c r="U18" s="74"/>
      <c r="V18" s="64"/>
      <c r="W18" s="64"/>
      <c r="X18" s="74"/>
      <c r="Y18" s="74"/>
      <c r="Z18" s="108"/>
      <c r="AA18" s="66"/>
      <c r="AC18" s="66"/>
      <c r="AF18" s="32"/>
      <c r="AG18" s="66"/>
      <c r="AJ18" s="32"/>
      <c r="AK18" s="66"/>
      <c r="AN18" s="32"/>
      <c r="AQ18" s="188"/>
      <c r="AR18" s="188"/>
      <c r="AS18" s="188"/>
    </row>
    <row r="19" ht="15.75" customHeight="1">
      <c r="A19" s="108"/>
      <c r="B19" s="111"/>
      <c r="C19" s="64"/>
      <c r="D19" s="64"/>
      <c r="E19" s="64"/>
      <c r="F19" s="65"/>
      <c r="G19" s="65"/>
      <c r="H19" s="65"/>
      <c r="I19" s="65"/>
      <c r="J19" s="65"/>
      <c r="K19" s="65"/>
      <c r="L19" s="65"/>
      <c r="M19" s="65"/>
      <c r="N19" s="80"/>
      <c r="O19" s="65"/>
      <c r="P19" s="65"/>
      <c r="Q19" s="65"/>
      <c r="R19" s="65"/>
      <c r="S19" s="74"/>
      <c r="T19" s="74"/>
      <c r="U19" s="74"/>
      <c r="V19" s="65"/>
      <c r="W19" s="65"/>
      <c r="X19" s="74"/>
      <c r="Y19" s="74"/>
      <c r="Z19" s="78"/>
      <c r="AA19" s="66"/>
      <c r="AC19" s="66"/>
      <c r="AF19" s="32"/>
      <c r="AG19" s="66"/>
      <c r="AJ19" s="32"/>
      <c r="AK19" s="66"/>
      <c r="AN19" s="32"/>
      <c r="AQ19" s="188"/>
      <c r="AR19" s="188"/>
      <c r="AS19" s="188"/>
    </row>
    <row r="20" ht="6.75" customHeight="1">
      <c r="A20" s="108"/>
      <c r="B20" s="111"/>
      <c r="C20" s="64"/>
      <c r="D20" s="64"/>
      <c r="E20" s="64"/>
      <c r="F20" s="87"/>
      <c r="G20" s="88"/>
      <c r="H20" s="87"/>
      <c r="I20" s="87"/>
      <c r="J20" s="87"/>
      <c r="K20" s="89"/>
      <c r="L20" s="90"/>
      <c r="M20" s="91"/>
      <c r="N20" s="90"/>
      <c r="O20" s="90"/>
      <c r="P20" s="92"/>
      <c r="Q20" s="93"/>
      <c r="R20" s="94"/>
      <c r="S20" s="94"/>
      <c r="T20" s="94"/>
      <c r="U20" s="94"/>
      <c r="V20" s="94"/>
      <c r="W20" s="91"/>
      <c r="X20" s="94"/>
      <c r="Y20" s="94"/>
      <c r="Z20" s="95"/>
      <c r="AA20" s="96"/>
      <c r="AB20" s="97"/>
      <c r="AC20" s="97"/>
      <c r="AD20" s="97"/>
      <c r="AE20" s="97"/>
      <c r="AF20" s="98"/>
      <c r="AG20" s="96"/>
      <c r="AH20" s="97"/>
      <c r="AI20" s="97"/>
      <c r="AJ20" s="98"/>
      <c r="AK20" s="96"/>
      <c r="AL20" s="97"/>
      <c r="AM20" s="97"/>
      <c r="AN20" s="98"/>
      <c r="AO20" s="186"/>
      <c r="AP20" s="186"/>
      <c r="AQ20" s="186"/>
      <c r="AR20" s="186"/>
      <c r="AS20" s="186"/>
    </row>
    <row r="21" ht="15.75" customHeight="1">
      <c r="A21" s="108"/>
      <c r="B21" s="111"/>
      <c r="C21" s="64"/>
      <c r="D21" s="64"/>
      <c r="E21" s="64"/>
      <c r="F21" s="99" t="s">
        <v>75</v>
      </c>
      <c r="G21" s="100"/>
      <c r="H21" s="101"/>
      <c r="I21" s="102"/>
      <c r="J21" s="103"/>
      <c r="K21" s="45"/>
      <c r="L21" s="73"/>
      <c r="M21" s="209" t="s">
        <v>163</v>
      </c>
      <c r="N21" s="80"/>
      <c r="O21" s="80"/>
      <c r="P21" s="81"/>
      <c r="Q21" s="82"/>
      <c r="R21" s="74"/>
      <c r="S21" s="83"/>
      <c r="T21" s="74"/>
      <c r="U21" s="74"/>
      <c r="V21" s="74"/>
      <c r="W21" s="74"/>
      <c r="X21" s="51"/>
      <c r="Y21" s="74"/>
      <c r="Z21" s="74"/>
      <c r="AA21" s="61"/>
      <c r="AC21" s="61"/>
      <c r="AF21" s="32"/>
      <c r="AG21" s="61"/>
      <c r="AJ21" s="32"/>
      <c r="AK21" s="61"/>
      <c r="AN21" s="32"/>
      <c r="AO21" s="188" t="str">
        <f>AC21</f>
        <v/>
      </c>
      <c r="AQ21" s="188"/>
      <c r="AR21" s="188"/>
      <c r="AS21" s="188"/>
    </row>
    <row r="22" ht="15.75" customHeight="1">
      <c r="A22" s="108"/>
      <c r="B22" s="111"/>
      <c r="C22" s="64"/>
      <c r="D22" s="64"/>
      <c r="E22" s="64"/>
      <c r="F22" s="64"/>
      <c r="G22" s="100"/>
      <c r="H22" s="104">
        <f>E13*G24</f>
        <v>573060</v>
      </c>
      <c r="I22" s="105" t="s">
        <v>79</v>
      </c>
      <c r="J22" s="106" t="s">
        <v>80</v>
      </c>
      <c r="K22" s="45" t="s">
        <v>81</v>
      </c>
      <c r="L22" s="82" t="s">
        <v>82</v>
      </c>
      <c r="M22" s="64"/>
      <c r="N22" s="80"/>
      <c r="O22" s="80">
        <v>0.35</v>
      </c>
      <c r="P22" s="81">
        <f>H22*O22</f>
        <v>200571</v>
      </c>
      <c r="Q22" s="82" t="s">
        <v>43</v>
      </c>
      <c r="R22" s="74"/>
      <c r="S22" s="74"/>
      <c r="T22" s="74"/>
      <c r="U22" s="74"/>
      <c r="V22" s="81">
        <v>37.0</v>
      </c>
      <c r="W22" s="74"/>
      <c r="X22" s="74"/>
      <c r="Y22" s="74"/>
      <c r="Z22" s="84">
        <f>P22/V22*1000</f>
        <v>5420837.838</v>
      </c>
      <c r="AA22" s="61"/>
      <c r="AC22" s="61"/>
      <c r="AF22" s="32"/>
      <c r="AG22" s="107">
        <v>140000.0</v>
      </c>
      <c r="AJ22" s="32"/>
      <c r="AK22" s="79">
        <v>60571.0</v>
      </c>
      <c r="AN22" s="32"/>
      <c r="AO22" s="185">
        <f t="shared" ref="AO22:AO24" si="1">sum(AA22:AN22)</f>
        <v>200571</v>
      </c>
      <c r="AQ22" s="188"/>
      <c r="AR22" s="188"/>
      <c r="AS22" s="188"/>
    </row>
    <row r="23" ht="15.75" customHeight="1">
      <c r="A23" s="108"/>
      <c r="B23" s="111"/>
      <c r="C23" s="64"/>
      <c r="D23" s="64"/>
      <c r="E23" s="64"/>
      <c r="F23" s="64"/>
      <c r="G23" s="100"/>
      <c r="H23" s="108"/>
      <c r="I23" s="109"/>
      <c r="J23" s="106" t="s">
        <v>77</v>
      </c>
      <c r="K23" s="45" t="s">
        <v>83</v>
      </c>
      <c r="L23" s="73" t="s">
        <v>63</v>
      </c>
      <c r="M23" s="64"/>
      <c r="N23" s="244" t="s">
        <v>188</v>
      </c>
      <c r="O23" s="80">
        <v>0.25</v>
      </c>
      <c r="P23" s="81">
        <f>H22*O23</f>
        <v>143265</v>
      </c>
      <c r="Q23" s="82" t="s">
        <v>148</v>
      </c>
      <c r="R23" s="74"/>
      <c r="S23" s="83">
        <v>0.1</v>
      </c>
      <c r="T23" s="74"/>
      <c r="U23" s="74"/>
      <c r="V23" s="74"/>
      <c r="W23" s="74"/>
      <c r="X23" s="51">
        <f t="shared" ref="X23:X24" si="2">P23/S23</f>
        <v>1432650</v>
      </c>
      <c r="Y23" s="74"/>
      <c r="Z23" s="74"/>
      <c r="AA23" s="61"/>
      <c r="AC23" s="79">
        <v>100000.0</v>
      </c>
      <c r="AF23" s="32"/>
      <c r="AG23" s="79">
        <v>43265.0</v>
      </c>
      <c r="AJ23" s="32"/>
      <c r="AK23" s="61"/>
      <c r="AN23" s="32"/>
      <c r="AO23" s="185">
        <f t="shared" si="1"/>
        <v>143265</v>
      </c>
      <c r="AQ23" s="188"/>
      <c r="AR23" s="188"/>
      <c r="AS23" s="188"/>
    </row>
    <row r="24" ht="15.75" customHeight="1">
      <c r="A24" s="108"/>
      <c r="B24" s="111"/>
      <c r="C24" s="65"/>
      <c r="D24" s="65"/>
      <c r="E24" s="65"/>
      <c r="F24" s="64"/>
      <c r="G24" s="100">
        <v>0.5</v>
      </c>
      <c r="H24" s="108"/>
      <c r="I24" s="110" t="s">
        <v>53</v>
      </c>
      <c r="J24" s="111"/>
      <c r="K24" s="45" t="s">
        <v>78</v>
      </c>
      <c r="L24" s="73" t="s">
        <v>63</v>
      </c>
      <c r="M24" s="65"/>
      <c r="N24" s="80"/>
      <c r="O24" s="80">
        <v>0.4</v>
      </c>
      <c r="P24" s="81">
        <f>H22*O24</f>
        <v>229224</v>
      </c>
      <c r="Q24" s="82" t="s">
        <v>148</v>
      </c>
      <c r="R24" s="74"/>
      <c r="S24" s="83">
        <v>0.1</v>
      </c>
      <c r="T24" s="74"/>
      <c r="U24" s="74"/>
      <c r="V24" s="74"/>
      <c r="W24" s="74"/>
      <c r="X24" s="51">
        <f t="shared" si="2"/>
        <v>2292240</v>
      </c>
      <c r="Y24" s="74"/>
      <c r="Z24" s="74"/>
      <c r="AA24" s="61"/>
      <c r="AC24" s="77">
        <v>133243.0</v>
      </c>
      <c r="AF24" s="32"/>
      <c r="AG24" s="77">
        <v>70000.0</v>
      </c>
      <c r="AJ24" s="32"/>
      <c r="AK24" s="77">
        <v>25980.0</v>
      </c>
      <c r="AN24" s="32"/>
      <c r="AO24" s="185">
        <f t="shared" si="1"/>
        <v>229223</v>
      </c>
      <c r="AQ24" s="188"/>
      <c r="AR24" s="188"/>
      <c r="AS24" s="188"/>
    </row>
    <row r="25" ht="7.5" customHeight="1">
      <c r="A25" s="108"/>
      <c r="B25" s="111"/>
      <c r="C25" s="112"/>
      <c r="D25" s="112"/>
      <c r="E25" s="113"/>
      <c r="F25" s="114"/>
      <c r="G25" s="115"/>
      <c r="H25" s="114"/>
      <c r="I25" s="114"/>
      <c r="J25" s="114"/>
      <c r="K25" s="116"/>
      <c r="L25" s="117"/>
      <c r="M25" s="91"/>
      <c r="N25" s="117"/>
      <c r="O25" s="117"/>
      <c r="P25" s="119"/>
      <c r="Q25" s="120"/>
      <c r="R25" s="121"/>
      <c r="S25" s="121"/>
      <c r="T25" s="121"/>
      <c r="U25" s="121"/>
      <c r="V25" s="121"/>
      <c r="W25" s="118"/>
      <c r="X25" s="121"/>
      <c r="Y25" s="121"/>
      <c r="Z25" s="122"/>
      <c r="AA25" s="123"/>
      <c r="AB25" s="124"/>
      <c r="AC25" s="124"/>
      <c r="AD25" s="124"/>
      <c r="AE25" s="124"/>
      <c r="AF25" s="125"/>
      <c r="AG25" s="123"/>
      <c r="AH25" s="124"/>
      <c r="AI25" s="124"/>
      <c r="AJ25" s="125"/>
      <c r="AK25" s="123"/>
      <c r="AL25" s="124"/>
      <c r="AM25" s="124"/>
      <c r="AN25" s="125"/>
      <c r="AO25" s="187"/>
      <c r="AP25" s="187"/>
      <c r="AQ25" s="187"/>
      <c r="AR25" s="187"/>
      <c r="AS25" s="187"/>
    </row>
    <row r="26" ht="15.75" customHeight="1">
      <c r="A26" s="108"/>
      <c r="B26" s="111"/>
      <c r="C26" s="69" t="s">
        <v>84</v>
      </c>
      <c r="D26" s="70">
        <v>0.4</v>
      </c>
      <c r="E26" s="245">
        <f>V48*D26</f>
        <v>764080</v>
      </c>
      <c r="F26" s="161" t="s">
        <v>135</v>
      </c>
      <c r="G26" s="72">
        <v>0.42</v>
      </c>
      <c r="H26" s="246">
        <f>E26*G26</f>
        <v>320913.6</v>
      </c>
      <c r="I26" s="46" t="s">
        <v>53</v>
      </c>
      <c r="J26" s="126" t="s">
        <v>86</v>
      </c>
      <c r="K26" s="45" t="s">
        <v>87</v>
      </c>
      <c r="L26" s="73" t="s">
        <v>56</v>
      </c>
      <c r="M26" s="51">
        <v>1.0</v>
      </c>
      <c r="N26" s="193" t="s">
        <v>189</v>
      </c>
      <c r="O26" s="80">
        <v>0.2</v>
      </c>
      <c r="P26" s="81">
        <f>H26*O26</f>
        <v>64182.72</v>
      </c>
      <c r="Q26" s="127" t="s">
        <v>88</v>
      </c>
      <c r="R26" s="74"/>
      <c r="S26" s="74"/>
      <c r="T26" s="74"/>
      <c r="U26" s="74"/>
      <c r="V26" s="83">
        <v>2.5</v>
      </c>
      <c r="W26" s="74"/>
      <c r="X26" s="74"/>
      <c r="Y26" s="74"/>
      <c r="Z26" s="84">
        <f t="shared" ref="Z26:Z27" si="3">P26/V26*1000</f>
        <v>25673088</v>
      </c>
      <c r="AA26" s="59">
        <v>25603.0</v>
      </c>
      <c r="AC26" s="77">
        <f>P26-AA26</f>
        <v>38579.72</v>
      </c>
      <c r="AF26" s="32"/>
      <c r="AG26" s="61"/>
      <c r="AH26" s="60"/>
      <c r="AI26" s="60"/>
      <c r="AJ26" s="62"/>
      <c r="AK26" s="61"/>
      <c r="AL26" s="60"/>
      <c r="AM26" s="60"/>
      <c r="AN26" s="62"/>
      <c r="AO26" s="185">
        <f>sum(AA26:AN26)</f>
        <v>64182.72</v>
      </c>
      <c r="AP26" s="188"/>
      <c r="AQ26" s="188"/>
      <c r="AR26" s="188"/>
      <c r="AS26" s="188"/>
    </row>
    <row r="27" ht="15.75" customHeight="1">
      <c r="A27" s="108"/>
      <c r="B27" s="111"/>
      <c r="C27" s="64"/>
      <c r="D27" s="64"/>
      <c r="E27" s="64"/>
      <c r="F27" s="64"/>
      <c r="G27" s="64"/>
      <c r="H27" s="64"/>
      <c r="I27" s="64"/>
      <c r="J27" s="46" t="s">
        <v>89</v>
      </c>
      <c r="K27" s="46" t="s">
        <v>190</v>
      </c>
      <c r="L27" s="208" t="s">
        <v>161</v>
      </c>
      <c r="M27" s="75">
        <v>2.0</v>
      </c>
      <c r="N27" s="80"/>
      <c r="O27" s="52">
        <v>0.3</v>
      </c>
      <c r="P27" s="53">
        <f>H26*O27</f>
        <v>96274.08</v>
      </c>
      <c r="Q27" s="129" t="s">
        <v>191</v>
      </c>
      <c r="R27" s="57">
        <v>0.5</v>
      </c>
      <c r="S27" s="74"/>
      <c r="T27" s="74"/>
      <c r="U27" s="74"/>
      <c r="V27" s="57">
        <v>2.5</v>
      </c>
      <c r="W27" s="75">
        <f>P27/R27</f>
        <v>192548.16</v>
      </c>
      <c r="X27" s="74"/>
      <c r="Y27" s="74"/>
      <c r="Z27" s="76">
        <f t="shared" si="3"/>
        <v>38509632</v>
      </c>
      <c r="AA27" s="61"/>
      <c r="AC27" s="77">
        <v>74183.0</v>
      </c>
      <c r="AF27" s="32"/>
      <c r="AG27" s="77">
        <v>22091.0</v>
      </c>
      <c r="AJ27" s="32"/>
      <c r="AK27" s="61"/>
      <c r="AL27" s="60"/>
      <c r="AM27" s="60"/>
      <c r="AN27" s="62"/>
      <c r="AO27" s="185">
        <f>SUM(AA27:AN28)</f>
        <v>96274</v>
      </c>
      <c r="AQ27" s="188"/>
      <c r="AR27" s="188"/>
      <c r="AS27" s="188"/>
    </row>
    <row r="28" ht="15.75" customHeight="1">
      <c r="A28" s="108"/>
      <c r="B28" s="111"/>
      <c r="C28" s="64"/>
      <c r="D28" s="64"/>
      <c r="E28" s="64"/>
      <c r="F28" s="64"/>
      <c r="G28" s="64"/>
      <c r="H28" s="64"/>
      <c r="I28" s="65"/>
      <c r="J28" s="64"/>
      <c r="K28" s="65"/>
      <c r="L28" s="65"/>
      <c r="M28" s="65"/>
      <c r="N28" s="80"/>
      <c r="O28" s="65"/>
      <c r="P28" s="65"/>
      <c r="Q28" s="65"/>
      <c r="R28" s="65"/>
      <c r="S28" s="74"/>
      <c r="T28" s="74"/>
      <c r="U28" s="74"/>
      <c r="V28" s="65"/>
      <c r="W28" s="65"/>
      <c r="X28" s="74"/>
      <c r="Y28" s="74"/>
      <c r="Z28" s="78"/>
      <c r="AA28" s="66"/>
      <c r="AF28" s="32"/>
      <c r="AJ28" s="32"/>
      <c r="AK28" s="61"/>
      <c r="AL28" s="60"/>
      <c r="AM28" s="60"/>
      <c r="AN28" s="62"/>
      <c r="AQ28" s="188"/>
      <c r="AR28" s="188"/>
      <c r="AS28" s="188"/>
    </row>
    <row r="29" ht="15.75" customHeight="1">
      <c r="A29" s="108"/>
      <c r="B29" s="111"/>
      <c r="C29" s="64"/>
      <c r="D29" s="64"/>
      <c r="E29" s="64"/>
      <c r="F29" s="64"/>
      <c r="G29" s="64"/>
      <c r="H29" s="64"/>
      <c r="I29" s="46" t="s">
        <v>65</v>
      </c>
      <c r="J29" s="64"/>
      <c r="K29" s="46" t="s">
        <v>192</v>
      </c>
      <c r="L29" s="208" t="s">
        <v>161</v>
      </c>
      <c r="M29" s="75">
        <v>1.0</v>
      </c>
      <c r="N29" s="243" t="s">
        <v>193</v>
      </c>
      <c r="O29" s="52">
        <v>0.5</v>
      </c>
      <c r="P29" s="53">
        <f>H26*O29</f>
        <v>160456.8</v>
      </c>
      <c r="Q29" s="129" t="s">
        <v>194</v>
      </c>
      <c r="R29" s="57">
        <v>0.5</v>
      </c>
      <c r="S29" s="74"/>
      <c r="T29" s="74"/>
      <c r="U29" s="74"/>
      <c r="V29" s="57">
        <v>2.5</v>
      </c>
      <c r="W29" s="75">
        <f>P29/R29</f>
        <v>320913.6</v>
      </c>
      <c r="X29" s="74"/>
      <c r="Y29" s="74"/>
      <c r="Z29" s="76">
        <f>P29/V29*1000</f>
        <v>64182720</v>
      </c>
      <c r="AA29" s="61"/>
      <c r="AC29" s="79">
        <v>99169.0</v>
      </c>
      <c r="AF29" s="32"/>
      <c r="AG29" s="79">
        <v>37909.0</v>
      </c>
      <c r="AJ29" s="32"/>
      <c r="AK29" s="79">
        <v>23379.0</v>
      </c>
      <c r="AN29" s="32"/>
      <c r="AO29" s="185">
        <f>sum(AC29:AN31)</f>
        <v>160457</v>
      </c>
      <c r="AQ29" s="188"/>
      <c r="AR29" s="188"/>
      <c r="AS29" s="188"/>
    </row>
    <row r="30" ht="15.75" customHeight="1">
      <c r="A30" s="108"/>
      <c r="B30" s="111"/>
      <c r="C30" s="64"/>
      <c r="D30" s="64"/>
      <c r="E30" s="64"/>
      <c r="F30" s="64"/>
      <c r="G30" s="64"/>
      <c r="H30" s="64"/>
      <c r="I30" s="64"/>
      <c r="J30" s="64"/>
      <c r="K30" s="64"/>
      <c r="L30" s="64"/>
      <c r="M30" s="64"/>
      <c r="N30" s="64"/>
      <c r="O30" s="64"/>
      <c r="P30" s="64"/>
      <c r="Q30" s="64"/>
      <c r="R30" s="64"/>
      <c r="S30" s="74"/>
      <c r="T30" s="74"/>
      <c r="U30" s="74"/>
      <c r="V30" s="64"/>
      <c r="W30" s="64"/>
      <c r="X30" s="74"/>
      <c r="Y30" s="74"/>
      <c r="Z30" s="108"/>
      <c r="AA30" s="66"/>
      <c r="AC30" s="66"/>
      <c r="AF30" s="32"/>
      <c r="AG30" s="66"/>
      <c r="AJ30" s="32"/>
      <c r="AK30" s="66"/>
      <c r="AN30" s="32"/>
      <c r="AQ30" s="188"/>
      <c r="AR30" s="188"/>
      <c r="AS30" s="188"/>
    </row>
    <row r="31" ht="36.0" customHeight="1">
      <c r="A31" s="108"/>
      <c r="B31" s="111"/>
      <c r="C31" s="64"/>
      <c r="D31" s="64"/>
      <c r="E31" s="64"/>
      <c r="F31" s="64"/>
      <c r="G31" s="65"/>
      <c r="H31" s="65"/>
      <c r="I31" s="65"/>
      <c r="J31" s="64"/>
      <c r="K31" s="65"/>
      <c r="L31" s="65"/>
      <c r="M31" s="65"/>
      <c r="N31" s="65"/>
      <c r="O31" s="65"/>
      <c r="P31" s="65"/>
      <c r="Q31" s="65"/>
      <c r="R31" s="65"/>
      <c r="S31" s="74"/>
      <c r="T31" s="74"/>
      <c r="U31" s="74"/>
      <c r="V31" s="65"/>
      <c r="W31" s="65"/>
      <c r="X31" s="74"/>
      <c r="Y31" s="74"/>
      <c r="Z31" s="78"/>
      <c r="AA31" s="66"/>
      <c r="AC31" s="66"/>
      <c r="AF31" s="32"/>
      <c r="AG31" s="66"/>
      <c r="AJ31" s="32"/>
      <c r="AK31" s="66"/>
      <c r="AN31" s="32"/>
      <c r="AQ31" s="185">
        <f>P29-AO29</f>
        <v>-0.2</v>
      </c>
      <c r="AR31" s="188"/>
      <c r="AS31" s="188"/>
    </row>
    <row r="32" ht="15.75" customHeight="1">
      <c r="A32" s="108"/>
      <c r="B32" s="111"/>
      <c r="C32" s="64"/>
      <c r="D32" s="64"/>
      <c r="E32" s="64"/>
      <c r="F32" s="126" t="s">
        <v>154</v>
      </c>
      <c r="G32" s="72">
        <v>0.26</v>
      </c>
      <c r="H32" s="246">
        <f>E26*G32</f>
        <v>198660.8</v>
      </c>
      <c r="I32" s="105" t="s">
        <v>76</v>
      </c>
      <c r="J32" s="46" t="s">
        <v>155</v>
      </c>
      <c r="K32" s="46" t="s">
        <v>104</v>
      </c>
      <c r="L32" s="208" t="s">
        <v>56</v>
      </c>
      <c r="M32" s="75">
        <v>1.0</v>
      </c>
      <c r="N32" s="80"/>
      <c r="O32" s="52">
        <v>0.5</v>
      </c>
      <c r="P32" s="53">
        <f>H32*O32</f>
        <v>99330.4</v>
      </c>
      <c r="Q32" s="54" t="s">
        <v>43</v>
      </c>
      <c r="R32" s="55"/>
      <c r="S32" s="74"/>
      <c r="T32" s="55"/>
      <c r="U32" s="55"/>
      <c r="V32" s="57">
        <v>6.0</v>
      </c>
      <c r="W32" s="189"/>
      <c r="X32" s="55"/>
      <c r="Y32" s="55"/>
      <c r="Z32" s="76">
        <f>P32/V32*1000</f>
        <v>16555066.67</v>
      </c>
      <c r="AA32" s="61"/>
      <c r="AC32" s="134">
        <v>76563.0</v>
      </c>
      <c r="AF32" s="32"/>
      <c r="AG32" s="134">
        <v>22767.0</v>
      </c>
      <c r="AJ32" s="32"/>
      <c r="AK32" s="190"/>
      <c r="AN32" s="32"/>
      <c r="AO32" s="188"/>
      <c r="AQ32" s="188"/>
      <c r="AR32" s="188"/>
      <c r="AS32" s="188"/>
    </row>
    <row r="33" ht="15.75" customHeight="1">
      <c r="A33" s="108"/>
      <c r="B33" s="111"/>
      <c r="C33" s="64"/>
      <c r="D33" s="64"/>
      <c r="E33" s="64"/>
      <c r="F33" s="64"/>
      <c r="G33" s="64"/>
      <c r="H33" s="64"/>
      <c r="I33" s="109"/>
      <c r="J33" s="64"/>
      <c r="K33" s="64"/>
      <c r="L33" s="64"/>
      <c r="M33" s="64"/>
      <c r="N33" s="80"/>
      <c r="O33" s="65"/>
      <c r="P33" s="65"/>
      <c r="Q33" s="65"/>
      <c r="R33" s="65"/>
      <c r="S33" s="74"/>
      <c r="T33" s="65"/>
      <c r="U33" s="65"/>
      <c r="V33" s="65"/>
      <c r="W33" s="65"/>
      <c r="X33" s="65"/>
      <c r="Y33" s="65"/>
      <c r="Z33" s="78"/>
      <c r="AA33" s="61"/>
      <c r="AB33" s="60"/>
      <c r="AF33" s="32"/>
      <c r="AJ33" s="32"/>
      <c r="AK33" s="66"/>
      <c r="AN33" s="32"/>
      <c r="AO33" s="185">
        <f t="shared" ref="AO33:AO34" si="4">sum(AA32:AN33)</f>
        <v>99330</v>
      </c>
      <c r="AP33" s="188"/>
      <c r="AQ33" s="185">
        <f>AO34-AO33</f>
        <v>0</v>
      </c>
      <c r="AR33" s="188"/>
      <c r="AS33" s="188"/>
    </row>
    <row r="34" ht="43.5" customHeight="1">
      <c r="A34" s="108"/>
      <c r="B34" s="111"/>
      <c r="C34" s="64"/>
      <c r="D34" s="64"/>
      <c r="E34" s="64"/>
      <c r="F34" s="65"/>
      <c r="G34" s="65"/>
      <c r="H34" s="65"/>
      <c r="I34" s="191"/>
      <c r="J34" s="65"/>
      <c r="K34" s="192" t="s">
        <v>156</v>
      </c>
      <c r="L34" s="65"/>
      <c r="M34" s="65"/>
      <c r="N34" s="80"/>
      <c r="O34" s="80">
        <v>0.5</v>
      </c>
      <c r="P34" s="81">
        <f>H32*O34</f>
        <v>99330.4</v>
      </c>
      <c r="Q34" s="193" t="s">
        <v>42</v>
      </c>
      <c r="R34" s="74"/>
      <c r="S34" s="74"/>
      <c r="T34" s="74"/>
      <c r="U34" s="83">
        <v>0.8</v>
      </c>
      <c r="V34" s="74"/>
      <c r="W34" s="133"/>
      <c r="X34" s="74"/>
      <c r="Y34" s="51">
        <f>P34/U34</f>
        <v>124163</v>
      </c>
      <c r="Z34" s="194"/>
      <c r="AA34" s="61"/>
      <c r="AB34" s="60"/>
      <c r="AC34" s="134">
        <v>59330.0</v>
      </c>
      <c r="AF34" s="32"/>
      <c r="AG34" s="134">
        <v>20000.0</v>
      </c>
      <c r="AJ34" s="32"/>
      <c r="AK34" s="134">
        <v>20000.0</v>
      </c>
      <c r="AN34" s="32"/>
      <c r="AO34" s="185">
        <f t="shared" si="4"/>
        <v>99330</v>
      </c>
      <c r="AP34" s="188"/>
      <c r="AQ34" s="185">
        <f>P34-AO34</f>
        <v>0.4</v>
      </c>
      <c r="AR34" s="188"/>
      <c r="AS34" s="188"/>
    </row>
    <row r="35" ht="10.5" customHeight="1">
      <c r="A35" s="108"/>
      <c r="B35" s="111"/>
      <c r="C35" s="64"/>
      <c r="D35" s="64"/>
      <c r="E35" s="64"/>
      <c r="F35" s="89"/>
      <c r="G35" s="137"/>
      <c r="H35" s="138"/>
      <c r="I35" s="89"/>
      <c r="J35" s="89"/>
      <c r="K35" s="89"/>
      <c r="L35" s="93"/>
      <c r="M35" s="91"/>
      <c r="N35" s="90"/>
      <c r="O35" s="90"/>
      <c r="P35" s="92"/>
      <c r="Q35" s="93"/>
      <c r="R35" s="94"/>
      <c r="S35" s="94"/>
      <c r="T35" s="94"/>
      <c r="U35" s="94"/>
      <c r="V35" s="94"/>
      <c r="W35" s="91"/>
      <c r="X35" s="94"/>
      <c r="Y35" s="94"/>
      <c r="Z35" s="95"/>
      <c r="AA35" s="96"/>
      <c r="AB35" s="97"/>
      <c r="AC35" s="97"/>
      <c r="AD35" s="97"/>
      <c r="AE35" s="97"/>
      <c r="AF35" s="98"/>
      <c r="AG35" s="96"/>
      <c r="AH35" s="97"/>
      <c r="AI35" s="97"/>
      <c r="AJ35" s="98"/>
      <c r="AK35" s="96"/>
      <c r="AL35" s="97"/>
      <c r="AM35" s="97"/>
      <c r="AN35" s="98"/>
      <c r="AO35" s="186"/>
      <c r="AP35" s="186"/>
      <c r="AQ35" s="186"/>
      <c r="AR35" s="186"/>
      <c r="AS35" s="186"/>
    </row>
    <row r="36" ht="15.75" customHeight="1">
      <c r="A36" s="108"/>
      <c r="B36" s="111"/>
      <c r="C36" s="64"/>
      <c r="D36" s="64"/>
      <c r="E36" s="64"/>
      <c r="F36" s="46" t="s">
        <v>105</v>
      </c>
      <c r="G36" s="72">
        <v>0.12</v>
      </c>
      <c r="H36" s="48">
        <f>E26*G36</f>
        <v>91689.6</v>
      </c>
      <c r="I36" s="46" t="s">
        <v>71</v>
      </c>
      <c r="J36" s="46" t="s">
        <v>106</v>
      </c>
      <c r="K36" s="46" t="s">
        <v>195</v>
      </c>
      <c r="L36" s="54" t="s">
        <v>168</v>
      </c>
      <c r="M36" s="75">
        <v>1.0</v>
      </c>
      <c r="N36" s="80"/>
      <c r="O36" s="52">
        <v>1.0</v>
      </c>
      <c r="P36" s="53">
        <f>H36*O36</f>
        <v>91689.6</v>
      </c>
      <c r="Q36" s="54" t="s">
        <v>59</v>
      </c>
      <c r="R36" s="74"/>
      <c r="S36" s="74"/>
      <c r="T36" s="74"/>
      <c r="U36" s="74"/>
      <c r="V36" s="57">
        <f>45/18.77</f>
        <v>2.397442728</v>
      </c>
      <c r="W36" s="133"/>
      <c r="X36" s="74"/>
      <c r="Y36" s="74"/>
      <c r="Z36" s="76">
        <f>P36/V36*1000</f>
        <v>38244750.93</v>
      </c>
      <c r="AA36" s="77">
        <v>40000.0</v>
      </c>
      <c r="AC36" s="77">
        <v>51690.0</v>
      </c>
      <c r="AG36" s="61"/>
      <c r="AJ36" s="32"/>
      <c r="AK36" s="61"/>
      <c r="AN36" s="32"/>
      <c r="AO36" s="185">
        <f>sum(AA35:AN36)</f>
        <v>91690</v>
      </c>
      <c r="AQ36" s="188"/>
      <c r="AR36" s="188"/>
      <c r="AS36" s="188"/>
    </row>
    <row r="37" ht="15.75" customHeight="1">
      <c r="A37" s="108"/>
      <c r="B37" s="111"/>
      <c r="C37" s="64"/>
      <c r="D37" s="64"/>
      <c r="E37" s="64"/>
      <c r="F37" s="64"/>
      <c r="G37" s="64"/>
      <c r="H37" s="64"/>
      <c r="I37" s="64"/>
      <c r="J37" s="64"/>
      <c r="K37" s="64"/>
      <c r="L37" s="64"/>
      <c r="M37" s="64"/>
      <c r="N37" s="80"/>
      <c r="O37" s="64"/>
      <c r="P37" s="64"/>
      <c r="Q37" s="64"/>
      <c r="R37" s="74"/>
      <c r="S37" s="74"/>
      <c r="T37" s="74"/>
      <c r="U37" s="74"/>
      <c r="V37" s="64"/>
      <c r="W37" s="133"/>
      <c r="X37" s="74"/>
      <c r="Y37" s="74"/>
      <c r="Z37" s="108"/>
      <c r="AG37" s="61"/>
      <c r="AJ37" s="32"/>
      <c r="AK37" s="66"/>
      <c r="AN37" s="32"/>
      <c r="AQ37" s="185">
        <f>P36-AO36</f>
        <v>-0.4</v>
      </c>
      <c r="AR37" s="188"/>
      <c r="AS37" s="188"/>
    </row>
    <row r="38" ht="15.75" customHeight="1">
      <c r="A38" s="108"/>
      <c r="B38" s="111"/>
      <c r="C38" s="64"/>
      <c r="D38" s="64"/>
      <c r="E38" s="64"/>
      <c r="F38" s="65"/>
      <c r="G38" s="65"/>
      <c r="H38" s="65"/>
      <c r="I38" s="65"/>
      <c r="J38" s="65"/>
      <c r="K38" s="65"/>
      <c r="L38" s="65"/>
      <c r="M38" s="65"/>
      <c r="N38" s="80"/>
      <c r="O38" s="65"/>
      <c r="P38" s="65"/>
      <c r="Q38" s="65"/>
      <c r="R38" s="74"/>
      <c r="S38" s="74"/>
      <c r="T38" s="74"/>
      <c r="U38" s="74"/>
      <c r="V38" s="65"/>
      <c r="W38" s="133"/>
      <c r="X38" s="74"/>
      <c r="Y38" s="74"/>
      <c r="Z38" s="78"/>
      <c r="AG38" s="61"/>
      <c r="AJ38" s="32"/>
      <c r="AK38" s="66"/>
      <c r="AN38" s="32"/>
      <c r="AQ38" s="188"/>
      <c r="AR38" s="188"/>
      <c r="AS38" s="188"/>
    </row>
    <row r="39" ht="12.0" customHeight="1">
      <c r="A39" s="108"/>
      <c r="B39" s="111"/>
      <c r="C39" s="64"/>
      <c r="D39" s="64"/>
      <c r="E39" s="64"/>
      <c r="F39" s="89"/>
      <c r="G39" s="137"/>
      <c r="H39" s="138"/>
      <c r="I39" s="144"/>
      <c r="J39" s="89"/>
      <c r="K39" s="89"/>
      <c r="L39" s="93"/>
      <c r="M39" s="91"/>
      <c r="N39" s="90"/>
      <c r="O39" s="90"/>
      <c r="P39" s="92"/>
      <c r="Q39" s="93"/>
      <c r="R39" s="94"/>
      <c r="S39" s="94"/>
      <c r="T39" s="94"/>
      <c r="U39" s="94"/>
      <c r="V39" s="94"/>
      <c r="W39" s="91"/>
      <c r="X39" s="94"/>
      <c r="Y39" s="91"/>
      <c r="Z39" s="91"/>
      <c r="AA39" s="97"/>
      <c r="AB39" s="97"/>
      <c r="AC39" s="97"/>
      <c r="AD39" s="97"/>
      <c r="AE39" s="97"/>
      <c r="AF39" s="97"/>
      <c r="AG39" s="96"/>
      <c r="AH39" s="97"/>
      <c r="AI39" s="97"/>
      <c r="AJ39" s="98"/>
      <c r="AK39" s="96"/>
      <c r="AL39" s="97"/>
      <c r="AM39" s="97"/>
      <c r="AN39" s="98"/>
      <c r="AO39" s="186"/>
      <c r="AP39" s="186"/>
      <c r="AQ39" s="186"/>
      <c r="AR39" s="186"/>
      <c r="AS39" s="186"/>
    </row>
    <row r="40" ht="15.75" customHeight="1">
      <c r="A40" s="78"/>
      <c r="B40" s="240"/>
      <c r="C40" s="65"/>
      <c r="D40" s="65"/>
      <c r="E40" s="65"/>
      <c r="F40" s="45" t="s">
        <v>110</v>
      </c>
      <c r="G40" s="136">
        <v>0.2</v>
      </c>
      <c r="H40" s="131">
        <f>E26*G40</f>
        <v>152816</v>
      </c>
      <c r="I40" s="102" t="s">
        <v>76</v>
      </c>
      <c r="J40" s="45" t="s">
        <v>111</v>
      </c>
      <c r="K40" s="45" t="s">
        <v>112</v>
      </c>
      <c r="L40" s="82" t="s">
        <v>113</v>
      </c>
      <c r="M40" s="51">
        <v>1.0</v>
      </c>
      <c r="N40" s="80"/>
      <c r="O40" s="80">
        <v>1.0</v>
      </c>
      <c r="P40" s="81">
        <f>H40*O40</f>
        <v>152816</v>
      </c>
      <c r="Q40" s="82" t="s">
        <v>114</v>
      </c>
      <c r="R40" s="74"/>
      <c r="S40" s="74"/>
      <c r="T40" s="74"/>
      <c r="U40" s="74"/>
      <c r="V40" s="83">
        <v>4.85</v>
      </c>
      <c r="W40" s="133"/>
      <c r="X40" s="74"/>
      <c r="Y40" s="74"/>
      <c r="Z40" s="51">
        <f>P40/V40*1000</f>
        <v>31508453.61</v>
      </c>
      <c r="AA40" s="77">
        <v>32474.0</v>
      </c>
      <c r="AC40" s="77">
        <f>70649+5281</f>
        <v>75930</v>
      </c>
      <c r="AG40" s="77">
        <v>34000.0</v>
      </c>
      <c r="AK40" s="77">
        <f>10413</f>
        <v>10413</v>
      </c>
      <c r="AO40" s="185">
        <f>sum(AA39:AN40)</f>
        <v>152817</v>
      </c>
      <c r="AQ40" s="188"/>
      <c r="AR40" s="188"/>
      <c r="AS40" s="188"/>
    </row>
    <row r="41" ht="15.75" customHeight="1">
      <c r="A41" s="196" t="s">
        <v>115</v>
      </c>
      <c r="B41" s="196"/>
      <c r="C41" s="196"/>
      <c r="D41" s="196"/>
      <c r="E41" s="197">
        <f>SUM(E13:E40)</f>
        <v>1910200</v>
      </c>
      <c r="F41" s="196"/>
      <c r="G41" s="196"/>
      <c r="H41" s="196"/>
      <c r="I41" s="196"/>
      <c r="J41" s="196"/>
      <c r="K41" s="196"/>
      <c r="L41" s="196"/>
      <c r="M41" s="196"/>
      <c r="N41" s="196"/>
      <c r="O41" s="196"/>
      <c r="P41" s="197">
        <f>SUM(P13:P40)+P11</f>
        <v>1910200</v>
      </c>
      <c r="Q41" s="196"/>
      <c r="R41" s="199"/>
      <c r="S41" s="199"/>
      <c r="T41" s="199"/>
      <c r="U41" s="199"/>
      <c r="V41" s="199"/>
      <c r="W41" s="151">
        <f>W13+W15+W17+W18+W27+W29+W31</f>
        <v>7717644.617</v>
      </c>
      <c r="X41" s="151">
        <f>X21+X23+X24</f>
        <v>3724890</v>
      </c>
      <c r="Y41" s="151">
        <f>Y34</f>
        <v>124163</v>
      </c>
      <c r="Z41" s="151">
        <f>Z13+Z15+Z17+Z18+Z21+Z22+Z23+Z24+Z27+Z29+Z31+Z36+Z40+Z26+Z11</f>
        <v>321696183.4</v>
      </c>
      <c r="AA41" s="197">
        <f>SUM(AA11:AB40)</f>
        <v>166844.2</v>
      </c>
      <c r="AC41" s="197">
        <f>SUM(AC11:AF40)</f>
        <v>958687.72</v>
      </c>
      <c r="AG41" s="197">
        <f>SUM(AG11:AJ40)</f>
        <v>564268</v>
      </c>
      <c r="AK41" s="197">
        <f>SUM(AK11:AN40)</f>
        <v>220400</v>
      </c>
      <c r="AO41" s="197">
        <f>AA41+AC41+AG41+AK41</f>
        <v>1910199.92</v>
      </c>
      <c r="AQ41" s="197"/>
      <c r="AR41" s="197"/>
      <c r="AS41" s="197"/>
    </row>
    <row r="42" ht="15.75" customHeight="1">
      <c r="A42" s="3"/>
      <c r="B42" s="3"/>
      <c r="C42" s="3"/>
      <c r="D42" s="3"/>
      <c r="E42" s="3"/>
      <c r="F42" s="3"/>
      <c r="G42" s="3"/>
      <c r="H42" s="3"/>
      <c r="I42" s="3"/>
      <c r="J42" s="3"/>
      <c r="K42" s="3"/>
      <c r="L42" s="3"/>
      <c r="M42" s="3"/>
      <c r="N42" s="3"/>
      <c r="O42" s="3"/>
      <c r="P42" s="3"/>
      <c r="Q42" s="3"/>
      <c r="R42" s="3"/>
      <c r="S42" s="163"/>
      <c r="T42" s="163"/>
      <c r="U42" s="163"/>
      <c r="V42" s="163"/>
      <c r="W42" s="163"/>
      <c r="X42" s="163"/>
      <c r="Y42" s="163"/>
      <c r="Z42" s="163"/>
      <c r="AA42" s="163"/>
      <c r="AB42" s="163"/>
      <c r="AC42" s="163"/>
      <c r="AD42" s="3"/>
      <c r="AE42" s="3"/>
      <c r="AF42" s="3"/>
      <c r="AG42" s="3"/>
      <c r="AH42" s="3"/>
      <c r="AI42" s="3"/>
      <c r="AJ42" s="3"/>
      <c r="AK42" s="3"/>
      <c r="AL42" s="3"/>
      <c r="AM42" s="3"/>
      <c r="AN42" s="3"/>
      <c r="AO42" s="3"/>
      <c r="AP42" s="3"/>
      <c r="AQ42" s="3"/>
      <c r="AR42" s="3"/>
      <c r="AS42" s="3"/>
    </row>
    <row r="43" ht="15.75" customHeight="1">
      <c r="A43" s="3"/>
      <c r="B43" s="3"/>
      <c r="C43" s="3"/>
      <c r="D43" s="3"/>
      <c r="E43" s="3"/>
      <c r="F43" s="3"/>
      <c r="G43" s="3"/>
      <c r="H43" s="3"/>
      <c r="I43" s="3"/>
      <c r="J43" s="3"/>
      <c r="K43" s="3"/>
      <c r="L43" s="3"/>
      <c r="M43" s="3"/>
      <c r="N43" s="3"/>
      <c r="O43" s="3"/>
      <c r="P43" s="3"/>
      <c r="Q43" s="162"/>
      <c r="R43" s="162"/>
      <c r="S43" s="162"/>
      <c r="T43" s="162"/>
      <c r="U43" s="162"/>
      <c r="V43" s="162"/>
      <c r="W43" s="200"/>
      <c r="X43" s="163"/>
      <c r="Y43" s="162"/>
      <c r="Z43" s="162"/>
      <c r="AA43" s="162"/>
      <c r="AB43" s="162"/>
      <c r="AC43" s="162"/>
      <c r="AD43" s="3"/>
      <c r="AE43" s="3"/>
      <c r="AF43" s="3"/>
      <c r="AG43" s="3"/>
      <c r="AH43" s="3"/>
      <c r="AI43" s="3"/>
      <c r="AJ43" s="3"/>
      <c r="AK43" s="3"/>
      <c r="AL43" s="3"/>
      <c r="AM43" s="3"/>
      <c r="AN43" s="3"/>
      <c r="AO43" s="3"/>
      <c r="AP43" s="3"/>
      <c r="AQ43" s="3"/>
      <c r="AR43" s="3"/>
      <c r="AS43" s="3"/>
    </row>
    <row r="44" ht="15.75" customHeight="1">
      <c r="A44" s="3"/>
      <c r="B44" s="3"/>
      <c r="C44" s="3"/>
      <c r="D44" s="3"/>
      <c r="E44" s="3"/>
      <c r="N44" s="3"/>
      <c r="O44" s="3"/>
      <c r="P44" s="162"/>
      <c r="Q44" s="162"/>
      <c r="R44" s="162"/>
      <c r="S44" s="162"/>
      <c r="T44" s="162"/>
      <c r="U44" s="162"/>
      <c r="V44" s="162"/>
      <c r="W44" s="163"/>
      <c r="X44" s="163"/>
      <c r="Y44" s="163"/>
      <c r="Z44" s="163"/>
      <c r="AA44" s="162"/>
      <c r="AB44" s="163"/>
      <c r="AD44" s="3"/>
      <c r="AE44" s="3"/>
      <c r="AF44" s="3"/>
      <c r="AG44" s="3"/>
      <c r="AH44" s="3"/>
      <c r="AL44" s="3"/>
      <c r="AM44" s="3"/>
      <c r="AN44" s="3"/>
      <c r="AO44" s="3"/>
      <c r="AP44" s="3"/>
      <c r="AQ44" s="3"/>
      <c r="AR44" s="3"/>
      <c r="AS44" s="3"/>
    </row>
    <row r="45" ht="15.75" customHeight="1">
      <c r="A45" s="3"/>
      <c r="B45" s="3"/>
      <c r="C45" s="3"/>
      <c r="D45" s="3"/>
      <c r="E45" s="3"/>
      <c r="N45" s="3"/>
      <c r="O45" s="3"/>
      <c r="P45" s="247" t="s">
        <v>196</v>
      </c>
      <c r="V45" s="162"/>
      <c r="W45" s="163"/>
      <c r="X45" s="163"/>
      <c r="Y45" s="248"/>
      <c r="Z45" s="248"/>
      <c r="AA45" s="201"/>
      <c r="AB45" s="201"/>
      <c r="AC45" s="162"/>
      <c r="AD45" s="163"/>
      <c r="AE45" s="3"/>
      <c r="AF45" s="3"/>
      <c r="AG45" s="3"/>
      <c r="AL45" s="3"/>
      <c r="AM45" s="3"/>
      <c r="AN45" s="3"/>
      <c r="AO45" s="3"/>
      <c r="AP45" s="3"/>
      <c r="AQ45" s="3"/>
      <c r="AR45" s="3"/>
      <c r="AS45" s="3"/>
    </row>
    <row r="46" ht="15.75" customHeight="1">
      <c r="A46" s="3"/>
      <c r="B46" s="3"/>
      <c r="C46" s="3"/>
      <c r="D46" s="3"/>
      <c r="E46" s="3"/>
      <c r="N46" s="3"/>
      <c r="O46" s="3"/>
      <c r="V46" s="162"/>
      <c r="W46" s="163"/>
      <c r="X46" s="163"/>
      <c r="Y46" s="248"/>
      <c r="Z46" s="248"/>
      <c r="AA46" s="202" t="s">
        <v>117</v>
      </c>
      <c r="AC46" s="162"/>
      <c r="AD46" s="163"/>
      <c r="AE46" s="3"/>
      <c r="AF46" s="3"/>
      <c r="AG46" s="3"/>
      <c r="AH46" s="3"/>
      <c r="AI46" s="3"/>
      <c r="AJ46" s="3"/>
      <c r="AK46" s="3"/>
      <c r="AL46" s="3"/>
      <c r="AM46" s="3"/>
      <c r="AN46" s="3"/>
      <c r="AO46" s="3"/>
      <c r="AP46" s="3"/>
      <c r="AQ46" s="3"/>
      <c r="AR46" s="3"/>
      <c r="AS46" s="3"/>
    </row>
    <row r="47" ht="15.75" customHeight="1">
      <c r="A47" s="3"/>
      <c r="B47" s="3"/>
      <c r="C47" s="3"/>
      <c r="D47" s="155"/>
      <c r="E47" s="3"/>
      <c r="F47" s="3"/>
      <c r="G47" s="3"/>
      <c r="H47" s="3"/>
      <c r="I47" s="3"/>
      <c r="J47" s="3"/>
      <c r="K47" s="3"/>
      <c r="L47" s="3"/>
      <c r="M47" s="3"/>
      <c r="N47" s="210"/>
      <c r="O47" s="210"/>
      <c r="P47" s="211" t="s">
        <v>169</v>
      </c>
      <c r="Q47" s="212" t="s">
        <v>170</v>
      </c>
      <c r="R47" s="213"/>
      <c r="S47" s="211" t="s">
        <v>171</v>
      </c>
      <c r="T47" s="214" t="s">
        <v>172</v>
      </c>
      <c r="U47" s="211" t="s">
        <v>173</v>
      </c>
      <c r="V47" s="162"/>
      <c r="W47" s="163"/>
      <c r="X47" s="163"/>
      <c r="Y47" s="248"/>
      <c r="Z47" s="249" t="s">
        <v>138</v>
      </c>
      <c r="AA47" s="250">
        <f>AA41</f>
        <v>166844.2</v>
      </c>
      <c r="AC47" s="162"/>
      <c r="AD47" s="163"/>
      <c r="AE47" s="3"/>
      <c r="AF47" s="3"/>
      <c r="AG47" s="3"/>
      <c r="AH47" s="3"/>
      <c r="AI47" s="3"/>
      <c r="AJ47" s="3"/>
      <c r="AK47" s="3"/>
      <c r="AL47" s="3"/>
      <c r="AM47" s="3"/>
      <c r="AN47" s="3"/>
      <c r="AO47" s="3"/>
      <c r="AP47" s="3"/>
      <c r="AQ47" s="3"/>
      <c r="AR47" s="3"/>
      <c r="AS47" s="3"/>
    </row>
    <row r="48" ht="15.75" customHeight="1">
      <c r="A48" s="3"/>
      <c r="B48" s="3"/>
      <c r="C48" s="3"/>
      <c r="D48" s="156"/>
      <c r="E48" s="3"/>
      <c r="F48" s="3"/>
      <c r="G48" s="3"/>
      <c r="H48" s="3"/>
      <c r="I48" s="3"/>
      <c r="J48" s="3"/>
      <c r="K48" s="3"/>
      <c r="L48" s="3"/>
      <c r="M48" s="3"/>
      <c r="N48" s="215"/>
      <c r="O48" s="215" t="s">
        <v>174</v>
      </c>
      <c r="P48" s="216"/>
      <c r="Q48" s="251">
        <v>166844.0</v>
      </c>
      <c r="S48" s="252">
        <v>958688.0</v>
      </c>
      <c r="T48" s="253">
        <v>564268.0</v>
      </c>
      <c r="U48" s="252">
        <v>220400.0</v>
      </c>
      <c r="V48" s="254">
        <f>Q48+S48+T48+U48</f>
        <v>1910200</v>
      </c>
      <c r="W48" s="163"/>
      <c r="X48" s="163"/>
      <c r="Y48" s="248"/>
      <c r="Z48" s="248" t="s">
        <v>123</v>
      </c>
      <c r="AA48" s="250">
        <f>AC41</f>
        <v>958687.72</v>
      </c>
      <c r="AC48" s="162"/>
      <c r="AD48" s="163"/>
      <c r="AE48" s="3"/>
      <c r="AF48" s="3"/>
      <c r="AG48" s="3"/>
      <c r="AH48" s="3"/>
      <c r="AI48" s="3"/>
      <c r="AJ48" s="3"/>
      <c r="AK48" s="3"/>
      <c r="AL48" s="3"/>
      <c r="AM48" s="3"/>
      <c r="AN48" s="3"/>
      <c r="AO48" s="3"/>
      <c r="AP48" s="3"/>
      <c r="AQ48" s="3"/>
      <c r="AR48" s="3"/>
      <c r="AS48" s="3"/>
    </row>
    <row r="49" ht="15.75" customHeight="1">
      <c r="A49" s="3"/>
      <c r="B49" s="155"/>
      <c r="C49" s="155"/>
      <c r="D49" s="156"/>
      <c r="E49" s="3"/>
      <c r="F49" s="3"/>
      <c r="G49" s="3"/>
      <c r="H49" s="3"/>
      <c r="I49" s="3"/>
      <c r="J49" s="3"/>
      <c r="K49" s="3"/>
      <c r="L49" s="3"/>
      <c r="M49" s="3"/>
      <c r="N49" s="3"/>
      <c r="O49" s="3"/>
      <c r="P49" s="166">
        <f>P15+P16+P17+P22+P23+P2+P29+P30+P31</f>
        <v>733516.8</v>
      </c>
      <c r="Q49" s="162" t="s">
        <v>122</v>
      </c>
      <c r="R49" s="162"/>
      <c r="S49" s="162"/>
      <c r="T49" s="162"/>
      <c r="U49" s="162"/>
      <c r="V49" s="162"/>
      <c r="W49" s="163"/>
      <c r="X49" s="163"/>
      <c r="Y49" s="248"/>
      <c r="Z49" s="248" t="s">
        <v>125</v>
      </c>
      <c r="AA49" s="250">
        <f>AG41</f>
        <v>564268</v>
      </c>
      <c r="AC49" s="162"/>
      <c r="AD49" s="163"/>
      <c r="AE49" s="3"/>
      <c r="AF49" s="3"/>
      <c r="AG49" s="3"/>
      <c r="AH49" s="3"/>
      <c r="AI49" s="3"/>
      <c r="AJ49" s="3"/>
      <c r="AK49" s="3"/>
      <c r="AL49" s="3"/>
      <c r="AM49" s="3"/>
      <c r="AN49" s="3"/>
      <c r="AO49" s="3"/>
      <c r="AP49" s="3"/>
      <c r="AQ49" s="3"/>
      <c r="AR49" s="3"/>
      <c r="AS49" s="3"/>
    </row>
    <row r="50" ht="15.75" customHeight="1">
      <c r="A50" s="3"/>
      <c r="B50" s="159"/>
      <c r="C50" s="159"/>
      <c r="D50" s="153"/>
      <c r="E50" s="3"/>
      <c r="F50" s="3"/>
      <c r="G50" s="156"/>
      <c r="H50" s="3"/>
      <c r="I50" s="3"/>
      <c r="J50" s="3"/>
      <c r="K50" s="3"/>
      <c r="L50" s="3"/>
      <c r="M50" s="3"/>
      <c r="N50" s="3"/>
      <c r="O50" s="3"/>
      <c r="P50" s="162">
        <f>P18+P19</f>
        <v>0</v>
      </c>
      <c r="Q50" s="162"/>
      <c r="R50" s="166">
        <f>P49</f>
        <v>733516.8</v>
      </c>
      <c r="S50" s="162"/>
      <c r="T50" s="162"/>
      <c r="U50" s="162"/>
      <c r="V50" s="162"/>
      <c r="W50" s="163"/>
      <c r="X50" s="163"/>
      <c r="Y50" s="248"/>
      <c r="Z50" s="248" t="s">
        <v>128</v>
      </c>
      <c r="AA50" s="250">
        <f>AK41</f>
        <v>220400</v>
      </c>
      <c r="AC50" s="162"/>
      <c r="AD50" s="163"/>
      <c r="AE50" s="3"/>
      <c r="AF50" s="3"/>
      <c r="AG50" s="3"/>
      <c r="AH50" s="3"/>
      <c r="AI50" s="3"/>
      <c r="AJ50" s="3"/>
      <c r="AK50" s="3"/>
      <c r="AL50" s="3"/>
      <c r="AM50" s="3"/>
      <c r="AN50" s="3"/>
      <c r="AO50" s="3"/>
      <c r="AP50" s="3"/>
      <c r="AQ50" s="3"/>
      <c r="AR50" s="3"/>
      <c r="AS50" s="3"/>
    </row>
    <row r="51" ht="15.75" customHeight="1">
      <c r="A51" s="3"/>
      <c r="B51" s="159"/>
      <c r="C51" s="159"/>
      <c r="D51" s="153"/>
      <c r="E51" s="3"/>
      <c r="F51" s="3"/>
      <c r="G51" s="153"/>
      <c r="H51" s="3"/>
      <c r="I51" s="3"/>
      <c r="J51" s="3"/>
      <c r="K51" s="3"/>
      <c r="L51" s="3"/>
      <c r="M51" s="3"/>
      <c r="N51" s="3"/>
      <c r="O51" s="3"/>
      <c r="P51" s="166">
        <f>P36+P37+P38</f>
        <v>91689.6</v>
      </c>
      <c r="Q51" s="162" t="s">
        <v>127</v>
      </c>
      <c r="R51" s="167"/>
      <c r="S51" s="162"/>
      <c r="T51" s="162"/>
      <c r="U51" s="162"/>
      <c r="V51" s="162"/>
      <c r="W51" s="163"/>
      <c r="X51" s="163"/>
      <c r="Y51" s="248"/>
      <c r="Z51" s="248"/>
      <c r="AA51" s="250"/>
      <c r="AC51" s="162"/>
      <c r="AD51" s="163"/>
      <c r="AE51" s="3"/>
      <c r="AF51" s="3"/>
      <c r="AG51" s="3"/>
      <c r="AH51" s="3"/>
      <c r="AI51" s="3"/>
      <c r="AJ51" s="3"/>
      <c r="AK51" s="3"/>
      <c r="AL51" s="3"/>
      <c r="AM51" s="3"/>
      <c r="AN51" s="3"/>
      <c r="AO51" s="3"/>
      <c r="AP51" s="3"/>
      <c r="AQ51" s="3"/>
      <c r="AR51" s="3"/>
      <c r="AS51" s="3"/>
    </row>
    <row r="52" ht="15.75" customHeight="1">
      <c r="A52" s="3"/>
      <c r="B52" s="159"/>
      <c r="C52" s="159"/>
      <c r="D52" s="153"/>
      <c r="E52" s="3"/>
      <c r="F52" s="3"/>
      <c r="G52" s="153"/>
      <c r="H52" s="3"/>
      <c r="I52" s="3"/>
      <c r="J52" s="3"/>
      <c r="K52" s="3"/>
      <c r="L52" s="3"/>
      <c r="M52" s="3"/>
      <c r="N52" s="3"/>
      <c r="O52" s="3"/>
      <c r="P52" s="166">
        <f>P32</f>
        <v>99330.4</v>
      </c>
      <c r="Q52" s="162" t="s">
        <v>130</v>
      </c>
      <c r="R52" s="162"/>
      <c r="S52" s="162"/>
      <c r="T52" s="162"/>
      <c r="U52" s="162">
        <v>1200000.0</v>
      </c>
      <c r="V52" s="162"/>
      <c r="W52" s="163"/>
      <c r="X52" s="163"/>
      <c r="Y52" s="248"/>
      <c r="Z52" s="248"/>
      <c r="AA52" s="250"/>
      <c r="AC52" s="162"/>
      <c r="AD52" s="163"/>
      <c r="AE52" s="3"/>
      <c r="AF52" s="3"/>
      <c r="AG52" s="3"/>
      <c r="AH52" s="3"/>
      <c r="AI52" s="3"/>
      <c r="AJ52" s="3"/>
      <c r="AK52" s="3"/>
      <c r="AL52" s="3"/>
      <c r="AM52" s="3"/>
      <c r="AN52" s="3"/>
      <c r="AO52" s="3"/>
      <c r="AP52" s="3"/>
      <c r="AQ52" s="3"/>
      <c r="AR52" s="3"/>
      <c r="AS52" s="3"/>
    </row>
    <row r="53" ht="15.75" customHeight="1">
      <c r="A53" s="3"/>
      <c r="B53" s="159"/>
      <c r="C53" s="159"/>
      <c r="D53" s="153"/>
      <c r="E53" s="3"/>
      <c r="F53" s="3"/>
      <c r="G53" s="153"/>
      <c r="H53" s="3"/>
      <c r="I53" s="3"/>
      <c r="J53" s="3"/>
      <c r="K53" s="3"/>
      <c r="L53" s="3"/>
      <c r="M53" s="3"/>
      <c r="N53" s="3"/>
      <c r="O53" s="3"/>
      <c r="P53" s="169">
        <f>P48+P49+P50+P51+P52</f>
        <v>924536.8</v>
      </c>
      <c r="Q53" s="162"/>
      <c r="R53" s="162"/>
      <c r="S53" s="162"/>
      <c r="T53" s="162"/>
      <c r="U53" s="162">
        <v>179414.0</v>
      </c>
      <c r="V53" s="162"/>
      <c r="W53" s="163"/>
      <c r="X53" s="163"/>
      <c r="Y53" s="248"/>
      <c r="Z53" s="248"/>
      <c r="AA53" s="250"/>
      <c r="AC53" s="162"/>
      <c r="AD53" s="163"/>
      <c r="AE53" s="3"/>
      <c r="AF53" s="3"/>
      <c r="AG53" s="3"/>
      <c r="AH53" s="3"/>
      <c r="AI53" s="3"/>
      <c r="AJ53" s="3"/>
      <c r="AK53" s="3"/>
      <c r="AL53" s="3"/>
      <c r="AM53" s="3"/>
      <c r="AN53" s="3"/>
      <c r="AO53" s="3"/>
      <c r="AP53" s="3"/>
      <c r="AQ53" s="3"/>
      <c r="AR53" s="3"/>
      <c r="AS53" s="3"/>
    </row>
    <row r="54" ht="15.75" customHeight="1">
      <c r="A54" s="3"/>
      <c r="B54" s="155"/>
      <c r="C54" s="155"/>
      <c r="D54" s="3"/>
      <c r="E54" s="3"/>
      <c r="F54" s="3"/>
      <c r="G54" s="153"/>
      <c r="H54" s="3"/>
      <c r="I54" s="3"/>
      <c r="J54" s="3"/>
      <c r="K54" s="3"/>
      <c r="L54" s="3"/>
      <c r="M54" s="3"/>
      <c r="N54" s="3"/>
      <c r="O54" s="3"/>
      <c r="P54" s="162"/>
      <c r="Q54" s="162"/>
      <c r="R54" s="162"/>
      <c r="S54" s="162"/>
      <c r="T54" s="162"/>
      <c r="U54" s="162"/>
      <c r="V54" s="162"/>
      <c r="W54" s="163"/>
      <c r="X54" s="163"/>
      <c r="Y54" s="248"/>
      <c r="Z54" s="248"/>
      <c r="AA54" s="201"/>
      <c r="AB54" s="201"/>
      <c r="AC54" s="162"/>
      <c r="AD54" s="163"/>
      <c r="AE54" s="3"/>
      <c r="AF54" s="3"/>
      <c r="AG54" s="3"/>
      <c r="AH54" s="3"/>
      <c r="AI54" s="3"/>
      <c r="AJ54" s="3"/>
      <c r="AK54" s="3"/>
      <c r="AL54" s="3"/>
      <c r="AM54" s="3"/>
      <c r="AN54" s="3"/>
      <c r="AO54" s="3"/>
      <c r="AP54" s="3"/>
      <c r="AQ54" s="3"/>
      <c r="AR54" s="3"/>
      <c r="AS54" s="3"/>
    </row>
    <row r="55" ht="15.75" customHeight="1">
      <c r="A55" s="3"/>
      <c r="B55" s="155"/>
      <c r="C55" s="155"/>
      <c r="D55" s="3"/>
      <c r="E55" s="3"/>
      <c r="F55" s="3"/>
      <c r="G55" s="3"/>
      <c r="H55" s="3"/>
      <c r="I55" s="3"/>
      <c r="J55" s="3"/>
      <c r="K55" s="3"/>
      <c r="L55" s="3"/>
      <c r="M55" s="3"/>
      <c r="N55" s="3"/>
      <c r="O55" s="3"/>
      <c r="P55" s="162"/>
      <c r="Q55" s="162"/>
      <c r="R55" s="162"/>
      <c r="S55" s="162"/>
      <c r="T55" s="162"/>
      <c r="U55" s="162"/>
      <c r="V55" s="162"/>
      <c r="W55" s="163"/>
      <c r="X55" s="163"/>
      <c r="Y55" s="248"/>
      <c r="Z55" s="248"/>
      <c r="AA55" s="201"/>
      <c r="AB55" s="201"/>
      <c r="AC55" s="162"/>
      <c r="AD55" s="163"/>
      <c r="AE55" s="3"/>
      <c r="AF55" s="3"/>
      <c r="AG55" s="3"/>
      <c r="AH55" s="3"/>
      <c r="AI55" s="3"/>
      <c r="AJ55" s="3"/>
      <c r="AK55" s="3"/>
      <c r="AL55" s="3"/>
      <c r="AM55" s="3"/>
      <c r="AN55" s="3"/>
      <c r="AO55" s="3"/>
      <c r="AP55" s="3"/>
      <c r="AQ55" s="3"/>
      <c r="AR55" s="3"/>
      <c r="AS55" s="3"/>
    </row>
    <row r="56" ht="15.75" customHeight="1">
      <c r="A56" s="3"/>
      <c r="B56" s="155"/>
      <c r="C56" s="155"/>
      <c r="D56" s="3"/>
      <c r="E56" s="3"/>
      <c r="F56" s="3"/>
      <c r="G56" s="3"/>
      <c r="H56" s="3"/>
      <c r="I56" s="3"/>
      <c r="J56" s="3"/>
      <c r="K56" s="3"/>
      <c r="L56" s="3"/>
      <c r="M56" s="3"/>
      <c r="N56" s="3"/>
      <c r="O56" s="3"/>
      <c r="P56" s="162"/>
      <c r="Q56" s="162"/>
      <c r="R56" s="162"/>
      <c r="S56" s="162"/>
      <c r="T56" s="162"/>
      <c r="U56" s="162"/>
      <c r="V56" s="162"/>
      <c r="W56" s="163"/>
      <c r="X56" s="163"/>
      <c r="Y56" s="248"/>
      <c r="Z56" s="248"/>
      <c r="AA56" s="201"/>
      <c r="AB56" s="201"/>
      <c r="AC56" s="162"/>
      <c r="AD56" s="163"/>
      <c r="AE56" s="3"/>
      <c r="AF56" s="3"/>
      <c r="AG56" s="3"/>
      <c r="AH56" s="3"/>
      <c r="AI56" s="3"/>
      <c r="AJ56" s="3"/>
      <c r="AK56" s="3"/>
      <c r="AL56" s="3"/>
      <c r="AM56" s="3"/>
      <c r="AN56" s="3"/>
      <c r="AO56" s="3"/>
      <c r="AP56" s="3"/>
      <c r="AQ56" s="3"/>
      <c r="AR56" s="3"/>
      <c r="AS56" s="3"/>
    </row>
    <row r="57" ht="15.75" customHeight="1">
      <c r="A57" s="3"/>
      <c r="B57" s="3"/>
      <c r="C57" s="3"/>
      <c r="D57" s="3"/>
      <c r="E57" s="3"/>
      <c r="F57" s="3"/>
      <c r="G57" s="3"/>
      <c r="H57" s="3"/>
      <c r="I57" s="3"/>
      <c r="J57" s="3"/>
      <c r="K57" s="3"/>
      <c r="L57" s="3"/>
      <c r="M57" s="3"/>
      <c r="N57" s="3"/>
      <c r="O57" s="3"/>
      <c r="P57" s="162"/>
      <c r="Q57" s="162"/>
      <c r="R57" s="162"/>
      <c r="S57" s="162"/>
      <c r="T57" s="162"/>
      <c r="U57" s="162"/>
      <c r="V57" s="162"/>
      <c r="W57" s="163"/>
      <c r="X57" s="163"/>
      <c r="Y57" s="163"/>
      <c r="Z57" s="163"/>
      <c r="AA57" s="162"/>
      <c r="AB57" s="162"/>
      <c r="AC57" s="162"/>
      <c r="AD57" s="163"/>
      <c r="AE57" s="3"/>
      <c r="AF57" s="3"/>
      <c r="AG57" s="3"/>
      <c r="AH57" s="3"/>
      <c r="AI57" s="3"/>
      <c r="AJ57" s="3"/>
      <c r="AK57" s="3"/>
      <c r="AL57" s="3"/>
      <c r="AM57" s="3"/>
      <c r="AN57" s="3"/>
      <c r="AO57" s="3"/>
      <c r="AP57" s="3"/>
      <c r="AQ57" s="3"/>
      <c r="AR57" s="3"/>
      <c r="AS57" s="3"/>
    </row>
    <row r="58" ht="15.75" customHeight="1">
      <c r="A58" s="3"/>
      <c r="B58" s="3"/>
      <c r="C58" s="3"/>
      <c r="D58" s="3"/>
      <c r="E58" s="3"/>
      <c r="F58" s="3"/>
      <c r="G58" s="3"/>
      <c r="H58" s="3"/>
      <c r="I58" s="3"/>
      <c r="J58" s="3"/>
      <c r="K58" s="3"/>
      <c r="L58" s="3"/>
      <c r="M58" s="3"/>
      <c r="N58" s="3"/>
      <c r="O58" s="3"/>
      <c r="P58" s="162"/>
      <c r="Q58" s="163"/>
      <c r="R58" s="163"/>
      <c r="S58" s="163"/>
      <c r="T58" s="163"/>
      <c r="U58" s="163"/>
      <c r="V58" s="163"/>
      <c r="W58" s="163"/>
      <c r="X58" s="163"/>
      <c r="Y58" s="163"/>
      <c r="Z58" s="163"/>
      <c r="AA58" s="162"/>
      <c r="AB58" s="162"/>
      <c r="AC58" s="162"/>
      <c r="AD58" s="163"/>
      <c r="AE58" s="3"/>
      <c r="AF58" s="3"/>
      <c r="AG58" s="3"/>
      <c r="AH58" s="3"/>
      <c r="AI58" s="3"/>
      <c r="AJ58" s="3"/>
      <c r="AK58" s="3"/>
      <c r="AL58" s="3"/>
      <c r="AM58" s="3"/>
      <c r="AN58" s="3"/>
      <c r="AO58" s="3"/>
      <c r="AP58" s="3"/>
      <c r="AQ58" s="3"/>
      <c r="AR58" s="3"/>
      <c r="AS58" s="3"/>
    </row>
    <row r="59" ht="15.75" customHeight="1">
      <c r="A59" s="3"/>
      <c r="B59" s="3"/>
      <c r="C59" s="3"/>
      <c r="D59" s="3"/>
      <c r="E59" s="3"/>
      <c r="F59" s="3"/>
      <c r="G59" s="3"/>
      <c r="H59" s="3"/>
      <c r="I59" s="3"/>
      <c r="J59" s="3"/>
      <c r="K59" s="3"/>
      <c r="L59" s="3"/>
      <c r="M59" s="3"/>
      <c r="N59" s="3"/>
      <c r="O59" s="3"/>
      <c r="P59" s="162"/>
      <c r="Q59" s="163"/>
      <c r="R59" s="163"/>
      <c r="S59" s="163"/>
      <c r="T59" s="163"/>
      <c r="U59" s="163"/>
      <c r="V59" s="163"/>
      <c r="W59" s="163"/>
      <c r="X59" s="163"/>
      <c r="Y59" s="163"/>
      <c r="Z59" s="163"/>
      <c r="AA59" s="162"/>
      <c r="AB59" s="162"/>
      <c r="AC59" s="162"/>
      <c r="AD59" s="163"/>
      <c r="AE59" s="3"/>
      <c r="AF59" s="3"/>
      <c r="AG59" s="3"/>
      <c r="AH59" s="3"/>
      <c r="AI59" s="3"/>
      <c r="AJ59" s="3"/>
      <c r="AK59" s="3"/>
      <c r="AL59" s="3"/>
      <c r="AM59" s="3"/>
      <c r="AN59" s="3"/>
      <c r="AO59" s="3"/>
      <c r="AP59" s="3"/>
      <c r="AQ59" s="3"/>
      <c r="AR59" s="3"/>
      <c r="AS59" s="3"/>
    </row>
    <row r="60" ht="15.75" customHeight="1">
      <c r="A60" s="3"/>
      <c r="B60" s="3"/>
      <c r="C60" s="3"/>
      <c r="D60" s="3"/>
      <c r="E60" s="3"/>
      <c r="F60" s="3"/>
      <c r="G60" s="3"/>
      <c r="H60" s="3"/>
      <c r="I60" s="3"/>
      <c r="J60" s="3"/>
      <c r="K60" s="3"/>
      <c r="L60" s="3"/>
      <c r="M60" s="3"/>
      <c r="N60" s="3"/>
      <c r="O60" s="3"/>
      <c r="P60" s="162"/>
      <c r="Q60" s="163"/>
      <c r="R60" s="163"/>
      <c r="S60" s="163"/>
      <c r="T60" s="163"/>
      <c r="U60" s="163"/>
      <c r="V60" s="163"/>
      <c r="W60" s="163"/>
      <c r="X60" s="163"/>
      <c r="Y60" s="163"/>
      <c r="Z60" s="163"/>
      <c r="AA60" s="162"/>
      <c r="AB60" s="162"/>
      <c r="AC60" s="162"/>
      <c r="AD60" s="163"/>
      <c r="AE60" s="3"/>
      <c r="AF60" s="3"/>
      <c r="AG60" s="3"/>
      <c r="AH60" s="3"/>
      <c r="AI60" s="3"/>
      <c r="AJ60" s="3"/>
      <c r="AK60" s="3"/>
      <c r="AL60" s="3"/>
      <c r="AM60" s="3"/>
      <c r="AN60" s="3"/>
      <c r="AO60" s="3"/>
      <c r="AP60" s="3"/>
      <c r="AQ60" s="3"/>
      <c r="AR60" s="3"/>
      <c r="AS60" s="3"/>
    </row>
    <row r="61" ht="15.75" customHeight="1">
      <c r="A61" s="3"/>
      <c r="B61" s="3"/>
      <c r="C61" s="3"/>
      <c r="D61" s="3"/>
      <c r="E61" s="3"/>
      <c r="F61" s="3"/>
      <c r="G61" s="3"/>
      <c r="H61" s="3"/>
      <c r="I61" s="3"/>
      <c r="J61" s="3"/>
      <c r="K61" s="3"/>
      <c r="L61" s="3"/>
      <c r="M61" s="3"/>
      <c r="N61" s="3"/>
      <c r="O61" s="3"/>
      <c r="P61" s="162"/>
      <c r="Q61" s="163"/>
      <c r="R61" s="163"/>
      <c r="S61" s="163"/>
      <c r="T61" s="163"/>
      <c r="U61" s="163"/>
      <c r="V61" s="163"/>
      <c r="W61" s="163"/>
      <c r="X61" s="163"/>
      <c r="Y61" s="163"/>
      <c r="Z61" s="163"/>
      <c r="AA61" s="162"/>
      <c r="AB61" s="162" t="s">
        <v>139</v>
      </c>
      <c r="AC61" s="162"/>
      <c r="AD61" s="163"/>
      <c r="AE61" s="3"/>
      <c r="AF61" s="3"/>
      <c r="AG61" s="3"/>
      <c r="AH61" s="3"/>
      <c r="AI61" s="3"/>
      <c r="AJ61" s="3"/>
      <c r="AK61" s="3"/>
      <c r="AL61" s="3"/>
      <c r="AM61" s="3"/>
      <c r="AN61" s="3"/>
      <c r="AO61" s="3"/>
      <c r="AP61" s="3"/>
      <c r="AQ61" s="3"/>
      <c r="AR61" s="3"/>
      <c r="AS61" s="3"/>
    </row>
    <row r="62" ht="15.75" customHeight="1">
      <c r="A62" s="3"/>
      <c r="B62" s="3"/>
      <c r="C62" s="3"/>
      <c r="D62" s="3"/>
      <c r="E62" s="3"/>
      <c r="F62" s="3"/>
      <c r="G62" s="3"/>
      <c r="H62" s="3"/>
      <c r="I62" s="3"/>
      <c r="J62" s="3"/>
      <c r="K62" s="3"/>
      <c r="L62" s="3"/>
      <c r="M62" s="3"/>
      <c r="N62" s="3"/>
      <c r="O62" s="3"/>
      <c r="P62" s="162"/>
      <c r="Q62" s="163"/>
      <c r="R62" s="163"/>
      <c r="S62" s="163"/>
      <c r="T62" s="163"/>
      <c r="U62" s="163"/>
      <c r="V62" s="163"/>
      <c r="W62" s="163"/>
      <c r="X62" s="163"/>
      <c r="Y62" s="163"/>
      <c r="Z62" s="163"/>
      <c r="AA62" s="162"/>
      <c r="AB62" s="162"/>
      <c r="AC62" s="162"/>
      <c r="AD62" s="163"/>
      <c r="AE62" s="3"/>
      <c r="AF62" s="3"/>
      <c r="AG62" s="3"/>
      <c r="AH62" s="3"/>
      <c r="AI62" s="3"/>
      <c r="AJ62" s="3"/>
      <c r="AK62" s="3"/>
      <c r="AL62" s="3"/>
      <c r="AM62" s="3"/>
      <c r="AN62" s="3"/>
      <c r="AO62" s="3"/>
      <c r="AP62" s="3"/>
      <c r="AQ62" s="3"/>
      <c r="AR62" s="3"/>
      <c r="AS62" s="3"/>
    </row>
    <row r="63" ht="15.75" customHeight="1">
      <c r="A63" s="3"/>
      <c r="B63" s="3"/>
      <c r="C63" s="3"/>
      <c r="D63" s="3"/>
      <c r="E63" s="3"/>
      <c r="F63" s="3"/>
      <c r="G63" s="3"/>
      <c r="H63" s="3"/>
      <c r="I63" s="3"/>
      <c r="J63" s="3"/>
      <c r="K63" s="3"/>
      <c r="L63" s="3"/>
      <c r="M63" s="3"/>
      <c r="N63" s="3"/>
      <c r="O63" s="3"/>
      <c r="P63" s="162"/>
      <c r="Q63" s="163"/>
      <c r="R63" s="163"/>
      <c r="S63" s="163"/>
      <c r="T63" s="163"/>
      <c r="U63" s="163"/>
      <c r="V63" s="163"/>
      <c r="W63" s="163"/>
      <c r="X63" s="163"/>
      <c r="Y63" s="162"/>
      <c r="Z63" s="162"/>
      <c r="AA63" s="162"/>
      <c r="AB63" s="162"/>
      <c r="AC63" s="162"/>
      <c r="AD63" s="163"/>
      <c r="AE63" s="3"/>
      <c r="AF63" s="3"/>
      <c r="AG63" s="3"/>
      <c r="AH63" s="3"/>
      <c r="AI63" s="3"/>
      <c r="AJ63" s="3"/>
      <c r="AK63" s="3"/>
      <c r="AL63" s="3"/>
      <c r="AM63" s="3"/>
      <c r="AN63" s="3"/>
      <c r="AO63" s="3"/>
      <c r="AP63" s="3"/>
      <c r="AQ63" s="3"/>
      <c r="AR63" s="3"/>
      <c r="AS63" s="3"/>
    </row>
    <row r="64" ht="15.75" customHeight="1">
      <c r="A64" s="3"/>
      <c r="B64" s="3"/>
      <c r="C64" s="3"/>
      <c r="D64" s="3"/>
      <c r="E64" s="3"/>
      <c r="F64" s="3"/>
      <c r="G64" s="3"/>
      <c r="H64" s="3"/>
      <c r="I64" s="3"/>
      <c r="J64" s="3"/>
      <c r="K64" s="3"/>
      <c r="L64" s="3"/>
      <c r="M64" s="3"/>
      <c r="N64" s="3"/>
      <c r="O64" s="3"/>
      <c r="P64" s="162"/>
      <c r="Q64" s="163"/>
      <c r="R64" s="163"/>
      <c r="S64" s="163"/>
      <c r="T64" s="163"/>
      <c r="U64" s="163"/>
      <c r="V64" s="163"/>
      <c r="W64" s="163"/>
      <c r="X64" s="163"/>
      <c r="Y64" s="162"/>
      <c r="Z64" s="162"/>
      <c r="AA64" s="162"/>
      <c r="AB64" s="162"/>
      <c r="AC64" s="162"/>
      <c r="AD64" s="163"/>
      <c r="AE64" s="3"/>
      <c r="AF64" s="3"/>
      <c r="AG64" s="3"/>
      <c r="AH64" s="3"/>
      <c r="AI64" s="3"/>
      <c r="AJ64" s="3"/>
      <c r="AK64" s="3"/>
      <c r="AL64" s="3"/>
      <c r="AM64" s="3"/>
      <c r="AN64" s="3"/>
      <c r="AO64" s="3"/>
      <c r="AP64" s="3"/>
      <c r="AQ64" s="3"/>
      <c r="AR64" s="3"/>
      <c r="AS64" s="3"/>
    </row>
    <row r="65" ht="15.75" customHeight="1">
      <c r="A65" s="3"/>
      <c r="B65" s="3"/>
      <c r="C65" s="3"/>
      <c r="D65" s="3"/>
      <c r="E65" s="3"/>
      <c r="F65" s="3"/>
      <c r="G65" s="3"/>
      <c r="H65" s="3"/>
      <c r="I65" s="3"/>
      <c r="J65" s="3"/>
      <c r="K65" s="3"/>
      <c r="L65" s="3"/>
      <c r="M65" s="3"/>
      <c r="N65" s="3"/>
      <c r="O65" s="3"/>
      <c r="P65" s="162"/>
      <c r="Q65" s="163"/>
      <c r="R65" s="163"/>
      <c r="S65" s="163"/>
      <c r="T65" s="163"/>
      <c r="U65" s="163"/>
      <c r="V65" s="163"/>
      <c r="W65" s="163"/>
      <c r="X65" s="163"/>
      <c r="Y65" s="162"/>
      <c r="Z65" s="162"/>
      <c r="AA65" s="162"/>
      <c r="AB65" s="162"/>
      <c r="AC65" s="162"/>
      <c r="AD65" s="163"/>
      <c r="AE65" s="3"/>
      <c r="AF65" s="3"/>
      <c r="AG65" s="3"/>
      <c r="AH65" s="3"/>
      <c r="AI65" s="3"/>
      <c r="AJ65" s="3"/>
      <c r="AK65" s="3"/>
      <c r="AL65" s="3"/>
      <c r="AM65" s="3"/>
      <c r="AN65" s="3"/>
      <c r="AO65" s="3"/>
      <c r="AP65" s="3"/>
      <c r="AQ65" s="3"/>
      <c r="AR65" s="3"/>
      <c r="AS65" s="3"/>
    </row>
    <row r="66" ht="15.75" customHeight="1">
      <c r="A66" s="3"/>
      <c r="B66" s="3"/>
      <c r="C66" s="3"/>
      <c r="D66" s="3"/>
      <c r="E66" s="3"/>
      <c r="F66" s="3"/>
      <c r="G66" s="3"/>
      <c r="H66" s="3"/>
      <c r="I66" s="3"/>
      <c r="J66" s="3"/>
      <c r="K66" s="3"/>
      <c r="L66" s="3"/>
      <c r="M66" s="3"/>
      <c r="N66" s="3"/>
      <c r="O66" s="3"/>
      <c r="P66" s="3"/>
      <c r="Q66" s="163"/>
      <c r="R66" s="163"/>
      <c r="S66" s="163"/>
      <c r="T66" s="163"/>
      <c r="U66" s="163"/>
      <c r="V66" s="163"/>
      <c r="W66" s="163"/>
      <c r="X66" s="163"/>
      <c r="Y66" s="162"/>
      <c r="Z66" s="162"/>
      <c r="AA66" s="162"/>
      <c r="AB66" s="162"/>
      <c r="AC66" s="162"/>
      <c r="AD66" s="163"/>
      <c r="AE66" s="3"/>
      <c r="AF66" s="3"/>
      <c r="AG66" s="3"/>
      <c r="AH66" s="3"/>
      <c r="AI66" s="3"/>
      <c r="AJ66" s="3"/>
      <c r="AK66" s="3"/>
      <c r="AL66" s="3"/>
      <c r="AM66" s="3"/>
      <c r="AN66" s="3"/>
      <c r="AO66" s="3"/>
      <c r="AP66" s="3"/>
      <c r="AQ66" s="3"/>
      <c r="AR66" s="3"/>
      <c r="AS66" s="3"/>
    </row>
    <row r="67" ht="15.75" customHeight="1">
      <c r="A67" s="3"/>
      <c r="B67" s="3"/>
      <c r="C67" s="3"/>
      <c r="D67" s="3"/>
      <c r="E67" s="3"/>
      <c r="F67" s="3"/>
      <c r="G67" s="3"/>
      <c r="H67" s="3"/>
      <c r="I67" s="3"/>
      <c r="J67" s="3"/>
      <c r="K67" s="3"/>
      <c r="L67" s="3"/>
      <c r="M67" s="3"/>
      <c r="N67" s="3"/>
      <c r="O67" s="3"/>
      <c r="P67" s="3"/>
      <c r="Q67" s="163"/>
      <c r="R67" s="163"/>
      <c r="S67" s="163"/>
      <c r="T67" s="163"/>
      <c r="U67" s="163"/>
      <c r="V67" s="163"/>
      <c r="W67" s="163"/>
      <c r="X67" s="163"/>
      <c r="Y67" s="162"/>
      <c r="Z67" s="162"/>
      <c r="AA67" s="162"/>
      <c r="AB67" s="162"/>
      <c r="AC67" s="162"/>
      <c r="AD67" s="163"/>
      <c r="AE67" s="3"/>
      <c r="AF67" s="3"/>
      <c r="AG67" s="3"/>
      <c r="AH67" s="3"/>
      <c r="AI67" s="3"/>
      <c r="AJ67" s="3"/>
      <c r="AK67" s="3"/>
      <c r="AL67" s="3"/>
      <c r="AM67" s="3"/>
      <c r="AN67" s="3"/>
      <c r="AO67" s="3"/>
      <c r="AP67" s="3"/>
      <c r="AQ67" s="3"/>
      <c r="AR67" s="3"/>
      <c r="AS67" s="3"/>
    </row>
    <row r="68" ht="15.75" customHeight="1">
      <c r="A68" s="3"/>
      <c r="B68" s="3"/>
      <c r="C68" s="3"/>
      <c r="D68" s="3"/>
      <c r="E68" s="3"/>
      <c r="F68" s="3"/>
      <c r="G68" s="3"/>
      <c r="H68" s="3"/>
      <c r="I68" s="3"/>
      <c r="J68" s="3"/>
      <c r="K68" s="3"/>
      <c r="L68" s="3"/>
      <c r="M68" s="3"/>
      <c r="N68" s="3"/>
      <c r="O68" s="3"/>
      <c r="P68" s="3"/>
      <c r="Q68" s="163"/>
      <c r="R68" s="163"/>
      <c r="S68" s="163"/>
      <c r="T68" s="163"/>
      <c r="U68" s="163"/>
      <c r="V68" s="163"/>
      <c r="W68" s="163"/>
      <c r="X68" s="163"/>
      <c r="Y68" s="163"/>
      <c r="Z68" s="163"/>
      <c r="AA68" s="163"/>
      <c r="AB68" s="163"/>
      <c r="AC68" s="163"/>
      <c r="AD68" s="163"/>
      <c r="AE68" s="3"/>
      <c r="AF68" s="3"/>
      <c r="AG68" s="3"/>
      <c r="AH68" s="3"/>
      <c r="AI68" s="3"/>
      <c r="AJ68" s="3"/>
      <c r="AK68" s="3"/>
      <c r="AL68" s="3"/>
      <c r="AM68" s="3"/>
      <c r="AN68" s="3"/>
      <c r="AO68" s="3"/>
      <c r="AP68" s="3"/>
      <c r="AQ68" s="3"/>
      <c r="AR68" s="3"/>
      <c r="AS68" s="3"/>
    </row>
    <row r="69" ht="15.75" customHeight="1">
      <c r="A69" s="3"/>
      <c r="B69" s="3"/>
      <c r="C69" s="3"/>
      <c r="D69" s="3"/>
      <c r="E69" s="3"/>
      <c r="F69" s="3"/>
      <c r="G69" s="3"/>
      <c r="H69" s="3"/>
      <c r="I69" s="3"/>
      <c r="J69" s="3"/>
      <c r="K69" s="3"/>
      <c r="L69" s="3"/>
      <c r="M69" s="3"/>
      <c r="N69" s="3"/>
      <c r="O69" s="3"/>
      <c r="P69" s="3"/>
      <c r="Q69" s="163"/>
      <c r="R69" s="163"/>
      <c r="S69" s="163"/>
      <c r="T69" s="163"/>
      <c r="U69" s="163"/>
      <c r="V69" s="163"/>
      <c r="W69" s="163"/>
      <c r="X69" s="163"/>
      <c r="Y69" s="163"/>
      <c r="Z69" s="163"/>
      <c r="AA69" s="163"/>
      <c r="AB69" s="163"/>
      <c r="AC69" s="163"/>
      <c r="AD69" s="163"/>
      <c r="AE69" s="3"/>
      <c r="AF69" s="3"/>
      <c r="AG69" s="3"/>
      <c r="AH69" s="3"/>
      <c r="AI69" s="3"/>
      <c r="AJ69" s="3"/>
      <c r="AK69" s="3"/>
      <c r="AL69" s="3"/>
      <c r="AM69" s="3"/>
      <c r="AN69" s="3"/>
      <c r="AO69" s="3"/>
      <c r="AP69" s="3"/>
      <c r="AQ69" s="3"/>
      <c r="AR69" s="3"/>
      <c r="AS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row>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14">
    <mergeCell ref="F32:F34"/>
    <mergeCell ref="G32:G34"/>
    <mergeCell ref="H32:H34"/>
    <mergeCell ref="I32:I34"/>
    <mergeCell ref="J32:J34"/>
    <mergeCell ref="K32:K33"/>
    <mergeCell ref="L32:L34"/>
    <mergeCell ref="M32:M34"/>
    <mergeCell ref="O32:O33"/>
    <mergeCell ref="P32:P33"/>
    <mergeCell ref="Q32:Q33"/>
    <mergeCell ref="R32:R33"/>
    <mergeCell ref="T32:T33"/>
    <mergeCell ref="U32:U33"/>
    <mergeCell ref="Y32:Y33"/>
    <mergeCell ref="Z32:Z33"/>
    <mergeCell ref="AA32:AB32"/>
    <mergeCell ref="AC32:AF33"/>
    <mergeCell ref="AA24:AB24"/>
    <mergeCell ref="AC24:AF24"/>
    <mergeCell ref="W27:W28"/>
    <mergeCell ref="Z27:Z28"/>
    <mergeCell ref="AA27:AB28"/>
    <mergeCell ref="AC27:AF28"/>
    <mergeCell ref="V32:V33"/>
    <mergeCell ref="Z36:Z38"/>
    <mergeCell ref="AA36:AB38"/>
    <mergeCell ref="K36:K38"/>
    <mergeCell ref="L36:L38"/>
    <mergeCell ref="M36:M38"/>
    <mergeCell ref="O36:O38"/>
    <mergeCell ref="P36:P38"/>
    <mergeCell ref="Q36:Q38"/>
    <mergeCell ref="V36:V38"/>
    <mergeCell ref="C13:C24"/>
    <mergeCell ref="D13:D24"/>
    <mergeCell ref="AA21:AB21"/>
    <mergeCell ref="AC21:AF21"/>
    <mergeCell ref="AA22:AB22"/>
    <mergeCell ref="AC22:AF22"/>
    <mergeCell ref="AA23:AB23"/>
    <mergeCell ref="AC23:AF23"/>
    <mergeCell ref="F11:F19"/>
    <mergeCell ref="F26:F31"/>
    <mergeCell ref="I29:I31"/>
    <mergeCell ref="K29:K31"/>
    <mergeCell ref="L29:L31"/>
    <mergeCell ref="M29:M31"/>
    <mergeCell ref="N29:N31"/>
    <mergeCell ref="C26:C40"/>
    <mergeCell ref="D26:D40"/>
    <mergeCell ref="F36:F38"/>
    <mergeCell ref="G36:G38"/>
    <mergeCell ref="H36:H38"/>
    <mergeCell ref="I36:I38"/>
    <mergeCell ref="J36:J38"/>
    <mergeCell ref="AA41:AB41"/>
    <mergeCell ref="AB44:AC44"/>
    <mergeCell ref="W32:W33"/>
    <mergeCell ref="X32:X33"/>
    <mergeCell ref="AC34:AF34"/>
    <mergeCell ref="AC36:AF38"/>
    <mergeCell ref="AA40:AB40"/>
    <mergeCell ref="AC40:AF40"/>
    <mergeCell ref="AC41:AF41"/>
    <mergeCell ref="AA4:AD4"/>
    <mergeCell ref="AA7:AF7"/>
    <mergeCell ref="AG7:AN7"/>
    <mergeCell ref="AA8:AC8"/>
    <mergeCell ref="AD8:AF8"/>
    <mergeCell ref="AG8:AJ8"/>
    <mergeCell ref="AK8:AN8"/>
    <mergeCell ref="AO8:AP8"/>
    <mergeCell ref="AG9:AJ9"/>
    <mergeCell ref="AK9:AN9"/>
    <mergeCell ref="AO9:AP9"/>
    <mergeCell ref="AO10:AP10"/>
    <mergeCell ref="AO11:AP12"/>
    <mergeCell ref="C1:AB1"/>
    <mergeCell ref="A3:A4"/>
    <mergeCell ref="B3:B4"/>
    <mergeCell ref="AA3:AD3"/>
    <mergeCell ref="AE3:AN3"/>
    <mergeCell ref="AE4:AN4"/>
    <mergeCell ref="I7:J9"/>
    <mergeCell ref="A10:B10"/>
    <mergeCell ref="K11:K12"/>
    <mergeCell ref="L11:L12"/>
    <mergeCell ref="M11:M12"/>
    <mergeCell ref="N11:N12"/>
    <mergeCell ref="O11:O12"/>
    <mergeCell ref="P11:P12"/>
    <mergeCell ref="P13:P14"/>
    <mergeCell ref="Q13:Q14"/>
    <mergeCell ref="R13:R14"/>
    <mergeCell ref="V13:V14"/>
    <mergeCell ref="W13:W14"/>
    <mergeCell ref="Z13:Z14"/>
    <mergeCell ref="AA13:AB14"/>
    <mergeCell ref="AC13:AF14"/>
    <mergeCell ref="J13:J19"/>
    <mergeCell ref="K15:K19"/>
    <mergeCell ref="L15:L19"/>
    <mergeCell ref="M15:M19"/>
    <mergeCell ref="O15:O19"/>
    <mergeCell ref="P15:P19"/>
    <mergeCell ref="AK22:AN22"/>
    <mergeCell ref="AO22:AP22"/>
    <mergeCell ref="AG15:AJ19"/>
    <mergeCell ref="AK15:AN19"/>
    <mergeCell ref="AO15:AP19"/>
    <mergeCell ref="AG21:AJ21"/>
    <mergeCell ref="AK21:AN21"/>
    <mergeCell ref="AO21:AP21"/>
    <mergeCell ref="AG22:AJ22"/>
    <mergeCell ref="AG23:AJ23"/>
    <mergeCell ref="AK23:AN23"/>
    <mergeCell ref="AO23:AP23"/>
    <mergeCell ref="AG24:AJ24"/>
    <mergeCell ref="AK24:AN24"/>
    <mergeCell ref="AO24:AP24"/>
    <mergeCell ref="AO27:AP28"/>
    <mergeCell ref="AK36:AN38"/>
    <mergeCell ref="AO36:AP38"/>
    <mergeCell ref="AK40:AN40"/>
    <mergeCell ref="AO40:AP40"/>
    <mergeCell ref="AK41:AN41"/>
    <mergeCell ref="AO41:AP41"/>
    <mergeCell ref="AG37:AJ37"/>
    <mergeCell ref="AG38:AJ38"/>
    <mergeCell ref="AG40:AJ40"/>
    <mergeCell ref="AG41:AJ41"/>
    <mergeCell ref="AH44:AK45"/>
    <mergeCell ref="AG27:AJ28"/>
    <mergeCell ref="AG32:AJ33"/>
    <mergeCell ref="AK32:AN33"/>
    <mergeCell ref="AO32:AP32"/>
    <mergeCell ref="AG34:AJ34"/>
    <mergeCell ref="AK34:AN34"/>
    <mergeCell ref="AG36:AJ36"/>
    <mergeCell ref="Q11:Q12"/>
    <mergeCell ref="R11:R12"/>
    <mergeCell ref="Q15:Q19"/>
    <mergeCell ref="R15:R19"/>
    <mergeCell ref="AA11:AB12"/>
    <mergeCell ref="AC11:AF11"/>
    <mergeCell ref="AC12:AF12"/>
    <mergeCell ref="AG13:AJ14"/>
    <mergeCell ref="AK13:AN14"/>
    <mergeCell ref="AO13:AP14"/>
    <mergeCell ref="H11:H19"/>
    <mergeCell ref="G13:G19"/>
    <mergeCell ref="J11:J12"/>
    <mergeCell ref="K13:K14"/>
    <mergeCell ref="L13:L14"/>
    <mergeCell ref="M13:M14"/>
    <mergeCell ref="N13:N14"/>
    <mergeCell ref="O13:O14"/>
    <mergeCell ref="V11:V12"/>
    <mergeCell ref="Z11:Z12"/>
    <mergeCell ref="V15:V19"/>
    <mergeCell ref="W15:W19"/>
    <mergeCell ref="Z15:Z19"/>
    <mergeCell ref="AA15:AB19"/>
    <mergeCell ref="AC15:AF19"/>
    <mergeCell ref="F21:F24"/>
    <mergeCell ref="M21:M24"/>
    <mergeCell ref="H22:H24"/>
    <mergeCell ref="I22:I23"/>
    <mergeCell ref="J23:J24"/>
    <mergeCell ref="G26:G31"/>
    <mergeCell ref="H26:H31"/>
    <mergeCell ref="I26:I28"/>
    <mergeCell ref="J27:J31"/>
    <mergeCell ref="K27:K28"/>
    <mergeCell ref="L27:L28"/>
    <mergeCell ref="M27:M28"/>
    <mergeCell ref="O27:O28"/>
    <mergeCell ref="P27:P28"/>
    <mergeCell ref="Q27:Q28"/>
    <mergeCell ref="R27:R28"/>
    <mergeCell ref="V27:V28"/>
    <mergeCell ref="AA29:AB31"/>
    <mergeCell ref="AC29:AF31"/>
    <mergeCell ref="AG29:AJ31"/>
    <mergeCell ref="AK29:AN31"/>
    <mergeCell ref="AO29:AP31"/>
    <mergeCell ref="O29:O31"/>
    <mergeCell ref="P29:P31"/>
    <mergeCell ref="Q29:Q31"/>
    <mergeCell ref="R29:R31"/>
    <mergeCell ref="V29:V31"/>
    <mergeCell ref="W29:W31"/>
    <mergeCell ref="Z29:Z31"/>
    <mergeCell ref="AA9:AC9"/>
    <mergeCell ref="AA26:AB26"/>
    <mergeCell ref="AD9:AF9"/>
    <mergeCell ref="A11:B40"/>
    <mergeCell ref="I11:I14"/>
    <mergeCell ref="E13:E24"/>
    <mergeCell ref="I15:I19"/>
    <mergeCell ref="E26:E40"/>
    <mergeCell ref="AC26:AF26"/>
    <mergeCell ref="AA50:AB50"/>
    <mergeCell ref="AA51:AB51"/>
    <mergeCell ref="AA52:AB52"/>
    <mergeCell ref="AA53:AB53"/>
    <mergeCell ref="P45:U46"/>
    <mergeCell ref="AA46:AB46"/>
    <mergeCell ref="Q47:R47"/>
    <mergeCell ref="AA47:AB47"/>
    <mergeCell ref="Q48:R48"/>
    <mergeCell ref="AA48:AB48"/>
    <mergeCell ref="AA49:AB49"/>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1" max="1" width="19.57"/>
    <col customWidth="1" min="2" max="2" width="31.29"/>
    <col customWidth="1" min="3" max="3" width="23.86"/>
    <col customWidth="1" min="4" max="4" width="18.71"/>
    <col customWidth="1" min="5" max="5" width="26.43"/>
    <col customWidth="1" min="6" max="6" width="27.14"/>
    <col customWidth="1" min="7" max="7" width="22.0"/>
    <col customWidth="1" min="8" max="8" width="25.43"/>
    <col customWidth="1" min="9" max="9" width="32.71"/>
    <col customWidth="1" min="10" max="10" width="34.43"/>
    <col customWidth="1" min="11" max="11" width="75.0"/>
    <col customWidth="1" min="12" max="12" width="35.14"/>
    <col customWidth="1" min="14" max="14" width="43.57"/>
    <col customWidth="1" min="17" max="17" width="25.86"/>
    <col customWidth="1" min="26" max="26" width="23.29"/>
    <col customWidth="1" min="27" max="29" width="6.14"/>
    <col customWidth="1" min="30" max="30" width="22.14"/>
    <col customWidth="1" min="31" max="36" width="6.14"/>
    <col customWidth="1" min="37" max="37" width="9.43"/>
    <col customWidth="1" min="38" max="40" width="6.14"/>
    <col customWidth="1" min="41" max="41" width="18.14"/>
    <col customWidth="1" min="42" max="42" width="6.14"/>
    <col customWidth="1" min="43" max="43" width="20.86"/>
    <col customWidth="1" min="44" max="45" width="6.14"/>
  </cols>
  <sheetData>
    <row r="1" ht="49.5" customHeight="1">
      <c r="A1" s="1"/>
      <c r="B1" s="2"/>
      <c r="C1" s="2"/>
    </row>
    <row r="2" ht="15.75" customHeight="1">
      <c r="A2" s="3"/>
      <c r="B2" s="3"/>
      <c r="C2" s="3"/>
      <c r="D2" s="3"/>
      <c r="E2" s="3"/>
      <c r="F2" s="3"/>
      <c r="G2" s="3"/>
      <c r="H2" s="3"/>
      <c r="I2" s="3"/>
      <c r="J2" s="3"/>
      <c r="K2" s="3"/>
      <c r="L2" s="3"/>
      <c r="M2" s="4"/>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row>
    <row r="3" ht="15.75" customHeight="1">
      <c r="A3" s="220" t="s">
        <v>0</v>
      </c>
      <c r="B3" s="221" t="s">
        <v>1</v>
      </c>
      <c r="C3" s="9"/>
      <c r="D3" s="172"/>
      <c r="E3" s="7"/>
      <c r="F3" s="3"/>
      <c r="G3" s="3"/>
      <c r="H3" s="3"/>
      <c r="I3" s="3"/>
      <c r="J3" s="3"/>
      <c r="K3" s="3"/>
      <c r="L3" s="3"/>
      <c r="M3" s="3"/>
      <c r="N3" s="3"/>
      <c r="O3" s="3"/>
      <c r="P3" s="3"/>
      <c r="Q3" s="3"/>
      <c r="R3" s="3"/>
      <c r="S3" s="3"/>
      <c r="T3" s="3"/>
      <c r="U3" s="3"/>
      <c r="V3" s="3"/>
      <c r="W3" s="3"/>
      <c r="X3" s="3"/>
      <c r="Y3" s="3"/>
      <c r="Z3" s="3"/>
      <c r="AA3" s="222" t="s">
        <v>179</v>
      </c>
      <c r="AE3" s="223" t="s">
        <v>179</v>
      </c>
      <c r="AO3" s="3"/>
      <c r="AP3" s="3"/>
      <c r="AQ3" s="3"/>
      <c r="AR3" s="3"/>
      <c r="AS3" s="3"/>
    </row>
    <row r="4" ht="15.75" customHeight="1">
      <c r="A4" s="191"/>
      <c r="B4" s="191"/>
      <c r="C4" s="173"/>
      <c r="D4" s="172"/>
      <c r="E4" s="8"/>
      <c r="F4" s="255" t="s">
        <v>197</v>
      </c>
      <c r="I4" s="3"/>
      <c r="J4" s="3"/>
      <c r="K4" s="3"/>
      <c r="L4" s="3"/>
      <c r="M4" s="3"/>
      <c r="N4" s="3"/>
      <c r="O4" s="3"/>
      <c r="P4" s="3"/>
      <c r="Q4" s="3"/>
      <c r="R4" s="9"/>
      <c r="S4" s="9"/>
      <c r="T4" s="9"/>
      <c r="U4" s="9"/>
      <c r="V4" s="10"/>
      <c r="W4" s="9"/>
      <c r="X4" s="9"/>
      <c r="Y4" s="9"/>
      <c r="Z4" s="9"/>
      <c r="AA4" s="224" t="s">
        <v>180</v>
      </c>
      <c r="AE4" s="225" t="s">
        <v>181</v>
      </c>
      <c r="AO4" s="9"/>
      <c r="AP4" s="9"/>
      <c r="AQ4" s="9"/>
      <c r="AR4" s="9"/>
      <c r="AS4" s="9"/>
    </row>
    <row r="5" ht="15.75" customHeight="1">
      <c r="A5" s="226" t="s">
        <v>4</v>
      </c>
      <c r="B5" s="227">
        <v>1910200.0</v>
      </c>
      <c r="C5" s="175">
        <v>2198126.0</v>
      </c>
      <c r="D5" s="172"/>
      <c r="E5" s="12"/>
      <c r="I5" s="3"/>
      <c r="J5" s="3"/>
      <c r="K5" s="3"/>
      <c r="L5" s="3"/>
      <c r="M5" s="3"/>
      <c r="N5" s="3"/>
      <c r="O5" s="3"/>
      <c r="P5" s="3"/>
      <c r="Q5" s="3"/>
      <c r="R5" s="9"/>
      <c r="S5" s="9"/>
      <c r="T5" s="9"/>
      <c r="U5" s="9"/>
      <c r="V5" s="10"/>
      <c r="W5" s="13"/>
      <c r="X5" s="9"/>
      <c r="Y5" s="9"/>
      <c r="Z5" s="9"/>
      <c r="AA5" s="228"/>
      <c r="AB5" s="228"/>
      <c r="AC5" s="228"/>
      <c r="AD5" s="229" t="s">
        <v>182</v>
      </c>
      <c r="AE5" s="228"/>
      <c r="AF5" s="228"/>
      <c r="AG5" s="228"/>
      <c r="AH5" s="228"/>
      <c r="AI5" s="228"/>
      <c r="AJ5" s="228"/>
      <c r="AK5" s="228"/>
      <c r="AL5" s="228"/>
      <c r="AM5" s="228"/>
      <c r="AN5" s="228"/>
      <c r="AO5" s="9"/>
      <c r="AP5" s="9"/>
      <c r="AQ5" s="9"/>
      <c r="AR5" s="9"/>
      <c r="AS5" s="9"/>
    </row>
    <row r="6" ht="15.75" customHeight="1">
      <c r="A6" s="170" t="s">
        <v>5</v>
      </c>
      <c r="B6" s="171" t="s">
        <v>6</v>
      </c>
      <c r="C6" s="176"/>
      <c r="D6" s="172"/>
      <c r="E6" s="8"/>
      <c r="I6" s="3"/>
      <c r="J6" s="3"/>
      <c r="K6" s="3"/>
      <c r="L6" s="3"/>
      <c r="M6" s="3"/>
      <c r="N6" s="3"/>
      <c r="O6" s="3"/>
      <c r="P6" s="3"/>
      <c r="Q6" s="3"/>
      <c r="R6" s="9"/>
      <c r="S6" s="9"/>
      <c r="T6" s="9"/>
      <c r="U6" s="15"/>
      <c r="V6" s="10"/>
      <c r="W6" s="10"/>
      <c r="X6" s="9"/>
      <c r="Y6" s="9"/>
      <c r="Z6" s="9"/>
      <c r="AA6" s="230"/>
      <c r="AB6" s="230"/>
      <c r="AC6" s="230"/>
      <c r="AD6" s="229" t="s">
        <v>183</v>
      </c>
      <c r="AE6" s="230"/>
      <c r="AF6" s="230"/>
      <c r="AG6" s="230"/>
      <c r="AH6" s="230"/>
      <c r="AI6" s="230"/>
      <c r="AJ6" s="230"/>
      <c r="AK6" s="230"/>
      <c r="AL6" s="230"/>
      <c r="AM6" s="230"/>
      <c r="AN6" s="230"/>
      <c r="AO6" s="16"/>
      <c r="AP6" s="16"/>
      <c r="AQ6" s="16"/>
      <c r="AR6" s="16"/>
      <c r="AS6" s="16"/>
    </row>
    <row r="7" ht="15.75" customHeight="1">
      <c r="A7" s="9"/>
      <c r="B7" s="171" t="s">
        <v>7</v>
      </c>
      <c r="C7" s="178" t="s">
        <v>8</v>
      </c>
      <c r="D7" s="172"/>
      <c r="E7" s="7"/>
      <c r="I7" s="231"/>
      <c r="K7" s="3"/>
      <c r="L7" s="3"/>
      <c r="M7" s="3"/>
      <c r="N7" s="3"/>
      <c r="O7" s="3"/>
      <c r="P7" s="3"/>
      <c r="Q7" s="3"/>
      <c r="R7" s="9"/>
      <c r="S7" s="9"/>
      <c r="T7" s="9"/>
      <c r="U7" s="9"/>
      <c r="V7" s="9"/>
      <c r="W7" s="9"/>
      <c r="X7" s="9"/>
      <c r="Y7" s="9"/>
      <c r="Z7" s="9"/>
      <c r="AA7" s="18" t="s">
        <v>9</v>
      </c>
      <c r="AG7" s="19" t="s">
        <v>10</v>
      </c>
      <c r="AO7" s="16"/>
      <c r="AP7" s="16"/>
      <c r="AQ7" s="16"/>
      <c r="AR7" s="16"/>
      <c r="AS7" s="16"/>
    </row>
    <row r="8" ht="15.75" customHeight="1">
      <c r="A8" s="9"/>
      <c r="B8" s="180" t="s">
        <v>12</v>
      </c>
      <c r="C8" s="181" t="s">
        <v>13</v>
      </c>
      <c r="D8" s="181" t="s">
        <v>14</v>
      </c>
      <c r="E8" s="182"/>
      <c r="K8" s="7"/>
      <c r="L8" s="9"/>
      <c r="M8" s="9"/>
      <c r="N8" s="9"/>
      <c r="O8" s="9"/>
      <c r="P8" s="9"/>
      <c r="Q8" s="9"/>
      <c r="R8" s="23"/>
      <c r="S8" s="23"/>
      <c r="T8" s="23"/>
      <c r="U8" s="23"/>
      <c r="V8" s="23"/>
      <c r="W8" s="23"/>
      <c r="X8" s="23"/>
      <c r="Y8" s="23"/>
      <c r="Z8" s="23"/>
      <c r="AA8" s="232" t="s">
        <v>19</v>
      </c>
      <c r="AB8" s="233"/>
      <c r="AC8" s="234"/>
      <c r="AD8" s="232" t="s">
        <v>20</v>
      </c>
      <c r="AE8" s="233"/>
      <c r="AF8" s="233"/>
      <c r="AG8" s="232" t="s">
        <v>21</v>
      </c>
      <c r="AH8" s="233"/>
      <c r="AI8" s="233"/>
      <c r="AJ8" s="234"/>
      <c r="AK8" s="232" t="s">
        <v>22</v>
      </c>
      <c r="AL8" s="233"/>
      <c r="AM8" s="233"/>
      <c r="AN8" s="234"/>
      <c r="AO8" s="232" t="s">
        <v>25</v>
      </c>
      <c r="AP8" s="234"/>
      <c r="AQ8" s="27"/>
      <c r="AR8" s="27"/>
      <c r="AS8" s="27"/>
    </row>
    <row r="9" ht="15.75" customHeight="1">
      <c r="A9" s="9"/>
      <c r="B9" s="183">
        <v>1.6E7</v>
      </c>
      <c r="C9" s="183">
        <f>B9*D9</f>
        <v>9760000</v>
      </c>
      <c r="D9" s="184">
        <v>0.61</v>
      </c>
      <c r="E9" s="7"/>
      <c r="K9" s="7"/>
      <c r="L9" s="9"/>
      <c r="M9" s="9"/>
      <c r="N9" s="9"/>
      <c r="O9" s="9"/>
      <c r="P9" s="9"/>
      <c r="Q9" s="9"/>
      <c r="R9" s="23"/>
      <c r="S9" s="23"/>
      <c r="T9" s="23"/>
      <c r="U9" s="23" t="s">
        <v>16</v>
      </c>
      <c r="V9" s="23"/>
      <c r="W9" s="23"/>
      <c r="X9" s="23"/>
      <c r="Y9" s="23" t="s">
        <v>17</v>
      </c>
      <c r="Z9" s="235" t="s">
        <v>184</v>
      </c>
      <c r="AA9" s="236" t="s">
        <v>14</v>
      </c>
      <c r="AB9" s="233"/>
      <c r="AC9" s="234"/>
      <c r="AD9" s="236" t="s">
        <v>14</v>
      </c>
      <c r="AE9" s="233"/>
      <c r="AF9" s="234"/>
      <c r="AG9" s="236" t="s">
        <v>14</v>
      </c>
      <c r="AH9" s="233"/>
      <c r="AI9" s="233"/>
      <c r="AJ9" s="233"/>
      <c r="AK9" s="237" t="s">
        <v>14</v>
      </c>
      <c r="AL9" s="233"/>
      <c r="AM9" s="233"/>
      <c r="AN9" s="234"/>
      <c r="AO9" s="238">
        <v>0.61</v>
      </c>
      <c r="AP9" s="234"/>
      <c r="AQ9" s="27"/>
      <c r="AR9" s="27"/>
      <c r="AS9" s="27"/>
    </row>
    <row r="10" ht="15.75" customHeight="1">
      <c r="A10" s="256" t="s">
        <v>26</v>
      </c>
      <c r="B10" s="111"/>
      <c r="C10" s="257" t="s">
        <v>5</v>
      </c>
      <c r="D10" s="257" t="s">
        <v>27</v>
      </c>
      <c r="E10" s="258" t="s">
        <v>28</v>
      </c>
      <c r="F10" s="36" t="s">
        <v>29</v>
      </c>
      <c r="G10" s="36" t="s">
        <v>30</v>
      </c>
      <c r="H10" s="36" t="s">
        <v>31</v>
      </c>
      <c r="I10" s="36"/>
      <c r="J10" s="36"/>
      <c r="K10" s="36" t="s">
        <v>32</v>
      </c>
      <c r="L10" s="37" t="s">
        <v>33</v>
      </c>
      <c r="M10" s="37" t="s">
        <v>36</v>
      </c>
      <c r="N10" s="37" t="s">
        <v>185</v>
      </c>
      <c r="O10" s="37" t="s">
        <v>37</v>
      </c>
      <c r="P10" s="37" t="s">
        <v>38</v>
      </c>
      <c r="Q10" s="37" t="s">
        <v>39</v>
      </c>
      <c r="R10" s="37" t="s">
        <v>40</v>
      </c>
      <c r="S10" s="37" t="s">
        <v>148</v>
      </c>
      <c r="T10" s="37" t="s">
        <v>41</v>
      </c>
      <c r="U10" s="37" t="s">
        <v>42</v>
      </c>
      <c r="V10" s="37" t="s">
        <v>43</v>
      </c>
      <c r="W10" s="37" t="s">
        <v>44</v>
      </c>
      <c r="X10" s="37" t="s">
        <v>149</v>
      </c>
      <c r="Y10" s="37" t="s">
        <v>46</v>
      </c>
      <c r="Z10" s="37" t="s">
        <v>47</v>
      </c>
      <c r="AA10" s="38" t="s">
        <v>48</v>
      </c>
      <c r="AB10" s="39" t="s">
        <v>49</v>
      </c>
      <c r="AC10" s="39" t="s">
        <v>50</v>
      </c>
      <c r="AD10" s="39" t="s">
        <v>51</v>
      </c>
      <c r="AE10" s="39" t="s">
        <v>48</v>
      </c>
      <c r="AF10" s="40" t="s">
        <v>49</v>
      </c>
      <c r="AG10" s="38" t="s">
        <v>50</v>
      </c>
      <c r="AH10" s="39" t="s">
        <v>51</v>
      </c>
      <c r="AI10" s="39" t="s">
        <v>48</v>
      </c>
      <c r="AJ10" s="40" t="s">
        <v>49</v>
      </c>
      <c r="AK10" s="38" t="s">
        <v>50</v>
      </c>
      <c r="AL10" s="39" t="s">
        <v>51</v>
      </c>
      <c r="AM10" s="39" t="s">
        <v>48</v>
      </c>
      <c r="AN10" s="40" t="s">
        <v>49</v>
      </c>
      <c r="AO10" s="39"/>
      <c r="AQ10" s="39"/>
      <c r="AR10" s="39"/>
      <c r="AS10" s="39"/>
    </row>
    <row r="11" ht="15.75" customHeight="1">
      <c r="A11" s="259" t="s">
        <v>59</v>
      </c>
      <c r="B11" s="260"/>
      <c r="C11" s="261" t="s">
        <v>60</v>
      </c>
      <c r="D11" s="262"/>
      <c r="E11" s="263"/>
      <c r="F11" s="264" t="s">
        <v>52</v>
      </c>
      <c r="G11" s="265"/>
      <c r="H11" s="266">
        <f>E13*G13</f>
        <v>573060</v>
      </c>
      <c r="I11" s="263" t="s">
        <v>53</v>
      </c>
      <c r="J11" s="263" t="s">
        <v>150</v>
      </c>
      <c r="K11" s="263" t="s">
        <v>55</v>
      </c>
      <c r="L11" s="267" t="s">
        <v>56</v>
      </c>
      <c r="M11" s="268">
        <v>1.0</v>
      </c>
      <c r="N11" s="269" t="s">
        <v>186</v>
      </c>
      <c r="O11" s="270">
        <v>0.12</v>
      </c>
      <c r="P11" s="271">
        <f>H11*O11</f>
        <v>68767.2</v>
      </c>
      <c r="Q11" s="272" t="s">
        <v>57</v>
      </c>
      <c r="R11" s="273"/>
      <c r="S11" s="274"/>
      <c r="T11" s="274"/>
      <c r="U11" s="274"/>
      <c r="V11" s="275">
        <v>4.85</v>
      </c>
      <c r="W11" s="274"/>
      <c r="X11" s="274"/>
      <c r="Y11" s="274"/>
      <c r="Z11" s="268">
        <f>P11/V11*1000</f>
        <v>14178804.12</v>
      </c>
      <c r="AA11" s="77">
        <f>P11</f>
        <v>68767.2</v>
      </c>
      <c r="AC11" s="60"/>
      <c r="AF11" s="32"/>
      <c r="AG11" s="61"/>
      <c r="AH11" s="60"/>
      <c r="AI11" s="60"/>
      <c r="AJ11" s="62"/>
      <c r="AK11" s="61"/>
      <c r="AL11" s="60"/>
      <c r="AM11" s="60"/>
      <c r="AN11" s="62"/>
      <c r="AO11" s="185">
        <f>SUM(AA11:AN12)</f>
        <v>68767.2</v>
      </c>
      <c r="AQ11" s="188"/>
      <c r="AR11" s="188"/>
      <c r="AS11" s="188"/>
    </row>
    <row r="12" ht="15.75" customHeight="1">
      <c r="A12" s="276"/>
      <c r="B12" s="277"/>
      <c r="C12" s="276"/>
      <c r="D12" s="278"/>
      <c r="E12" s="279"/>
      <c r="G12" s="280"/>
      <c r="H12" s="277"/>
      <c r="I12" s="281"/>
      <c r="J12" s="282"/>
      <c r="K12" s="282"/>
      <c r="L12" s="282"/>
      <c r="M12" s="282"/>
      <c r="N12" s="282"/>
      <c r="O12" s="282"/>
      <c r="P12" s="282"/>
      <c r="Q12" s="282"/>
      <c r="R12" s="282"/>
      <c r="S12" s="274"/>
      <c r="T12" s="274"/>
      <c r="U12" s="274"/>
      <c r="V12" s="282"/>
      <c r="W12" s="274"/>
      <c r="X12" s="274"/>
      <c r="Y12" s="274"/>
      <c r="Z12" s="282"/>
      <c r="AC12" s="60"/>
      <c r="AF12" s="32"/>
      <c r="AG12" s="61"/>
      <c r="AH12" s="60"/>
      <c r="AI12" s="60"/>
      <c r="AJ12" s="62"/>
      <c r="AK12" s="61"/>
      <c r="AL12" s="60"/>
      <c r="AM12" s="60"/>
      <c r="AN12" s="62"/>
      <c r="AQ12" s="188"/>
      <c r="AR12" s="188"/>
      <c r="AS12" s="188"/>
    </row>
    <row r="13" ht="15.75" customHeight="1">
      <c r="A13" s="276"/>
      <c r="B13" s="277"/>
      <c r="C13" s="276"/>
      <c r="D13" s="283">
        <v>0.6</v>
      </c>
      <c r="E13" s="284">
        <f>V43*D13</f>
        <v>1146120</v>
      </c>
      <c r="G13" s="280">
        <v>0.5</v>
      </c>
      <c r="H13" s="277"/>
      <c r="I13" s="281"/>
      <c r="J13" s="285" t="s">
        <v>151</v>
      </c>
      <c r="K13" s="263" t="s">
        <v>160</v>
      </c>
      <c r="L13" s="267" t="s">
        <v>161</v>
      </c>
      <c r="M13" s="268">
        <v>1.0</v>
      </c>
      <c r="N13" s="269" t="s">
        <v>187</v>
      </c>
      <c r="O13" s="270">
        <v>0.48</v>
      </c>
      <c r="P13" s="271">
        <f>H11*O13</f>
        <v>275068.8</v>
      </c>
      <c r="Q13" s="272" t="s">
        <v>44</v>
      </c>
      <c r="R13" s="275">
        <v>0.07</v>
      </c>
      <c r="S13" s="274"/>
      <c r="T13" s="274"/>
      <c r="U13" s="274"/>
      <c r="V13" s="275">
        <v>4.85</v>
      </c>
      <c r="W13" s="268">
        <f>P13/R13</f>
        <v>3929554.286</v>
      </c>
      <c r="X13" s="274"/>
      <c r="Y13" s="274"/>
      <c r="Z13" s="268">
        <f>P13/V13*1000</f>
        <v>56715216.49</v>
      </c>
      <c r="AA13" s="60"/>
      <c r="AC13" s="77">
        <v>150000.0</v>
      </c>
      <c r="AF13" s="32"/>
      <c r="AG13" s="77">
        <v>90000.0</v>
      </c>
      <c r="AJ13" s="32"/>
      <c r="AK13" s="77">
        <v>35069.0</v>
      </c>
      <c r="AN13" s="32"/>
      <c r="AO13" s="185">
        <f>SUM(AA13:AN14)</f>
        <v>275069</v>
      </c>
      <c r="AQ13" s="185"/>
      <c r="AR13" s="185"/>
      <c r="AS13" s="185"/>
    </row>
    <row r="14" ht="36.0" customHeight="1">
      <c r="A14" s="276"/>
      <c r="B14" s="277"/>
      <c r="C14" s="276"/>
      <c r="D14" s="276"/>
      <c r="E14" s="281"/>
      <c r="F14" s="286"/>
      <c r="G14" s="282"/>
      <c r="H14" s="287"/>
      <c r="I14" s="282"/>
      <c r="J14" s="282"/>
      <c r="K14" s="282"/>
      <c r="L14" s="282"/>
      <c r="M14" s="282"/>
      <c r="N14" s="282"/>
      <c r="O14" s="282"/>
      <c r="P14" s="282"/>
      <c r="Q14" s="282"/>
      <c r="R14" s="282"/>
      <c r="S14" s="274"/>
      <c r="T14" s="274"/>
      <c r="U14" s="274"/>
      <c r="V14" s="282"/>
      <c r="W14" s="282"/>
      <c r="X14" s="274"/>
      <c r="Y14" s="274"/>
      <c r="Z14" s="282"/>
      <c r="AF14" s="32"/>
      <c r="AJ14" s="32"/>
      <c r="AN14" s="32"/>
      <c r="AQ14" s="185"/>
      <c r="AR14" s="185"/>
      <c r="AS14" s="185"/>
    </row>
    <row r="15" ht="6.75" customHeight="1">
      <c r="A15" s="276"/>
      <c r="B15" s="277"/>
      <c r="C15" s="276"/>
      <c r="D15" s="276"/>
      <c r="E15" s="281"/>
      <c r="F15" s="288"/>
      <c r="G15" s="289"/>
      <c r="H15" s="290"/>
      <c r="I15" s="290"/>
      <c r="J15" s="290"/>
      <c r="K15" s="290"/>
      <c r="L15" s="291"/>
      <c r="M15" s="292"/>
      <c r="N15" s="291"/>
      <c r="O15" s="291"/>
      <c r="P15" s="293"/>
      <c r="Q15" s="294"/>
      <c r="R15" s="295"/>
      <c r="S15" s="295"/>
      <c r="T15" s="295"/>
      <c r="U15" s="295"/>
      <c r="V15" s="295"/>
      <c r="W15" s="292"/>
      <c r="X15" s="295"/>
      <c r="Y15" s="295"/>
      <c r="Z15" s="292"/>
      <c r="AA15" s="97"/>
      <c r="AB15" s="97"/>
      <c r="AC15" s="97"/>
      <c r="AD15" s="97"/>
      <c r="AE15" s="97"/>
      <c r="AF15" s="98"/>
      <c r="AG15" s="96"/>
      <c r="AH15" s="97"/>
      <c r="AI15" s="97"/>
      <c r="AJ15" s="98"/>
      <c r="AK15" s="96"/>
      <c r="AL15" s="97"/>
      <c r="AM15" s="97"/>
      <c r="AN15" s="98"/>
      <c r="AO15" s="186"/>
      <c r="AP15" s="186"/>
      <c r="AQ15" s="186"/>
      <c r="AR15" s="186"/>
      <c r="AS15" s="186"/>
    </row>
    <row r="16" ht="15.75" customHeight="1">
      <c r="A16" s="276"/>
      <c r="B16" s="277"/>
      <c r="C16" s="276"/>
      <c r="D16" s="276"/>
      <c r="E16" s="281"/>
      <c r="F16" s="296" t="s">
        <v>75</v>
      </c>
      <c r="G16" s="265"/>
      <c r="H16" s="266">
        <f>E13*G19</f>
        <v>573060</v>
      </c>
      <c r="I16" s="263" t="s">
        <v>79</v>
      </c>
      <c r="J16" s="263" t="s">
        <v>80</v>
      </c>
      <c r="K16" s="263"/>
      <c r="L16" s="267"/>
      <c r="M16" s="297" t="s">
        <v>163</v>
      </c>
      <c r="N16" s="298"/>
      <c r="O16" s="298"/>
      <c r="P16" s="299"/>
      <c r="Q16" s="300"/>
      <c r="R16" s="274"/>
      <c r="S16" s="301"/>
      <c r="T16" s="274"/>
      <c r="U16" s="274"/>
      <c r="V16" s="274"/>
      <c r="W16" s="274"/>
      <c r="X16" s="302"/>
      <c r="Y16" s="274"/>
      <c r="Z16" s="274"/>
      <c r="AA16" s="60"/>
      <c r="AC16" s="61"/>
      <c r="AF16" s="32"/>
      <c r="AG16" s="61"/>
      <c r="AJ16" s="32"/>
      <c r="AK16" s="61"/>
      <c r="AN16" s="32"/>
      <c r="AO16" s="188" t="str">
        <f>AC16</f>
        <v/>
      </c>
      <c r="AQ16" s="188"/>
      <c r="AR16" s="188"/>
      <c r="AS16" s="188"/>
    </row>
    <row r="17" ht="15.75" customHeight="1">
      <c r="A17" s="276"/>
      <c r="B17" s="277"/>
      <c r="C17" s="276"/>
      <c r="D17" s="276"/>
      <c r="E17" s="281"/>
      <c r="G17" s="280"/>
      <c r="H17" s="277"/>
      <c r="I17" s="281"/>
      <c r="J17" s="282"/>
      <c r="K17" s="282"/>
      <c r="L17" s="282"/>
      <c r="M17" s="281"/>
      <c r="N17" s="298"/>
      <c r="O17" s="298"/>
      <c r="P17" s="299"/>
      <c r="Q17" s="300"/>
      <c r="R17" s="274"/>
      <c r="S17" s="274"/>
      <c r="T17" s="274"/>
      <c r="U17" s="274"/>
      <c r="V17" s="299">
        <v>37.0</v>
      </c>
      <c r="W17" s="274"/>
      <c r="X17" s="274"/>
      <c r="Y17" s="274"/>
      <c r="Z17" s="302">
        <f>P17/V17*1000</f>
        <v>0</v>
      </c>
      <c r="AA17" s="60"/>
      <c r="AC17" s="61"/>
      <c r="AF17" s="32"/>
      <c r="AG17" s="107">
        <v>140000.0</v>
      </c>
      <c r="AJ17" s="32"/>
      <c r="AK17" s="79">
        <v>60571.0</v>
      </c>
      <c r="AN17" s="32"/>
      <c r="AO17" s="185">
        <f t="shared" ref="AO17:AO19" si="1">sum(AA17:AN17)</f>
        <v>200571</v>
      </c>
      <c r="AQ17" s="188"/>
      <c r="AR17" s="188"/>
      <c r="AS17" s="188"/>
    </row>
    <row r="18" ht="15.75" customHeight="1">
      <c r="A18" s="276"/>
      <c r="B18" s="277"/>
      <c r="C18" s="276"/>
      <c r="D18" s="276"/>
      <c r="E18" s="281"/>
      <c r="G18" s="280"/>
      <c r="H18" s="277"/>
      <c r="I18" s="282"/>
      <c r="J18" s="263" t="s">
        <v>77</v>
      </c>
      <c r="K18" s="263" t="s">
        <v>83</v>
      </c>
      <c r="L18" s="267" t="s">
        <v>63</v>
      </c>
      <c r="M18" s="281"/>
      <c r="N18" s="303" t="s">
        <v>198</v>
      </c>
      <c r="O18" s="298"/>
      <c r="P18" s="299"/>
      <c r="Q18" s="300"/>
      <c r="R18" s="274"/>
      <c r="S18" s="301">
        <v>0.1</v>
      </c>
      <c r="T18" s="274"/>
      <c r="U18" s="274"/>
      <c r="V18" s="274"/>
      <c r="W18" s="274"/>
      <c r="X18" s="302">
        <f t="shared" ref="X18:X19" si="2">P18/S18</f>
        <v>0</v>
      </c>
      <c r="Y18" s="274"/>
      <c r="Z18" s="274"/>
      <c r="AA18" s="60"/>
      <c r="AC18" s="79">
        <v>100000.0</v>
      </c>
      <c r="AF18" s="32"/>
      <c r="AG18" s="79">
        <v>43265.0</v>
      </c>
      <c r="AJ18" s="32"/>
      <c r="AK18" s="61"/>
      <c r="AN18" s="32"/>
      <c r="AO18" s="185">
        <f t="shared" si="1"/>
        <v>143265</v>
      </c>
      <c r="AQ18" s="188"/>
      <c r="AR18" s="188"/>
      <c r="AS18" s="188"/>
    </row>
    <row r="19" ht="15.75" customHeight="1">
      <c r="A19" s="276"/>
      <c r="B19" s="277"/>
      <c r="C19" s="304"/>
      <c r="D19" s="304"/>
      <c r="E19" s="282"/>
      <c r="F19" s="286"/>
      <c r="G19" s="305">
        <v>0.5</v>
      </c>
      <c r="H19" s="287"/>
      <c r="I19" s="306" t="s">
        <v>53</v>
      </c>
      <c r="J19" s="282"/>
      <c r="K19" s="282"/>
      <c r="L19" s="282"/>
      <c r="M19" s="282"/>
      <c r="N19" s="298"/>
      <c r="O19" s="298"/>
      <c r="P19" s="299"/>
      <c r="Q19" s="300"/>
      <c r="R19" s="274"/>
      <c r="S19" s="301">
        <v>0.1</v>
      </c>
      <c r="T19" s="274"/>
      <c r="U19" s="274"/>
      <c r="V19" s="274"/>
      <c r="W19" s="274"/>
      <c r="X19" s="302">
        <f t="shared" si="2"/>
        <v>0</v>
      </c>
      <c r="Y19" s="274"/>
      <c r="Z19" s="274"/>
      <c r="AA19" s="60"/>
      <c r="AC19" s="77">
        <v>133243.0</v>
      </c>
      <c r="AF19" s="32"/>
      <c r="AG19" s="77">
        <v>70000.0</v>
      </c>
      <c r="AJ19" s="32"/>
      <c r="AK19" s="77">
        <v>25980.0</v>
      </c>
      <c r="AN19" s="32"/>
      <c r="AO19" s="185">
        <f t="shared" si="1"/>
        <v>229223</v>
      </c>
      <c r="AQ19" s="188"/>
      <c r="AR19" s="188"/>
      <c r="AS19" s="188"/>
    </row>
    <row r="20" ht="7.5" customHeight="1">
      <c r="A20" s="276"/>
      <c r="B20" s="277"/>
      <c r="C20" s="307"/>
      <c r="D20" s="308"/>
      <c r="E20" s="309"/>
      <c r="F20" s="310"/>
      <c r="G20" s="311"/>
      <c r="H20" s="310"/>
      <c r="I20" s="310"/>
      <c r="J20" s="310"/>
      <c r="K20" s="310"/>
      <c r="L20" s="312"/>
      <c r="M20" s="292"/>
      <c r="N20" s="312"/>
      <c r="O20" s="312"/>
      <c r="P20" s="313"/>
      <c r="Q20" s="314"/>
      <c r="R20" s="315"/>
      <c r="S20" s="315"/>
      <c r="T20" s="315"/>
      <c r="U20" s="315"/>
      <c r="V20" s="315"/>
      <c r="W20" s="316"/>
      <c r="X20" s="315"/>
      <c r="Y20" s="315"/>
      <c r="Z20" s="316"/>
      <c r="AA20" s="124"/>
      <c r="AB20" s="124"/>
      <c r="AC20" s="124"/>
      <c r="AD20" s="124"/>
      <c r="AE20" s="124"/>
      <c r="AF20" s="125"/>
      <c r="AG20" s="123"/>
      <c r="AH20" s="124"/>
      <c r="AI20" s="124"/>
      <c r="AJ20" s="125"/>
      <c r="AK20" s="123"/>
      <c r="AL20" s="124"/>
      <c r="AM20" s="124"/>
      <c r="AN20" s="125"/>
      <c r="AO20" s="187"/>
      <c r="AP20" s="187"/>
      <c r="AQ20" s="187"/>
      <c r="AR20" s="187"/>
      <c r="AS20" s="187"/>
    </row>
    <row r="21" ht="15.75" customHeight="1">
      <c r="A21" s="276"/>
      <c r="B21" s="277"/>
      <c r="C21" s="317" t="s">
        <v>84</v>
      </c>
      <c r="D21" s="318">
        <v>0.4</v>
      </c>
      <c r="E21" s="319">
        <f>V43*D21</f>
        <v>764080</v>
      </c>
      <c r="F21" s="285" t="s">
        <v>135</v>
      </c>
      <c r="G21" s="265">
        <v>0.42</v>
      </c>
      <c r="H21" s="320">
        <f>E21*G21</f>
        <v>320913.6</v>
      </c>
      <c r="I21" s="263" t="s">
        <v>53</v>
      </c>
      <c r="J21" s="306" t="s">
        <v>86</v>
      </c>
      <c r="K21" s="306" t="s">
        <v>87</v>
      </c>
      <c r="L21" s="321" t="s">
        <v>56</v>
      </c>
      <c r="M21" s="302">
        <v>1.0</v>
      </c>
      <c r="N21" s="322" t="s">
        <v>189</v>
      </c>
      <c r="O21" s="298">
        <v>0.2</v>
      </c>
      <c r="P21" s="299">
        <f>H21*O21</f>
        <v>64182.72</v>
      </c>
      <c r="Q21" s="323" t="s">
        <v>88</v>
      </c>
      <c r="R21" s="274"/>
      <c r="S21" s="274"/>
      <c r="T21" s="274"/>
      <c r="U21" s="274"/>
      <c r="V21" s="301">
        <v>2.5</v>
      </c>
      <c r="W21" s="274"/>
      <c r="X21" s="274"/>
      <c r="Y21" s="274"/>
      <c r="Z21" s="302">
        <f t="shared" ref="Z21:Z22" si="3">P21/V21*1000</f>
        <v>25673088</v>
      </c>
      <c r="AA21" s="77">
        <v>25603.0</v>
      </c>
      <c r="AC21" s="77">
        <f>P21-AA21</f>
        <v>38579.72</v>
      </c>
      <c r="AF21" s="32"/>
      <c r="AG21" s="61"/>
      <c r="AH21" s="60"/>
      <c r="AI21" s="60"/>
      <c r="AJ21" s="62"/>
      <c r="AK21" s="61"/>
      <c r="AL21" s="60"/>
      <c r="AM21" s="60"/>
      <c r="AN21" s="62"/>
      <c r="AO21" s="185">
        <f>sum(AA21:AN21)</f>
        <v>64182.72</v>
      </c>
      <c r="AP21" s="188"/>
      <c r="AQ21" s="188"/>
      <c r="AR21" s="188"/>
      <c r="AS21" s="188"/>
    </row>
    <row r="22" ht="15.75" customHeight="1">
      <c r="A22" s="276"/>
      <c r="B22" s="277"/>
      <c r="C22" s="281"/>
      <c r="D22" s="281"/>
      <c r="E22" s="281"/>
      <c r="F22" s="281"/>
      <c r="G22" s="281"/>
      <c r="H22" s="281"/>
      <c r="I22" s="281"/>
      <c r="J22" s="263" t="s">
        <v>89</v>
      </c>
      <c r="K22" s="263" t="s">
        <v>190</v>
      </c>
      <c r="L22" s="267" t="s">
        <v>161</v>
      </c>
      <c r="M22" s="268">
        <v>2.0</v>
      </c>
      <c r="N22" s="267"/>
      <c r="O22" s="270">
        <v>0.3</v>
      </c>
      <c r="P22" s="271">
        <f>H21*O22</f>
        <v>96274.08</v>
      </c>
      <c r="Q22" s="324" t="s">
        <v>199</v>
      </c>
      <c r="R22" s="275">
        <v>0.5</v>
      </c>
      <c r="S22" s="274"/>
      <c r="T22" s="274"/>
      <c r="U22" s="274"/>
      <c r="V22" s="275">
        <v>2.5</v>
      </c>
      <c r="W22" s="268">
        <f>P22/R22</f>
        <v>192548.16</v>
      </c>
      <c r="X22" s="274"/>
      <c r="Y22" s="274"/>
      <c r="Z22" s="268">
        <f t="shared" si="3"/>
        <v>38509632</v>
      </c>
      <c r="AA22" s="60"/>
      <c r="AC22" s="77">
        <v>74183.0</v>
      </c>
      <c r="AF22" s="32"/>
      <c r="AG22" s="77">
        <v>22091.0</v>
      </c>
      <c r="AJ22" s="32"/>
      <c r="AK22" s="61"/>
      <c r="AL22" s="60"/>
      <c r="AM22" s="60"/>
      <c r="AN22" s="62"/>
      <c r="AO22" s="185">
        <f>SUM(AA22:AN23)</f>
        <v>96274</v>
      </c>
      <c r="AQ22" s="188"/>
      <c r="AR22" s="188"/>
      <c r="AS22" s="188"/>
    </row>
    <row r="23" ht="15.75" customHeight="1">
      <c r="A23" s="276"/>
      <c r="B23" s="277"/>
      <c r="C23" s="281"/>
      <c r="D23" s="281"/>
      <c r="E23" s="281"/>
      <c r="F23" s="281"/>
      <c r="G23" s="281"/>
      <c r="H23" s="281"/>
      <c r="I23" s="282"/>
      <c r="J23" s="281"/>
      <c r="K23" s="282"/>
      <c r="L23" s="282"/>
      <c r="M23" s="282"/>
      <c r="N23" s="282"/>
      <c r="O23" s="282"/>
      <c r="P23" s="282"/>
      <c r="Q23" s="282"/>
      <c r="R23" s="282"/>
      <c r="S23" s="274"/>
      <c r="T23" s="274"/>
      <c r="U23" s="274"/>
      <c r="V23" s="282"/>
      <c r="W23" s="282"/>
      <c r="X23" s="274"/>
      <c r="Y23" s="274"/>
      <c r="Z23" s="282"/>
      <c r="AF23" s="32"/>
      <c r="AJ23" s="32"/>
      <c r="AK23" s="61"/>
      <c r="AL23" s="60"/>
      <c r="AM23" s="60"/>
      <c r="AN23" s="62"/>
      <c r="AQ23" s="188"/>
      <c r="AR23" s="188"/>
      <c r="AS23" s="188"/>
    </row>
    <row r="24" ht="15.75" customHeight="1">
      <c r="A24" s="276"/>
      <c r="B24" s="277"/>
      <c r="C24" s="281"/>
      <c r="D24" s="281"/>
      <c r="E24" s="281"/>
      <c r="F24" s="281"/>
      <c r="G24" s="281"/>
      <c r="H24" s="281"/>
      <c r="I24" s="263" t="s">
        <v>65</v>
      </c>
      <c r="J24" s="281"/>
      <c r="K24" s="263" t="s">
        <v>192</v>
      </c>
      <c r="L24" s="267" t="s">
        <v>161</v>
      </c>
      <c r="M24" s="268">
        <v>1.0</v>
      </c>
      <c r="N24" s="267"/>
      <c r="O24" s="270">
        <v>0.5</v>
      </c>
      <c r="P24" s="271">
        <f>H21*O24</f>
        <v>160456.8</v>
      </c>
      <c r="Q24" s="324" t="s">
        <v>200</v>
      </c>
      <c r="R24" s="275">
        <v>0.5</v>
      </c>
      <c r="S24" s="274"/>
      <c r="T24" s="274"/>
      <c r="U24" s="274"/>
      <c r="V24" s="275">
        <v>2.5</v>
      </c>
      <c r="W24" s="268">
        <f>P24/R24</f>
        <v>320913.6</v>
      </c>
      <c r="X24" s="274"/>
      <c r="Y24" s="274"/>
      <c r="Z24" s="268">
        <f>P24/V24*1000</f>
        <v>64182720</v>
      </c>
      <c r="AA24" s="60"/>
      <c r="AC24" s="79">
        <v>99169.0</v>
      </c>
      <c r="AF24" s="32"/>
      <c r="AG24" s="79">
        <v>37909.0</v>
      </c>
      <c r="AJ24" s="32"/>
      <c r="AK24" s="79">
        <v>23379.0</v>
      </c>
      <c r="AN24" s="32"/>
      <c r="AO24" s="185">
        <f>sum(AC24:AN26)</f>
        <v>160457</v>
      </c>
      <c r="AQ24" s="188"/>
      <c r="AR24" s="188"/>
      <c r="AS24" s="188"/>
    </row>
    <row r="25" ht="15.75" customHeight="1">
      <c r="A25" s="276"/>
      <c r="B25" s="277"/>
      <c r="C25" s="281"/>
      <c r="D25" s="281"/>
      <c r="E25" s="281"/>
      <c r="F25" s="281"/>
      <c r="G25" s="281"/>
      <c r="H25" s="281"/>
      <c r="I25" s="281"/>
      <c r="J25" s="281"/>
      <c r="K25" s="281"/>
      <c r="L25" s="281"/>
      <c r="M25" s="281"/>
      <c r="N25" s="281"/>
      <c r="O25" s="281"/>
      <c r="P25" s="281"/>
      <c r="Q25" s="281"/>
      <c r="R25" s="281"/>
      <c r="S25" s="274"/>
      <c r="T25" s="274"/>
      <c r="U25" s="274"/>
      <c r="V25" s="281"/>
      <c r="W25" s="281"/>
      <c r="X25" s="274"/>
      <c r="Y25" s="274"/>
      <c r="Z25" s="281"/>
      <c r="AC25" s="66"/>
      <c r="AF25" s="32"/>
      <c r="AG25" s="66"/>
      <c r="AJ25" s="32"/>
      <c r="AK25" s="66"/>
      <c r="AN25" s="32"/>
      <c r="AQ25" s="188"/>
      <c r="AR25" s="188"/>
      <c r="AS25" s="188"/>
    </row>
    <row r="26" ht="36.0" customHeight="1">
      <c r="A26" s="276"/>
      <c r="B26" s="277"/>
      <c r="C26" s="281"/>
      <c r="D26" s="281"/>
      <c r="E26" s="281"/>
      <c r="F26" s="282"/>
      <c r="G26" s="282"/>
      <c r="H26" s="282"/>
      <c r="I26" s="282"/>
      <c r="J26" s="282"/>
      <c r="K26" s="282"/>
      <c r="L26" s="282"/>
      <c r="M26" s="282"/>
      <c r="N26" s="282"/>
      <c r="O26" s="282"/>
      <c r="P26" s="282"/>
      <c r="Q26" s="282"/>
      <c r="R26" s="282"/>
      <c r="S26" s="274"/>
      <c r="T26" s="274"/>
      <c r="U26" s="274"/>
      <c r="V26" s="282"/>
      <c r="W26" s="282"/>
      <c r="X26" s="274"/>
      <c r="Y26" s="274"/>
      <c r="Z26" s="282"/>
      <c r="AC26" s="66"/>
      <c r="AF26" s="32"/>
      <c r="AG26" s="66"/>
      <c r="AJ26" s="32"/>
      <c r="AK26" s="66"/>
      <c r="AN26" s="32"/>
      <c r="AQ26" s="185">
        <f>P24-AO24</f>
        <v>-0.2</v>
      </c>
      <c r="AR26" s="188"/>
      <c r="AS26" s="188"/>
    </row>
    <row r="27" ht="15.75" customHeight="1">
      <c r="A27" s="276"/>
      <c r="B27" s="277"/>
      <c r="C27" s="281"/>
      <c r="D27" s="281"/>
      <c r="E27" s="281"/>
      <c r="F27" s="263" t="s">
        <v>154</v>
      </c>
      <c r="G27" s="265">
        <v>0.26</v>
      </c>
      <c r="H27" s="320">
        <f>E21*G27</f>
        <v>198660.8</v>
      </c>
      <c r="I27" s="263" t="s">
        <v>76</v>
      </c>
      <c r="J27" s="263" t="s">
        <v>155</v>
      </c>
      <c r="K27" s="263" t="s">
        <v>104</v>
      </c>
      <c r="L27" s="267" t="s">
        <v>56</v>
      </c>
      <c r="M27" s="268">
        <v>1.0</v>
      </c>
      <c r="N27" s="267"/>
      <c r="O27" s="270">
        <v>0.5</v>
      </c>
      <c r="P27" s="271">
        <f>H27*O27</f>
        <v>99330.4</v>
      </c>
      <c r="Q27" s="272" t="s">
        <v>43</v>
      </c>
      <c r="R27" s="273"/>
      <c r="S27" s="274"/>
      <c r="T27" s="273"/>
      <c r="U27" s="273"/>
      <c r="V27" s="275">
        <v>6.0</v>
      </c>
      <c r="W27" s="325"/>
      <c r="X27" s="273"/>
      <c r="Y27" s="273"/>
      <c r="Z27" s="268">
        <f>P27/V27*1000</f>
        <v>16555066.67</v>
      </c>
      <c r="AA27" s="60"/>
      <c r="AC27" s="134">
        <v>76563.0</v>
      </c>
      <c r="AF27" s="32"/>
      <c r="AG27" s="134">
        <v>22767.0</v>
      </c>
      <c r="AJ27" s="32"/>
      <c r="AK27" s="190"/>
      <c r="AN27" s="32"/>
      <c r="AO27" s="188"/>
      <c r="AQ27" s="188"/>
      <c r="AR27" s="188"/>
      <c r="AS27" s="188"/>
    </row>
    <row r="28" ht="15.75" customHeight="1">
      <c r="A28" s="276"/>
      <c r="B28" s="277"/>
      <c r="C28" s="281"/>
      <c r="D28" s="281"/>
      <c r="E28" s="281"/>
      <c r="F28" s="281"/>
      <c r="G28" s="281"/>
      <c r="H28" s="281"/>
      <c r="I28" s="281"/>
      <c r="J28" s="281"/>
      <c r="K28" s="282"/>
      <c r="L28" s="281"/>
      <c r="M28" s="281"/>
      <c r="N28" s="281"/>
      <c r="O28" s="282"/>
      <c r="P28" s="282"/>
      <c r="Q28" s="282"/>
      <c r="R28" s="282"/>
      <c r="S28" s="274"/>
      <c r="T28" s="282"/>
      <c r="U28" s="282"/>
      <c r="V28" s="282"/>
      <c r="W28" s="282"/>
      <c r="X28" s="282"/>
      <c r="Y28" s="282"/>
      <c r="Z28" s="282"/>
      <c r="AA28" s="60"/>
      <c r="AB28" s="60"/>
      <c r="AF28" s="32"/>
      <c r="AJ28" s="32"/>
      <c r="AK28" s="66"/>
      <c r="AN28" s="32"/>
      <c r="AO28" s="185">
        <f t="shared" ref="AO28:AO29" si="4">sum(AA27:AN28)</f>
        <v>99330</v>
      </c>
      <c r="AP28" s="188"/>
      <c r="AQ28" s="185">
        <f>AO29-AO28</f>
        <v>0</v>
      </c>
      <c r="AR28" s="188"/>
      <c r="AS28" s="188"/>
    </row>
    <row r="29" ht="43.5" customHeight="1">
      <c r="A29" s="276"/>
      <c r="B29" s="277"/>
      <c r="C29" s="281"/>
      <c r="D29" s="281"/>
      <c r="E29" s="281"/>
      <c r="F29" s="282"/>
      <c r="G29" s="282"/>
      <c r="H29" s="282"/>
      <c r="I29" s="282"/>
      <c r="J29" s="282"/>
      <c r="K29" s="326" t="s">
        <v>156</v>
      </c>
      <c r="L29" s="282"/>
      <c r="M29" s="282"/>
      <c r="N29" s="282"/>
      <c r="O29" s="298">
        <v>0.5</v>
      </c>
      <c r="P29" s="299">
        <f>H27*O29</f>
        <v>99330.4</v>
      </c>
      <c r="Q29" s="303" t="s">
        <v>42</v>
      </c>
      <c r="R29" s="274"/>
      <c r="S29" s="274"/>
      <c r="T29" s="274"/>
      <c r="U29" s="301">
        <v>0.8</v>
      </c>
      <c r="V29" s="274"/>
      <c r="W29" s="327"/>
      <c r="X29" s="274"/>
      <c r="Y29" s="302">
        <f>P29/U29</f>
        <v>124163</v>
      </c>
      <c r="Z29" s="274"/>
      <c r="AA29" s="60"/>
      <c r="AB29" s="60"/>
      <c r="AC29" s="134">
        <v>59330.0</v>
      </c>
      <c r="AF29" s="32"/>
      <c r="AG29" s="134">
        <v>20000.0</v>
      </c>
      <c r="AJ29" s="32"/>
      <c r="AK29" s="134">
        <v>20000.0</v>
      </c>
      <c r="AN29" s="32"/>
      <c r="AO29" s="185">
        <f t="shared" si="4"/>
        <v>99330</v>
      </c>
      <c r="AP29" s="188"/>
      <c r="AQ29" s="185">
        <f>P29-AO29</f>
        <v>0.4</v>
      </c>
      <c r="AR29" s="188"/>
      <c r="AS29" s="188"/>
    </row>
    <row r="30" ht="10.5" customHeight="1">
      <c r="A30" s="276"/>
      <c r="B30" s="277"/>
      <c r="C30" s="281"/>
      <c r="D30" s="281"/>
      <c r="E30" s="281"/>
      <c r="F30" s="290"/>
      <c r="G30" s="328"/>
      <c r="H30" s="329"/>
      <c r="I30" s="290"/>
      <c r="J30" s="290"/>
      <c r="K30" s="290"/>
      <c r="L30" s="294"/>
      <c r="M30" s="292"/>
      <c r="N30" s="294"/>
      <c r="O30" s="291"/>
      <c r="P30" s="293"/>
      <c r="Q30" s="294"/>
      <c r="R30" s="295"/>
      <c r="S30" s="295"/>
      <c r="T30" s="295"/>
      <c r="U30" s="295"/>
      <c r="V30" s="295"/>
      <c r="W30" s="292"/>
      <c r="X30" s="295"/>
      <c r="Y30" s="295"/>
      <c r="Z30" s="292"/>
      <c r="AA30" s="97"/>
      <c r="AB30" s="97"/>
      <c r="AC30" s="97"/>
      <c r="AD30" s="97"/>
      <c r="AE30" s="97"/>
      <c r="AF30" s="98"/>
      <c r="AG30" s="96"/>
      <c r="AH30" s="97"/>
      <c r="AI30" s="97"/>
      <c r="AJ30" s="98"/>
      <c r="AK30" s="96"/>
      <c r="AL30" s="97"/>
      <c r="AM30" s="97"/>
      <c r="AN30" s="98"/>
      <c r="AO30" s="186"/>
      <c r="AP30" s="186"/>
      <c r="AQ30" s="186"/>
      <c r="AR30" s="186"/>
      <c r="AS30" s="186"/>
    </row>
    <row r="31" ht="15.75" customHeight="1">
      <c r="A31" s="276"/>
      <c r="B31" s="277"/>
      <c r="C31" s="281"/>
      <c r="D31" s="281"/>
      <c r="E31" s="281"/>
      <c r="F31" s="263" t="s">
        <v>105</v>
      </c>
      <c r="G31" s="265">
        <v>0.12</v>
      </c>
      <c r="H31" s="330">
        <f>E21*G31</f>
        <v>91689.6</v>
      </c>
      <c r="I31" s="263" t="s">
        <v>71</v>
      </c>
      <c r="J31" s="263" t="s">
        <v>106</v>
      </c>
      <c r="K31" s="263" t="s">
        <v>195</v>
      </c>
      <c r="L31" s="272" t="s">
        <v>168</v>
      </c>
      <c r="M31" s="268">
        <v>1.0</v>
      </c>
      <c r="N31" s="272"/>
      <c r="O31" s="270">
        <v>1.0</v>
      </c>
      <c r="P31" s="271">
        <f>H31*O31</f>
        <v>91689.6</v>
      </c>
      <c r="Q31" s="272" t="s">
        <v>59</v>
      </c>
      <c r="R31" s="274"/>
      <c r="S31" s="274"/>
      <c r="T31" s="274"/>
      <c r="U31" s="274"/>
      <c r="V31" s="275">
        <f>45/18.77</f>
        <v>2.397442728</v>
      </c>
      <c r="W31" s="327"/>
      <c r="X31" s="274"/>
      <c r="Y31" s="274"/>
      <c r="Z31" s="268">
        <f>P31/V31*1000</f>
        <v>38244750.93</v>
      </c>
      <c r="AA31" s="77">
        <v>40000.0</v>
      </c>
      <c r="AC31" s="77">
        <v>51690.0</v>
      </c>
      <c r="AG31" s="61"/>
      <c r="AJ31" s="32"/>
      <c r="AK31" s="61"/>
      <c r="AN31" s="32"/>
      <c r="AO31" s="185">
        <f>sum(AA30:AN31)</f>
        <v>91690</v>
      </c>
      <c r="AQ31" s="188"/>
      <c r="AR31" s="188"/>
      <c r="AS31" s="188"/>
    </row>
    <row r="32" ht="15.75" customHeight="1">
      <c r="A32" s="276"/>
      <c r="B32" s="277"/>
      <c r="C32" s="281"/>
      <c r="D32" s="281"/>
      <c r="E32" s="281"/>
      <c r="F32" s="281"/>
      <c r="G32" s="281"/>
      <c r="H32" s="281"/>
      <c r="I32" s="281"/>
      <c r="J32" s="281"/>
      <c r="K32" s="281"/>
      <c r="L32" s="281"/>
      <c r="M32" s="281"/>
      <c r="N32" s="281"/>
      <c r="O32" s="281"/>
      <c r="P32" s="281"/>
      <c r="Q32" s="281"/>
      <c r="R32" s="274"/>
      <c r="S32" s="274"/>
      <c r="T32" s="274"/>
      <c r="U32" s="274"/>
      <c r="V32" s="281"/>
      <c r="W32" s="327"/>
      <c r="X32" s="274"/>
      <c r="Y32" s="274"/>
      <c r="Z32" s="281"/>
      <c r="AG32" s="61"/>
      <c r="AJ32" s="32"/>
      <c r="AK32" s="66"/>
      <c r="AN32" s="32"/>
      <c r="AQ32" s="185">
        <f>P31-AO31</f>
        <v>-0.4</v>
      </c>
      <c r="AR32" s="188"/>
      <c r="AS32" s="188"/>
    </row>
    <row r="33" ht="15.75" customHeight="1">
      <c r="A33" s="276"/>
      <c r="B33" s="277"/>
      <c r="C33" s="281"/>
      <c r="D33" s="281"/>
      <c r="E33" s="281"/>
      <c r="F33" s="282"/>
      <c r="G33" s="282"/>
      <c r="H33" s="282"/>
      <c r="I33" s="282"/>
      <c r="J33" s="282"/>
      <c r="K33" s="282"/>
      <c r="L33" s="282"/>
      <c r="M33" s="282"/>
      <c r="N33" s="282"/>
      <c r="O33" s="282"/>
      <c r="P33" s="282"/>
      <c r="Q33" s="282"/>
      <c r="R33" s="274"/>
      <c r="S33" s="274"/>
      <c r="T33" s="274"/>
      <c r="U33" s="274"/>
      <c r="V33" s="282"/>
      <c r="W33" s="327"/>
      <c r="X33" s="274"/>
      <c r="Y33" s="274"/>
      <c r="Z33" s="282"/>
      <c r="AG33" s="61"/>
      <c r="AJ33" s="32"/>
      <c r="AK33" s="66"/>
      <c r="AN33" s="32"/>
      <c r="AQ33" s="188"/>
      <c r="AR33" s="188"/>
      <c r="AS33" s="188"/>
    </row>
    <row r="34" ht="12.0" customHeight="1">
      <c r="A34" s="276"/>
      <c r="B34" s="277"/>
      <c r="C34" s="281"/>
      <c r="D34" s="281"/>
      <c r="E34" s="281"/>
      <c r="F34" s="290"/>
      <c r="G34" s="328"/>
      <c r="H34" s="329"/>
      <c r="I34" s="290"/>
      <c r="J34" s="290"/>
      <c r="K34" s="290"/>
      <c r="L34" s="294"/>
      <c r="M34" s="292"/>
      <c r="N34" s="294"/>
      <c r="O34" s="291"/>
      <c r="P34" s="293"/>
      <c r="Q34" s="294"/>
      <c r="R34" s="295"/>
      <c r="S34" s="295"/>
      <c r="T34" s="295"/>
      <c r="U34" s="295"/>
      <c r="V34" s="295"/>
      <c r="W34" s="292"/>
      <c r="X34" s="295"/>
      <c r="Y34" s="292"/>
      <c r="Z34" s="292"/>
      <c r="AA34" s="97"/>
      <c r="AB34" s="97"/>
      <c r="AC34" s="97"/>
      <c r="AD34" s="97"/>
      <c r="AE34" s="97"/>
      <c r="AF34" s="97"/>
      <c r="AG34" s="96"/>
      <c r="AH34" s="97"/>
      <c r="AI34" s="97"/>
      <c r="AJ34" s="98"/>
      <c r="AK34" s="96"/>
      <c r="AL34" s="97"/>
      <c r="AM34" s="97"/>
      <c r="AN34" s="98"/>
      <c r="AO34" s="186"/>
      <c r="AP34" s="186"/>
      <c r="AQ34" s="186"/>
      <c r="AR34" s="186"/>
      <c r="AS34" s="186"/>
    </row>
    <row r="35" ht="88.5" customHeight="1">
      <c r="A35" s="304"/>
      <c r="B35" s="287"/>
      <c r="C35" s="282"/>
      <c r="D35" s="282"/>
      <c r="E35" s="282"/>
      <c r="F35" s="306" t="s">
        <v>110</v>
      </c>
      <c r="G35" s="331">
        <v>0.2</v>
      </c>
      <c r="H35" s="332">
        <f>E21*G35</f>
        <v>152816</v>
      </c>
      <c r="I35" s="306" t="s">
        <v>76</v>
      </c>
      <c r="J35" s="306" t="s">
        <v>111</v>
      </c>
      <c r="K35" s="306" t="s">
        <v>112</v>
      </c>
      <c r="L35" s="300" t="s">
        <v>113</v>
      </c>
      <c r="M35" s="302">
        <v>1.0</v>
      </c>
      <c r="N35" s="303" t="s">
        <v>201</v>
      </c>
      <c r="O35" s="298">
        <v>1.0</v>
      </c>
      <c r="P35" s="299">
        <f>H35*O35</f>
        <v>152816</v>
      </c>
      <c r="Q35" s="300" t="s">
        <v>114</v>
      </c>
      <c r="R35" s="274"/>
      <c r="S35" s="274"/>
      <c r="T35" s="274"/>
      <c r="U35" s="274"/>
      <c r="V35" s="301">
        <v>4.85</v>
      </c>
      <c r="W35" s="327"/>
      <c r="X35" s="274"/>
      <c r="Y35" s="274"/>
      <c r="Z35" s="302">
        <f>P35/V35*1000</f>
        <v>31508453.61</v>
      </c>
      <c r="AA35" s="77">
        <v>32474.0</v>
      </c>
      <c r="AC35" s="77">
        <f>70649+5281</f>
        <v>75930</v>
      </c>
      <c r="AG35" s="77">
        <v>34000.0</v>
      </c>
      <c r="AK35" s="77">
        <f>10413</f>
        <v>10413</v>
      </c>
      <c r="AO35" s="185">
        <f>sum(AA34:AN35)</f>
        <v>152817</v>
      </c>
      <c r="AQ35" s="188"/>
      <c r="AR35" s="188"/>
      <c r="AS35" s="188"/>
    </row>
    <row r="36" ht="15.75" customHeight="1">
      <c r="A36" s="196" t="s">
        <v>115</v>
      </c>
      <c r="B36" s="196"/>
      <c r="C36" s="196"/>
      <c r="D36" s="196"/>
      <c r="E36" s="197">
        <f>SUM(E13:E35)</f>
        <v>1910200</v>
      </c>
      <c r="F36" s="196"/>
      <c r="G36" s="196"/>
      <c r="H36" s="196"/>
      <c r="I36" s="196"/>
      <c r="J36" s="196"/>
      <c r="K36" s="196"/>
      <c r="L36" s="196"/>
      <c r="M36" s="196"/>
      <c r="N36" s="196"/>
      <c r="O36" s="196"/>
      <c r="P36" s="197">
        <f>SUM(P13:P35)+P11</f>
        <v>1107916</v>
      </c>
      <c r="Q36" s="196"/>
      <c r="R36" s="199"/>
      <c r="S36" s="199"/>
      <c r="T36" s="199"/>
      <c r="U36" s="199"/>
      <c r="V36" s="199"/>
      <c r="W36" s="151" t="str">
        <f>W13+#REF!+#REF!+#REF!+W22+W24+W26</f>
        <v>#REF!</v>
      </c>
      <c r="X36" s="151">
        <f>X16+X18+X19</f>
        <v>0</v>
      </c>
      <c r="Y36" s="151">
        <f>Y29</f>
        <v>124163</v>
      </c>
      <c r="Z36" s="151" t="str">
        <f>Z13+#REF!+#REF!+#REF!+Z16+Z17+Z18+Z19+Z22+Z24+Z26+Z31+Z35+Z21+Z11</f>
        <v>#REF!</v>
      </c>
      <c r="AA36" s="197">
        <f>SUM(AA11:AB35)</f>
        <v>166844.2</v>
      </c>
      <c r="AC36" s="197">
        <f>SUM(AC11:AF35)</f>
        <v>858687.72</v>
      </c>
      <c r="AG36" s="197">
        <f>SUM(AG11:AJ35)</f>
        <v>480032</v>
      </c>
      <c r="AK36" s="197">
        <f>SUM(AK11:AN35)</f>
        <v>175412</v>
      </c>
      <c r="AO36" s="197">
        <f>AA36+AC36+AG36+AK36</f>
        <v>1680975.92</v>
      </c>
      <c r="AQ36" s="197"/>
      <c r="AR36" s="197"/>
      <c r="AS36" s="197"/>
    </row>
    <row r="37" ht="15.75" customHeight="1">
      <c r="A37" s="3"/>
      <c r="B37" s="3"/>
      <c r="C37" s="3"/>
      <c r="D37" s="3"/>
      <c r="E37" s="3"/>
      <c r="F37" s="3"/>
      <c r="G37" s="3"/>
      <c r="H37" s="3"/>
      <c r="I37" s="3"/>
      <c r="J37" s="3"/>
      <c r="K37" s="3"/>
      <c r="L37" s="3"/>
      <c r="M37" s="3"/>
      <c r="N37" s="3"/>
      <c r="O37" s="3"/>
      <c r="P37" s="3"/>
      <c r="Q37" s="3"/>
      <c r="R37" s="3"/>
      <c r="S37" s="163"/>
      <c r="T37" s="163"/>
      <c r="U37" s="163"/>
      <c r="V37" s="163"/>
      <c r="W37" s="163"/>
      <c r="X37" s="163"/>
      <c r="Y37" s="163"/>
      <c r="Z37" s="163"/>
      <c r="AA37" s="163"/>
      <c r="AB37" s="163"/>
      <c r="AC37" s="163"/>
      <c r="AD37" s="3"/>
      <c r="AE37" s="3"/>
      <c r="AF37" s="3"/>
      <c r="AG37" s="3"/>
      <c r="AH37" s="3"/>
      <c r="AI37" s="3"/>
      <c r="AJ37" s="3"/>
      <c r="AK37" s="3"/>
      <c r="AL37" s="3"/>
      <c r="AM37" s="3"/>
      <c r="AN37" s="3"/>
      <c r="AO37" s="3"/>
      <c r="AP37" s="3"/>
      <c r="AQ37" s="3"/>
      <c r="AR37" s="3"/>
      <c r="AS37" s="3"/>
    </row>
    <row r="38" ht="15.75" customHeight="1">
      <c r="A38" s="3"/>
      <c r="B38" s="3"/>
      <c r="C38" s="3"/>
      <c r="D38" s="3"/>
      <c r="E38" s="3"/>
      <c r="F38" s="3"/>
      <c r="G38" s="3"/>
      <c r="H38" s="3"/>
      <c r="I38" s="3"/>
      <c r="J38" s="3"/>
      <c r="K38" s="3"/>
      <c r="L38" s="3"/>
      <c r="M38" s="3"/>
      <c r="N38" s="3"/>
      <c r="O38" s="3"/>
      <c r="P38" s="3"/>
      <c r="Q38" s="162"/>
      <c r="R38" s="162"/>
      <c r="S38" s="162"/>
      <c r="T38" s="162"/>
      <c r="U38" s="162"/>
      <c r="V38" s="162"/>
      <c r="W38" s="200"/>
      <c r="X38" s="163"/>
      <c r="Y38" s="162"/>
      <c r="Z38" s="162"/>
      <c r="AA38" s="162"/>
      <c r="AB38" s="162"/>
      <c r="AC38" s="162"/>
      <c r="AD38" s="3"/>
      <c r="AE38" s="3"/>
      <c r="AF38" s="3"/>
      <c r="AG38" s="3"/>
      <c r="AH38" s="3"/>
      <c r="AI38" s="3"/>
      <c r="AJ38" s="3"/>
      <c r="AK38" s="3"/>
      <c r="AL38" s="3"/>
      <c r="AM38" s="3"/>
      <c r="AN38" s="3"/>
      <c r="AO38" s="3"/>
      <c r="AP38" s="3"/>
      <c r="AQ38" s="3"/>
      <c r="AR38" s="3"/>
      <c r="AS38" s="3"/>
    </row>
    <row r="39" ht="15.75" customHeight="1">
      <c r="A39" s="3"/>
      <c r="B39" s="3"/>
      <c r="C39" s="3"/>
      <c r="D39" s="3"/>
      <c r="E39" s="3"/>
      <c r="N39" s="3"/>
      <c r="O39" s="3"/>
      <c r="P39" s="162"/>
      <c r="Q39" s="162"/>
      <c r="R39" s="162"/>
      <c r="S39" s="162"/>
      <c r="T39" s="162"/>
      <c r="U39" s="162"/>
      <c r="V39" s="162"/>
      <c r="W39" s="163"/>
      <c r="X39" s="163"/>
      <c r="Y39" s="163"/>
      <c r="Z39" s="163"/>
      <c r="AA39" s="162"/>
      <c r="AB39" s="163"/>
      <c r="AD39" s="3"/>
      <c r="AE39" s="3"/>
      <c r="AF39" s="3"/>
      <c r="AG39" s="3"/>
      <c r="AH39" s="3"/>
      <c r="AL39" s="3"/>
      <c r="AM39" s="3"/>
      <c r="AN39" s="3"/>
      <c r="AO39" s="3"/>
      <c r="AP39" s="3"/>
      <c r="AQ39" s="3"/>
      <c r="AR39" s="3"/>
      <c r="AS39" s="3"/>
    </row>
    <row r="40" ht="15.75" customHeight="1">
      <c r="A40" s="3"/>
      <c r="B40" s="3"/>
      <c r="C40" s="3"/>
      <c r="D40" s="3"/>
      <c r="E40" s="3"/>
      <c r="N40" s="3"/>
      <c r="O40" s="3"/>
      <c r="P40" s="247" t="s">
        <v>196</v>
      </c>
      <c r="V40" s="162"/>
      <c r="W40" s="163"/>
      <c r="X40" s="163"/>
      <c r="Y40" s="248"/>
      <c r="Z40" s="248"/>
      <c r="AA40" s="201"/>
      <c r="AB40" s="201"/>
      <c r="AC40" s="162"/>
      <c r="AD40" s="163"/>
      <c r="AE40" s="3"/>
      <c r="AF40" s="3"/>
      <c r="AG40" s="3"/>
      <c r="AL40" s="3"/>
      <c r="AM40" s="3"/>
      <c r="AN40" s="3"/>
      <c r="AO40" s="3"/>
      <c r="AP40" s="3"/>
      <c r="AQ40" s="3"/>
      <c r="AR40" s="3"/>
      <c r="AS40" s="3"/>
    </row>
    <row r="41" ht="15.75" customHeight="1">
      <c r="A41" s="3"/>
      <c r="B41" s="3"/>
      <c r="C41" s="3"/>
      <c r="D41" s="3"/>
      <c r="E41" s="3"/>
      <c r="N41" s="3"/>
      <c r="O41" s="3"/>
      <c r="V41" s="162"/>
      <c r="W41" s="163"/>
      <c r="X41" s="163"/>
      <c r="Y41" s="248"/>
      <c r="Z41" s="248"/>
      <c r="AA41" s="202" t="s">
        <v>117</v>
      </c>
      <c r="AC41" s="162"/>
      <c r="AD41" s="163"/>
      <c r="AE41" s="3"/>
      <c r="AF41" s="3"/>
      <c r="AG41" s="3"/>
      <c r="AH41" s="3"/>
      <c r="AI41" s="3"/>
      <c r="AJ41" s="3"/>
      <c r="AK41" s="3"/>
      <c r="AL41" s="3"/>
      <c r="AM41" s="3"/>
      <c r="AN41" s="3"/>
      <c r="AO41" s="3"/>
      <c r="AP41" s="3"/>
      <c r="AQ41" s="3"/>
      <c r="AR41" s="3"/>
      <c r="AS41" s="3"/>
    </row>
    <row r="42" ht="15.75" customHeight="1">
      <c r="A42" s="3"/>
      <c r="B42" s="3"/>
      <c r="C42" s="3"/>
      <c r="D42" s="155"/>
      <c r="E42" s="3"/>
      <c r="F42" s="3"/>
      <c r="G42" s="3"/>
      <c r="H42" s="3"/>
      <c r="I42" s="3"/>
      <c r="J42" s="3"/>
      <c r="K42" s="3"/>
      <c r="L42" s="3"/>
      <c r="M42" s="3"/>
      <c r="N42" s="210"/>
      <c r="O42" s="210"/>
      <c r="P42" s="211" t="s">
        <v>169</v>
      </c>
      <c r="Q42" s="212" t="s">
        <v>170</v>
      </c>
      <c r="R42" s="213"/>
      <c r="S42" s="211" t="s">
        <v>171</v>
      </c>
      <c r="T42" s="214" t="s">
        <v>172</v>
      </c>
      <c r="U42" s="211" t="s">
        <v>173</v>
      </c>
      <c r="V42" s="162"/>
      <c r="W42" s="163"/>
      <c r="X42" s="163"/>
      <c r="Y42" s="248"/>
      <c r="Z42" s="249" t="s">
        <v>138</v>
      </c>
      <c r="AA42" s="250">
        <f>AA36</f>
        <v>166844.2</v>
      </c>
      <c r="AC42" s="162"/>
      <c r="AD42" s="163"/>
      <c r="AE42" s="3"/>
      <c r="AF42" s="3"/>
      <c r="AG42" s="3"/>
      <c r="AH42" s="3"/>
      <c r="AI42" s="3"/>
      <c r="AJ42" s="3"/>
      <c r="AK42" s="3"/>
      <c r="AL42" s="3"/>
      <c r="AM42" s="3"/>
      <c r="AN42" s="3"/>
      <c r="AO42" s="3"/>
      <c r="AP42" s="3"/>
      <c r="AQ42" s="3"/>
      <c r="AR42" s="3"/>
      <c r="AS42" s="3"/>
    </row>
    <row r="43" ht="15.75" customHeight="1">
      <c r="A43" s="3"/>
      <c r="B43" s="3"/>
      <c r="C43" s="3"/>
      <c r="D43" s="156"/>
      <c r="E43" s="3"/>
      <c r="F43" s="3"/>
      <c r="G43" s="3"/>
      <c r="H43" s="3"/>
      <c r="I43" s="3"/>
      <c r="J43" s="3"/>
      <c r="K43" s="3"/>
      <c r="L43" s="3"/>
      <c r="M43" s="3"/>
      <c r="N43" s="215"/>
      <c r="O43" s="215" t="s">
        <v>174</v>
      </c>
      <c r="P43" s="216"/>
      <c r="Q43" s="251">
        <v>166844.0</v>
      </c>
      <c r="S43" s="252">
        <v>958688.0</v>
      </c>
      <c r="T43" s="253">
        <v>564268.0</v>
      </c>
      <c r="U43" s="252">
        <v>220400.0</v>
      </c>
      <c r="V43" s="254">
        <f>Q43+S43+T43+U43</f>
        <v>1910200</v>
      </c>
      <c r="W43" s="163"/>
      <c r="X43" s="163"/>
      <c r="Y43" s="248"/>
      <c r="Z43" s="248" t="s">
        <v>123</v>
      </c>
      <c r="AA43" s="250">
        <f>AC36</f>
        <v>858687.72</v>
      </c>
      <c r="AC43" s="162"/>
      <c r="AD43" s="163"/>
      <c r="AE43" s="3"/>
      <c r="AF43" s="3"/>
      <c r="AG43" s="3"/>
      <c r="AH43" s="3"/>
      <c r="AI43" s="3"/>
      <c r="AJ43" s="3"/>
      <c r="AK43" s="3"/>
      <c r="AL43" s="3"/>
      <c r="AM43" s="3"/>
      <c r="AN43" s="3"/>
      <c r="AO43" s="3"/>
      <c r="AP43" s="3"/>
      <c r="AQ43" s="3"/>
      <c r="AR43" s="3"/>
      <c r="AS43" s="3"/>
    </row>
    <row r="44" ht="15.75" customHeight="1">
      <c r="A44" s="3"/>
      <c r="B44" s="155"/>
      <c r="C44" s="155"/>
      <c r="D44" s="156"/>
      <c r="E44" s="3"/>
      <c r="F44" s="3"/>
      <c r="G44" s="3"/>
      <c r="H44" s="3"/>
      <c r="I44" s="3"/>
      <c r="J44" s="3"/>
      <c r="K44" s="3"/>
      <c r="L44" s="3"/>
      <c r="M44" s="3"/>
      <c r="N44" s="3"/>
      <c r="O44" s="3"/>
      <c r="P44" s="162" t="str">
        <f>#REF!+#REF!+#REF!+P17+P18+P2+P24+P25+P26</f>
        <v>#REF!</v>
      </c>
      <c r="Q44" s="162" t="s">
        <v>122</v>
      </c>
      <c r="R44" s="162"/>
      <c r="S44" s="162"/>
      <c r="T44" s="162"/>
      <c r="U44" s="162"/>
      <c r="V44" s="162"/>
      <c r="W44" s="163"/>
      <c r="X44" s="163"/>
      <c r="Y44" s="248"/>
      <c r="Z44" s="248" t="s">
        <v>125</v>
      </c>
      <c r="AA44" s="250">
        <f>AG36</f>
        <v>480032</v>
      </c>
      <c r="AC44" s="162"/>
      <c r="AD44" s="163"/>
      <c r="AE44" s="3"/>
      <c r="AF44" s="3"/>
      <c r="AG44" s="3"/>
      <c r="AH44" s="3"/>
      <c r="AI44" s="3"/>
      <c r="AJ44" s="3"/>
      <c r="AK44" s="3"/>
      <c r="AL44" s="3"/>
      <c r="AM44" s="3"/>
      <c r="AN44" s="3"/>
      <c r="AO44" s="3"/>
      <c r="AP44" s="3"/>
      <c r="AQ44" s="3"/>
      <c r="AR44" s="3"/>
      <c r="AS44" s="3"/>
    </row>
    <row r="45" ht="15.75" customHeight="1">
      <c r="A45" s="3"/>
      <c r="B45" s="159"/>
      <c r="C45" s="159"/>
      <c r="D45" s="153"/>
      <c r="E45" s="3"/>
      <c r="F45" s="3"/>
      <c r="G45" s="156"/>
      <c r="H45" s="3"/>
      <c r="I45" s="3"/>
      <c r="J45" s="3"/>
      <c r="K45" s="3"/>
      <c r="L45" s="3"/>
      <c r="M45" s="3"/>
      <c r="N45" s="3"/>
      <c r="O45" s="3"/>
      <c r="P45" s="162" t="str">
        <f>#REF!+#REF!</f>
        <v>#REF!</v>
      </c>
      <c r="Q45" s="162"/>
      <c r="R45" s="162" t="str">
        <f>P44</f>
        <v>#REF!</v>
      </c>
      <c r="S45" s="162"/>
      <c r="T45" s="162"/>
      <c r="U45" s="162"/>
      <c r="V45" s="162"/>
      <c r="W45" s="163"/>
      <c r="X45" s="163"/>
      <c r="Y45" s="248"/>
      <c r="Z45" s="248" t="s">
        <v>128</v>
      </c>
      <c r="AA45" s="250">
        <f>AK36</f>
        <v>175412</v>
      </c>
      <c r="AC45" s="162"/>
      <c r="AD45" s="163"/>
      <c r="AE45" s="3"/>
      <c r="AF45" s="3"/>
      <c r="AG45" s="3"/>
      <c r="AH45" s="3"/>
      <c r="AI45" s="3"/>
      <c r="AJ45" s="3"/>
      <c r="AK45" s="3"/>
      <c r="AL45" s="3"/>
      <c r="AM45" s="3"/>
      <c r="AN45" s="3"/>
      <c r="AO45" s="3"/>
      <c r="AP45" s="3"/>
      <c r="AQ45" s="3"/>
      <c r="AR45" s="3"/>
      <c r="AS45" s="3"/>
    </row>
    <row r="46" ht="15.75" customHeight="1">
      <c r="A46" s="3"/>
      <c r="B46" s="159"/>
      <c r="C46" s="159"/>
      <c r="D46" s="153"/>
      <c r="E46" s="3"/>
      <c r="F46" s="3"/>
      <c r="G46" s="153"/>
      <c r="H46" s="3"/>
      <c r="I46" s="3"/>
      <c r="J46" s="3"/>
      <c r="K46" s="3"/>
      <c r="L46" s="3"/>
      <c r="M46" s="3"/>
      <c r="N46" s="3"/>
      <c r="O46" s="3"/>
      <c r="P46" s="166">
        <f>P31+P32+P33</f>
        <v>91689.6</v>
      </c>
      <c r="Q46" s="162" t="s">
        <v>127</v>
      </c>
      <c r="R46" s="167"/>
      <c r="S46" s="162"/>
      <c r="T46" s="162"/>
      <c r="U46" s="162"/>
      <c r="V46" s="162"/>
      <c r="W46" s="163"/>
      <c r="X46" s="163"/>
      <c r="Y46" s="248"/>
      <c r="Z46" s="248"/>
      <c r="AA46" s="250"/>
      <c r="AC46" s="162"/>
      <c r="AD46" s="163"/>
      <c r="AE46" s="3"/>
      <c r="AF46" s="3"/>
      <c r="AG46" s="3"/>
      <c r="AH46" s="3"/>
      <c r="AI46" s="3"/>
      <c r="AJ46" s="3"/>
      <c r="AK46" s="3"/>
      <c r="AL46" s="3"/>
      <c r="AM46" s="3"/>
      <c r="AN46" s="3"/>
      <c r="AO46" s="3"/>
      <c r="AP46" s="3"/>
      <c r="AQ46" s="3"/>
      <c r="AR46" s="3"/>
      <c r="AS46" s="3"/>
    </row>
    <row r="47" ht="15.75" customHeight="1">
      <c r="A47" s="3"/>
      <c r="B47" s="159"/>
      <c r="C47" s="159"/>
      <c r="D47" s="153"/>
      <c r="E47" s="3"/>
      <c r="F47" s="3"/>
      <c r="G47" s="153"/>
      <c r="H47" s="3"/>
      <c r="I47" s="3"/>
      <c r="J47" s="3"/>
      <c r="K47" s="3"/>
      <c r="L47" s="3"/>
      <c r="M47" s="3"/>
      <c r="N47" s="3"/>
      <c r="O47" s="3"/>
      <c r="P47" s="166">
        <f>P27</f>
        <v>99330.4</v>
      </c>
      <c r="Q47" s="162" t="s">
        <v>130</v>
      </c>
      <c r="R47" s="162"/>
      <c r="S47" s="162"/>
      <c r="T47" s="162"/>
      <c r="U47" s="162">
        <v>1200000.0</v>
      </c>
      <c r="V47" s="162"/>
      <c r="W47" s="163"/>
      <c r="X47" s="163"/>
      <c r="Y47" s="248"/>
      <c r="Z47" s="248"/>
      <c r="AA47" s="250"/>
      <c r="AC47" s="162"/>
      <c r="AD47" s="163"/>
      <c r="AE47" s="3"/>
      <c r="AF47" s="3"/>
      <c r="AG47" s="3"/>
      <c r="AH47" s="3"/>
      <c r="AI47" s="3"/>
      <c r="AJ47" s="3"/>
      <c r="AK47" s="3"/>
      <c r="AL47" s="3"/>
      <c r="AM47" s="3"/>
      <c r="AN47" s="3"/>
      <c r="AO47" s="3"/>
      <c r="AP47" s="3"/>
      <c r="AQ47" s="3"/>
      <c r="AR47" s="3"/>
      <c r="AS47" s="3"/>
    </row>
    <row r="48" ht="15.75" customHeight="1">
      <c r="A48" s="3"/>
      <c r="B48" s="159"/>
      <c r="C48" s="159"/>
      <c r="D48" s="153"/>
      <c r="E48" s="3"/>
      <c r="F48" s="3"/>
      <c r="G48" s="153"/>
      <c r="H48" s="3"/>
      <c r="I48" s="3"/>
      <c r="J48" s="3"/>
      <c r="K48" s="3"/>
      <c r="L48" s="3"/>
      <c r="M48" s="3"/>
      <c r="N48" s="3"/>
      <c r="O48" s="3"/>
      <c r="P48" s="333" t="str">
        <f>P43+P44+P45+P46+P47</f>
        <v>#REF!</v>
      </c>
      <c r="Q48" s="162"/>
      <c r="R48" s="162"/>
      <c r="S48" s="162"/>
      <c r="T48" s="162"/>
      <c r="U48" s="162">
        <v>179414.0</v>
      </c>
      <c r="V48" s="162"/>
      <c r="W48" s="163"/>
      <c r="X48" s="163"/>
      <c r="Y48" s="248"/>
      <c r="Z48" s="248"/>
      <c r="AA48" s="250"/>
      <c r="AC48" s="162"/>
      <c r="AD48" s="163"/>
      <c r="AE48" s="3"/>
      <c r="AF48" s="3"/>
      <c r="AG48" s="3"/>
      <c r="AH48" s="3"/>
      <c r="AI48" s="3"/>
      <c r="AJ48" s="3"/>
      <c r="AK48" s="3"/>
      <c r="AL48" s="3"/>
      <c r="AM48" s="3"/>
      <c r="AN48" s="3"/>
      <c r="AO48" s="3"/>
      <c r="AP48" s="3"/>
      <c r="AQ48" s="3"/>
      <c r="AR48" s="3"/>
      <c r="AS48" s="3"/>
    </row>
    <row r="49" ht="15.75" customHeight="1">
      <c r="A49" s="3"/>
      <c r="B49" s="155"/>
      <c r="C49" s="155"/>
      <c r="D49" s="3"/>
      <c r="E49" s="3"/>
      <c r="F49" s="3"/>
      <c r="G49" s="153"/>
      <c r="H49" s="3"/>
      <c r="I49" s="3"/>
      <c r="J49" s="3"/>
      <c r="K49" s="3"/>
      <c r="L49" s="3"/>
      <c r="M49" s="3"/>
      <c r="N49" s="3"/>
      <c r="O49" s="3"/>
      <c r="P49" s="162"/>
      <c r="Q49" s="162"/>
      <c r="R49" s="162"/>
      <c r="S49" s="162"/>
      <c r="T49" s="162"/>
      <c r="U49" s="162"/>
      <c r="V49" s="162"/>
      <c r="W49" s="163"/>
      <c r="X49" s="163"/>
      <c r="Y49" s="248"/>
      <c r="Z49" s="248"/>
      <c r="AA49" s="201"/>
      <c r="AB49" s="201"/>
      <c r="AC49" s="162"/>
      <c r="AD49" s="163"/>
      <c r="AE49" s="3"/>
      <c r="AF49" s="3"/>
      <c r="AG49" s="3"/>
      <c r="AH49" s="3"/>
      <c r="AI49" s="3"/>
      <c r="AJ49" s="3"/>
      <c r="AK49" s="3"/>
      <c r="AL49" s="3"/>
      <c r="AM49" s="3"/>
      <c r="AN49" s="3"/>
      <c r="AO49" s="3"/>
      <c r="AP49" s="3"/>
      <c r="AQ49" s="3"/>
      <c r="AR49" s="3"/>
      <c r="AS49" s="3"/>
    </row>
    <row r="50" ht="15.75" customHeight="1">
      <c r="A50" s="3"/>
      <c r="B50" s="155"/>
      <c r="C50" s="155"/>
      <c r="D50" s="3"/>
      <c r="E50" s="3"/>
      <c r="F50" s="3"/>
      <c r="G50" s="3"/>
      <c r="H50" s="3"/>
      <c r="I50" s="3"/>
      <c r="J50" s="3"/>
      <c r="K50" s="3"/>
      <c r="L50" s="3"/>
      <c r="M50" s="3"/>
      <c r="N50" s="3"/>
      <c r="O50" s="3"/>
      <c r="P50" s="162"/>
      <c r="Q50" s="162"/>
      <c r="R50" s="162"/>
      <c r="S50" s="162"/>
      <c r="T50" s="162"/>
      <c r="U50" s="162"/>
      <c r="V50" s="162"/>
      <c r="W50" s="163"/>
      <c r="X50" s="163"/>
      <c r="Y50" s="248"/>
      <c r="Z50" s="248"/>
      <c r="AA50" s="201"/>
      <c r="AB50" s="201"/>
      <c r="AC50" s="162"/>
      <c r="AD50" s="163"/>
      <c r="AE50" s="3"/>
      <c r="AF50" s="3"/>
      <c r="AG50" s="3"/>
      <c r="AH50" s="3"/>
      <c r="AI50" s="3"/>
      <c r="AJ50" s="3"/>
      <c r="AK50" s="3"/>
      <c r="AL50" s="3"/>
      <c r="AM50" s="3"/>
      <c r="AN50" s="3"/>
      <c r="AO50" s="3"/>
      <c r="AP50" s="3"/>
      <c r="AQ50" s="3"/>
      <c r="AR50" s="3"/>
      <c r="AS50" s="3"/>
    </row>
    <row r="51" ht="15.75" customHeight="1">
      <c r="A51" s="3"/>
      <c r="B51" s="155"/>
      <c r="C51" s="155"/>
      <c r="D51" s="3"/>
      <c r="E51" s="3"/>
      <c r="F51" s="3"/>
      <c r="G51" s="3"/>
      <c r="H51" s="3"/>
      <c r="I51" s="3"/>
      <c r="J51" s="3"/>
      <c r="K51" s="3"/>
      <c r="L51" s="3"/>
      <c r="M51" s="3"/>
      <c r="N51" s="3"/>
      <c r="O51" s="3"/>
      <c r="P51" s="162"/>
      <c r="Q51" s="162"/>
      <c r="R51" s="162"/>
      <c r="S51" s="162"/>
      <c r="T51" s="162"/>
      <c r="U51" s="162"/>
      <c r="V51" s="162"/>
      <c r="W51" s="163"/>
      <c r="X51" s="248"/>
      <c r="Y51" s="248"/>
      <c r="Z51" s="248"/>
      <c r="AA51" s="201"/>
      <c r="AB51" s="201"/>
      <c r="AC51" s="162"/>
      <c r="AD51" s="163"/>
      <c r="AE51" s="3"/>
      <c r="AF51" s="3"/>
      <c r="AG51" s="3"/>
      <c r="AH51" s="3"/>
      <c r="AI51" s="3"/>
      <c r="AJ51" s="3"/>
      <c r="AK51" s="3"/>
      <c r="AL51" s="3"/>
      <c r="AM51" s="3"/>
      <c r="AN51" s="3"/>
      <c r="AO51" s="3"/>
      <c r="AP51" s="3"/>
      <c r="AQ51" s="3"/>
      <c r="AR51" s="3"/>
      <c r="AS51" s="3"/>
    </row>
    <row r="52" ht="15.75" customHeight="1">
      <c r="A52" s="3"/>
      <c r="B52" s="3"/>
      <c r="C52" s="3"/>
      <c r="D52" s="3"/>
      <c r="E52" s="3"/>
      <c r="F52" s="3"/>
      <c r="G52" s="3"/>
      <c r="H52" s="3"/>
      <c r="I52" s="3"/>
      <c r="J52" s="3"/>
      <c r="K52" s="3"/>
      <c r="L52" s="3"/>
      <c r="M52" s="3"/>
      <c r="N52" s="3"/>
      <c r="O52" s="3"/>
      <c r="P52" s="162"/>
      <c r="Q52" s="162"/>
      <c r="R52" s="162"/>
      <c r="S52" s="162"/>
      <c r="T52" s="162"/>
      <c r="U52" s="162"/>
      <c r="V52" s="162"/>
      <c r="W52" s="163"/>
      <c r="X52" s="248" t="s">
        <v>202</v>
      </c>
      <c r="Y52" s="334">
        <v>166844.2</v>
      </c>
      <c r="Z52" s="163"/>
      <c r="AA52" s="162"/>
      <c r="AB52" s="162"/>
      <c r="AC52" s="162"/>
      <c r="AD52" s="163"/>
      <c r="AE52" s="3"/>
      <c r="AF52" s="3"/>
      <c r="AG52" s="3"/>
      <c r="AH52" s="3"/>
      <c r="AI52" s="3"/>
      <c r="AJ52" s="3"/>
      <c r="AK52" s="3"/>
      <c r="AL52" s="3"/>
      <c r="AM52" s="3"/>
      <c r="AN52" s="3"/>
      <c r="AO52" s="3"/>
      <c r="AP52" s="3"/>
      <c r="AQ52" s="3"/>
      <c r="AR52" s="3"/>
      <c r="AS52" s="3"/>
    </row>
    <row r="53" ht="15.75" customHeight="1">
      <c r="A53" s="3"/>
      <c r="B53" s="3"/>
      <c r="C53" s="3"/>
      <c r="D53" s="3"/>
      <c r="E53" s="3"/>
      <c r="F53" s="3"/>
      <c r="G53" s="3"/>
      <c r="H53" s="3"/>
      <c r="I53" s="3"/>
      <c r="J53" s="3"/>
      <c r="K53" s="3"/>
      <c r="L53" s="3"/>
      <c r="M53" s="3"/>
      <c r="N53" s="3"/>
      <c r="O53" s="3"/>
      <c r="P53" s="162"/>
      <c r="Q53" s="163"/>
      <c r="R53" s="163"/>
      <c r="S53" s="163"/>
      <c r="T53" s="163"/>
      <c r="U53" s="163"/>
      <c r="V53" s="163"/>
      <c r="W53" s="163"/>
      <c r="X53" s="248" t="s">
        <v>203</v>
      </c>
      <c r="Y53" s="334">
        <v>300000.0</v>
      </c>
      <c r="Z53" s="163"/>
      <c r="AA53" s="162"/>
      <c r="AB53" s="162"/>
      <c r="AC53" s="162"/>
      <c r="AD53" s="163"/>
      <c r="AE53" s="3"/>
      <c r="AF53" s="3"/>
      <c r="AG53" s="3"/>
      <c r="AH53" s="3"/>
      <c r="AI53" s="3"/>
      <c r="AJ53" s="3"/>
      <c r="AK53" s="3"/>
      <c r="AL53" s="3"/>
      <c r="AM53" s="3"/>
      <c r="AN53" s="3"/>
      <c r="AO53" s="3"/>
      <c r="AP53" s="3"/>
      <c r="AQ53" s="3"/>
      <c r="AR53" s="3"/>
      <c r="AS53" s="3"/>
    </row>
    <row r="54" ht="15.75" customHeight="1">
      <c r="A54" s="3"/>
      <c r="B54" s="3"/>
      <c r="C54" s="3"/>
      <c r="D54" s="3"/>
      <c r="E54" s="3"/>
      <c r="F54" s="3"/>
      <c r="G54" s="3"/>
      <c r="H54" s="3"/>
      <c r="I54" s="3"/>
      <c r="J54" s="3"/>
      <c r="K54" s="3"/>
      <c r="L54" s="3"/>
      <c r="M54" s="3"/>
      <c r="N54" s="3"/>
      <c r="O54" s="3"/>
      <c r="P54" s="162"/>
      <c r="Q54" s="163"/>
      <c r="R54" s="163"/>
      <c r="S54" s="163"/>
      <c r="T54" s="163"/>
      <c r="U54" s="163"/>
      <c r="V54" s="163"/>
      <c r="W54" s="163"/>
      <c r="X54" s="248" t="s">
        <v>204</v>
      </c>
      <c r="Y54" s="334">
        <v>500000.0</v>
      </c>
      <c r="Z54" s="163"/>
      <c r="AA54" s="162"/>
      <c r="AB54" s="162"/>
      <c r="AC54" s="162"/>
      <c r="AD54" s="163"/>
      <c r="AE54" s="3"/>
      <c r="AF54" s="3"/>
      <c r="AG54" s="3"/>
      <c r="AH54" s="3"/>
      <c r="AI54" s="3"/>
      <c r="AJ54" s="3"/>
      <c r="AK54" s="3"/>
      <c r="AL54" s="3"/>
      <c r="AM54" s="3"/>
      <c r="AN54" s="3"/>
      <c r="AO54" s="3"/>
      <c r="AP54" s="3"/>
      <c r="AQ54" s="3"/>
      <c r="AR54" s="3"/>
      <c r="AS54" s="3"/>
    </row>
    <row r="55" ht="15.75" customHeight="1">
      <c r="A55" s="3"/>
      <c r="B55" s="3"/>
      <c r="C55" s="3"/>
      <c r="D55" s="3"/>
      <c r="E55" s="3"/>
      <c r="F55" s="3"/>
      <c r="G55" s="3"/>
      <c r="H55" s="3"/>
      <c r="I55" s="3"/>
      <c r="J55" s="3"/>
      <c r="K55" s="3"/>
      <c r="L55" s="3"/>
      <c r="M55" s="3"/>
      <c r="N55" s="3"/>
      <c r="O55" s="3"/>
      <c r="P55" s="162"/>
      <c r="Q55" s="163"/>
      <c r="R55" s="163"/>
      <c r="S55" s="163"/>
      <c r="T55" s="163"/>
      <c r="U55" s="163"/>
      <c r="V55" s="163"/>
      <c r="W55" s="163"/>
      <c r="X55" s="248" t="s">
        <v>205</v>
      </c>
      <c r="Y55" s="334">
        <v>300000.0</v>
      </c>
      <c r="Z55" s="163"/>
      <c r="AA55" s="162"/>
      <c r="AB55" s="162"/>
      <c r="AC55" s="162"/>
      <c r="AD55" s="163"/>
      <c r="AE55" s="3"/>
      <c r="AF55" s="3"/>
      <c r="AG55" s="3"/>
      <c r="AH55" s="3"/>
      <c r="AI55" s="3"/>
      <c r="AJ55" s="3"/>
      <c r="AK55" s="3"/>
      <c r="AL55" s="3"/>
      <c r="AM55" s="3"/>
      <c r="AN55" s="3"/>
      <c r="AO55" s="3"/>
      <c r="AP55" s="3"/>
      <c r="AQ55" s="3"/>
      <c r="AR55" s="3"/>
      <c r="AS55" s="3"/>
    </row>
    <row r="56" ht="15.75" customHeight="1">
      <c r="A56" s="3"/>
      <c r="B56" s="3"/>
      <c r="C56" s="3"/>
      <c r="D56" s="3"/>
      <c r="E56" s="3"/>
      <c r="F56" s="3"/>
      <c r="G56" s="3"/>
      <c r="H56" s="3"/>
      <c r="I56" s="3"/>
      <c r="J56" s="3"/>
      <c r="K56" s="3"/>
      <c r="L56" s="3"/>
      <c r="M56" s="3"/>
      <c r="N56" s="3"/>
      <c r="O56" s="3"/>
      <c r="P56" s="162"/>
      <c r="Q56" s="163"/>
      <c r="R56" s="163"/>
      <c r="S56" s="163"/>
      <c r="T56" s="163"/>
      <c r="U56" s="163"/>
      <c r="V56" s="163"/>
      <c r="W56" s="163"/>
      <c r="X56" s="248"/>
      <c r="Y56" s="334"/>
      <c r="Z56" s="163"/>
      <c r="AA56" s="162"/>
      <c r="AB56" s="162" t="s">
        <v>139</v>
      </c>
      <c r="AC56" s="162"/>
      <c r="AD56" s="163"/>
      <c r="AE56" s="3"/>
      <c r="AF56" s="3"/>
      <c r="AG56" s="3"/>
      <c r="AH56" s="3"/>
      <c r="AI56" s="3"/>
      <c r="AJ56" s="3"/>
      <c r="AK56" s="3"/>
      <c r="AL56" s="3"/>
      <c r="AM56" s="3"/>
      <c r="AN56" s="3"/>
      <c r="AO56" s="3"/>
      <c r="AP56" s="3"/>
      <c r="AQ56" s="3"/>
      <c r="AR56" s="3"/>
      <c r="AS56" s="3"/>
    </row>
    <row r="57" ht="15.75" customHeight="1">
      <c r="A57" s="3"/>
      <c r="B57" s="3"/>
      <c r="C57" s="3"/>
      <c r="D57" s="3"/>
      <c r="E57" s="3"/>
      <c r="F57" s="3"/>
      <c r="G57" s="3"/>
      <c r="H57" s="3"/>
      <c r="I57" s="3"/>
      <c r="J57" s="3"/>
      <c r="K57" s="3"/>
      <c r="L57" s="3"/>
      <c r="M57" s="3"/>
      <c r="N57" s="3"/>
      <c r="O57" s="3"/>
      <c r="P57" s="162"/>
      <c r="Q57" s="163"/>
      <c r="R57" s="163"/>
      <c r="S57" s="163"/>
      <c r="T57" s="163"/>
      <c r="U57" s="163"/>
      <c r="V57" s="163"/>
      <c r="W57" s="163"/>
      <c r="X57" s="248"/>
      <c r="Y57" s="334">
        <f>Y52+Y53+Y54+Y55</f>
        <v>1266844.2</v>
      </c>
      <c r="Z57" s="163"/>
      <c r="AA57" s="162"/>
      <c r="AB57" s="162"/>
      <c r="AC57" s="162"/>
      <c r="AD57" s="163"/>
      <c r="AE57" s="3"/>
      <c r="AF57" s="3"/>
      <c r="AG57" s="3"/>
      <c r="AH57" s="3"/>
      <c r="AI57" s="3"/>
      <c r="AJ57" s="3"/>
      <c r="AK57" s="3"/>
      <c r="AL57" s="3"/>
      <c r="AM57" s="3"/>
      <c r="AN57" s="3"/>
      <c r="AO57" s="3"/>
      <c r="AP57" s="3"/>
      <c r="AQ57" s="3"/>
      <c r="AR57" s="3"/>
      <c r="AS57" s="3"/>
    </row>
    <row r="58" ht="15.75" customHeight="1">
      <c r="A58" s="3"/>
      <c r="B58" s="3"/>
      <c r="C58" s="3"/>
      <c r="D58" s="3"/>
      <c r="E58" s="3"/>
      <c r="F58" s="3"/>
      <c r="G58" s="3"/>
      <c r="H58" s="3"/>
      <c r="I58" s="3"/>
      <c r="J58" s="3"/>
      <c r="K58" s="3"/>
      <c r="L58" s="3"/>
      <c r="M58" s="3"/>
      <c r="N58" s="3"/>
      <c r="O58" s="3"/>
      <c r="P58" s="162"/>
      <c r="Q58" s="163"/>
      <c r="R58" s="163"/>
      <c r="S58" s="163"/>
      <c r="T58" s="163"/>
      <c r="U58" s="163"/>
      <c r="V58" s="163"/>
      <c r="W58" s="163"/>
      <c r="X58" s="163"/>
      <c r="Y58" s="162"/>
      <c r="Z58" s="162"/>
      <c r="AA58" s="162"/>
      <c r="AB58" s="162"/>
      <c r="AC58" s="162"/>
      <c r="AD58" s="163"/>
      <c r="AE58" s="3"/>
      <c r="AF58" s="3"/>
      <c r="AG58" s="3"/>
      <c r="AH58" s="3"/>
      <c r="AI58" s="3"/>
      <c r="AJ58" s="3"/>
      <c r="AK58" s="3"/>
      <c r="AL58" s="3"/>
      <c r="AM58" s="3"/>
      <c r="AN58" s="3"/>
      <c r="AO58" s="3"/>
      <c r="AP58" s="3"/>
      <c r="AQ58" s="3"/>
      <c r="AR58" s="3"/>
      <c r="AS58" s="3"/>
    </row>
    <row r="59" ht="15.75" customHeight="1">
      <c r="A59" s="3"/>
      <c r="B59" s="3"/>
      <c r="C59" s="3"/>
      <c r="D59" s="3"/>
      <c r="E59" s="3"/>
      <c r="F59" s="3"/>
      <c r="G59" s="3"/>
      <c r="H59" s="3"/>
      <c r="I59" s="3"/>
      <c r="J59" s="3"/>
      <c r="K59" s="3"/>
      <c r="L59" s="3"/>
      <c r="M59" s="3"/>
      <c r="N59" s="3"/>
      <c r="O59" s="3"/>
      <c r="P59" s="162"/>
      <c r="Q59" s="163"/>
      <c r="R59" s="163"/>
      <c r="S59" s="163"/>
      <c r="T59" s="163"/>
      <c r="U59" s="163"/>
      <c r="V59" s="163"/>
      <c r="W59" s="163"/>
      <c r="X59" s="163"/>
      <c r="Y59" s="162"/>
      <c r="Z59" s="162"/>
      <c r="AA59" s="162"/>
      <c r="AB59" s="162"/>
      <c r="AC59" s="162"/>
      <c r="AD59" s="163"/>
      <c r="AE59" s="3"/>
      <c r="AF59" s="3"/>
      <c r="AG59" s="3"/>
      <c r="AH59" s="3"/>
      <c r="AI59" s="3"/>
      <c r="AJ59" s="3"/>
      <c r="AK59" s="3"/>
      <c r="AL59" s="3"/>
      <c r="AM59" s="3"/>
      <c r="AN59" s="3"/>
      <c r="AO59" s="3"/>
      <c r="AP59" s="3"/>
      <c r="AQ59" s="3"/>
      <c r="AR59" s="3"/>
      <c r="AS59" s="3"/>
    </row>
    <row r="60" ht="15.75" customHeight="1">
      <c r="A60" s="3"/>
      <c r="B60" s="3"/>
      <c r="C60" s="3"/>
      <c r="D60" s="3"/>
      <c r="E60" s="3"/>
      <c r="F60" s="3"/>
      <c r="G60" s="3"/>
      <c r="H60" s="3"/>
      <c r="I60" s="3"/>
      <c r="J60" s="3"/>
      <c r="K60" s="3"/>
      <c r="L60" s="3"/>
      <c r="M60" s="3"/>
      <c r="N60" s="3"/>
      <c r="O60" s="3"/>
      <c r="P60" s="162"/>
      <c r="Q60" s="163"/>
      <c r="R60" s="163"/>
      <c r="S60" s="163"/>
      <c r="T60" s="163"/>
      <c r="U60" s="163"/>
      <c r="V60" s="163"/>
      <c r="W60" s="163"/>
      <c r="X60" s="163"/>
      <c r="Y60" s="162"/>
      <c r="Z60" s="162"/>
      <c r="AA60" s="162"/>
      <c r="AB60" s="162"/>
      <c r="AC60" s="162"/>
      <c r="AD60" s="163"/>
      <c r="AE60" s="3"/>
      <c r="AF60" s="3"/>
      <c r="AG60" s="3"/>
      <c r="AH60" s="3"/>
      <c r="AI60" s="3"/>
      <c r="AJ60" s="3"/>
      <c r="AK60" s="3"/>
      <c r="AL60" s="3"/>
      <c r="AM60" s="3"/>
      <c r="AN60" s="3"/>
      <c r="AO60" s="3"/>
      <c r="AP60" s="3"/>
      <c r="AQ60" s="3"/>
      <c r="AR60" s="3"/>
      <c r="AS60" s="3"/>
    </row>
    <row r="61" ht="15.75" customHeight="1">
      <c r="A61" s="3"/>
      <c r="B61" s="3"/>
      <c r="C61" s="3"/>
      <c r="D61" s="3"/>
      <c r="E61" s="3"/>
      <c r="F61" s="3"/>
      <c r="G61" s="3"/>
      <c r="H61" s="3"/>
      <c r="I61" s="3"/>
      <c r="J61" s="3"/>
      <c r="K61" s="3"/>
      <c r="L61" s="3"/>
      <c r="M61" s="3"/>
      <c r="N61" s="3"/>
      <c r="O61" s="3"/>
      <c r="P61" s="3"/>
      <c r="Q61" s="163"/>
      <c r="R61" s="163"/>
      <c r="S61" s="163"/>
      <c r="T61" s="163"/>
      <c r="U61" s="163"/>
      <c r="V61" s="163"/>
      <c r="W61" s="163"/>
      <c r="X61" s="163"/>
      <c r="Y61" s="162"/>
      <c r="Z61" s="162"/>
      <c r="AA61" s="162"/>
      <c r="AB61" s="162"/>
      <c r="AC61" s="162"/>
      <c r="AD61" s="163"/>
      <c r="AE61" s="3"/>
      <c r="AF61" s="3"/>
      <c r="AG61" s="3"/>
      <c r="AH61" s="3"/>
      <c r="AI61" s="3"/>
      <c r="AJ61" s="3"/>
      <c r="AK61" s="3"/>
      <c r="AL61" s="3"/>
      <c r="AM61" s="3"/>
      <c r="AN61" s="3"/>
      <c r="AO61" s="3"/>
      <c r="AP61" s="3"/>
      <c r="AQ61" s="3"/>
      <c r="AR61" s="3"/>
      <c r="AS61" s="3"/>
    </row>
    <row r="62" ht="15.75" customHeight="1">
      <c r="A62" s="3"/>
      <c r="B62" s="3"/>
      <c r="C62" s="3"/>
      <c r="D62" s="3"/>
      <c r="E62" s="3"/>
      <c r="F62" s="3"/>
      <c r="G62" s="3"/>
      <c r="H62" s="3"/>
      <c r="I62" s="3"/>
      <c r="J62" s="3"/>
      <c r="K62" s="3"/>
      <c r="L62" s="3"/>
      <c r="M62" s="3"/>
      <c r="N62" s="3"/>
      <c r="O62" s="3"/>
      <c r="P62" s="3"/>
      <c r="Q62" s="163"/>
      <c r="R62" s="163"/>
      <c r="S62" s="163"/>
      <c r="T62" s="163"/>
      <c r="U62" s="163"/>
      <c r="V62" s="163"/>
      <c r="W62" s="163"/>
      <c r="X62" s="163"/>
      <c r="Y62" s="162"/>
      <c r="Z62" s="162"/>
      <c r="AA62" s="162"/>
      <c r="AB62" s="162"/>
      <c r="AC62" s="162"/>
      <c r="AD62" s="163"/>
      <c r="AE62" s="3"/>
      <c r="AF62" s="3"/>
      <c r="AG62" s="3"/>
      <c r="AH62" s="3"/>
      <c r="AI62" s="3"/>
      <c r="AJ62" s="3"/>
      <c r="AK62" s="3"/>
      <c r="AL62" s="3"/>
      <c r="AM62" s="3"/>
      <c r="AN62" s="3"/>
      <c r="AO62" s="3"/>
      <c r="AP62" s="3"/>
      <c r="AQ62" s="3"/>
      <c r="AR62" s="3"/>
      <c r="AS62" s="3"/>
    </row>
    <row r="63" ht="15.75" customHeight="1">
      <c r="A63" s="3"/>
      <c r="B63" s="3"/>
      <c r="C63" s="3"/>
      <c r="D63" s="3"/>
      <c r="E63" s="3"/>
      <c r="F63" s="3"/>
      <c r="G63" s="3"/>
      <c r="H63" s="3"/>
      <c r="I63" s="3"/>
      <c r="J63" s="3"/>
      <c r="K63" s="3"/>
      <c r="L63" s="3"/>
      <c r="M63" s="3"/>
      <c r="N63" s="3"/>
      <c r="O63" s="3"/>
      <c r="P63" s="3"/>
      <c r="Q63" s="163"/>
      <c r="R63" s="163"/>
      <c r="S63" s="163"/>
      <c r="T63" s="163"/>
      <c r="U63" s="163"/>
      <c r="V63" s="163"/>
      <c r="W63" s="163"/>
      <c r="X63" s="163"/>
      <c r="Y63" s="163"/>
      <c r="Z63" s="163"/>
      <c r="AA63" s="163"/>
      <c r="AB63" s="163"/>
      <c r="AC63" s="163"/>
      <c r="AD63" s="163"/>
      <c r="AE63" s="3"/>
      <c r="AF63" s="3"/>
      <c r="AG63" s="3"/>
      <c r="AH63" s="3"/>
      <c r="AI63" s="3"/>
      <c r="AJ63" s="3"/>
      <c r="AK63" s="3"/>
      <c r="AL63" s="3"/>
      <c r="AM63" s="3"/>
      <c r="AN63" s="3"/>
      <c r="AO63" s="3"/>
      <c r="AP63" s="3"/>
      <c r="AQ63" s="3"/>
      <c r="AR63" s="3"/>
      <c r="AS63" s="3"/>
    </row>
    <row r="64" ht="15.75" customHeight="1">
      <c r="A64" s="3"/>
      <c r="B64" s="3"/>
      <c r="C64" s="3"/>
      <c r="D64" s="3"/>
      <c r="E64" s="3"/>
      <c r="F64" s="3"/>
      <c r="G64" s="3"/>
      <c r="H64" s="3"/>
      <c r="I64" s="3"/>
      <c r="J64" s="3"/>
      <c r="K64" s="3"/>
      <c r="L64" s="3"/>
      <c r="M64" s="3"/>
      <c r="N64" s="3"/>
      <c r="O64" s="3"/>
      <c r="P64" s="3"/>
      <c r="Q64" s="163"/>
      <c r="R64" s="163"/>
      <c r="S64" s="163"/>
      <c r="T64" s="163"/>
      <c r="U64" s="163"/>
      <c r="V64" s="163"/>
      <c r="W64" s="163"/>
      <c r="X64" s="163"/>
      <c r="Y64" s="163"/>
      <c r="Z64" s="163"/>
      <c r="AA64" s="163"/>
      <c r="AB64" s="163"/>
      <c r="AC64" s="163"/>
      <c r="AD64" s="163"/>
      <c r="AE64" s="3"/>
      <c r="AF64" s="3"/>
      <c r="AG64" s="3"/>
      <c r="AH64" s="3"/>
      <c r="AI64" s="3"/>
      <c r="AJ64" s="3"/>
      <c r="AK64" s="3"/>
      <c r="AL64" s="3"/>
      <c r="AM64" s="3"/>
      <c r="AN64" s="3"/>
      <c r="AO64" s="3"/>
      <c r="AP64" s="3"/>
      <c r="AQ64" s="3"/>
      <c r="AR64" s="3"/>
      <c r="AS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row>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07">
    <mergeCell ref="E21:E35"/>
    <mergeCell ref="F21:F26"/>
    <mergeCell ref="F27:F29"/>
    <mergeCell ref="F31:F33"/>
    <mergeCell ref="H31:H33"/>
    <mergeCell ref="I31:I33"/>
    <mergeCell ref="F4:H8"/>
    <mergeCell ref="I7:J9"/>
    <mergeCell ref="A10:B10"/>
    <mergeCell ref="A11:B35"/>
    <mergeCell ref="C11:C19"/>
    <mergeCell ref="H11:H14"/>
    <mergeCell ref="J27:J29"/>
    <mergeCell ref="J31:J33"/>
    <mergeCell ref="AA35:AB35"/>
    <mergeCell ref="AA36:AB36"/>
    <mergeCell ref="AC36:AF36"/>
    <mergeCell ref="AB39:AC39"/>
    <mergeCell ref="P31:P33"/>
    <mergeCell ref="Q31:Q33"/>
    <mergeCell ref="V31:V33"/>
    <mergeCell ref="Z31:Z33"/>
    <mergeCell ref="AA31:AB33"/>
    <mergeCell ref="AC31:AF33"/>
    <mergeCell ref="AC35:AF35"/>
    <mergeCell ref="D13:D19"/>
    <mergeCell ref="E13:E19"/>
    <mergeCell ref="J16:J17"/>
    <mergeCell ref="J18:J19"/>
    <mergeCell ref="K31:K33"/>
    <mergeCell ref="L31:L33"/>
    <mergeCell ref="M31:M33"/>
    <mergeCell ref="N31:N33"/>
    <mergeCell ref="O31:O33"/>
    <mergeCell ref="C21:C35"/>
    <mergeCell ref="D21:D35"/>
    <mergeCell ref="G21:G26"/>
    <mergeCell ref="H21:H26"/>
    <mergeCell ref="Q27:Q28"/>
    <mergeCell ref="R27:R28"/>
    <mergeCell ref="G13:G14"/>
    <mergeCell ref="G31:G33"/>
    <mergeCell ref="P22:P23"/>
    <mergeCell ref="Q22:Q23"/>
    <mergeCell ref="R22:R23"/>
    <mergeCell ref="P24:P26"/>
    <mergeCell ref="Q24:Q26"/>
    <mergeCell ref="R24:R26"/>
    <mergeCell ref="P27:P28"/>
    <mergeCell ref="J13:J14"/>
    <mergeCell ref="K13:K14"/>
    <mergeCell ref="L13:L14"/>
    <mergeCell ref="M13:M14"/>
    <mergeCell ref="N13:N14"/>
    <mergeCell ref="O13:O14"/>
    <mergeCell ref="I11:I14"/>
    <mergeCell ref="J11:J12"/>
    <mergeCell ref="K11:K12"/>
    <mergeCell ref="L11:L12"/>
    <mergeCell ref="M11:M12"/>
    <mergeCell ref="N11:N12"/>
    <mergeCell ref="O11:O12"/>
    <mergeCell ref="AC13:AF14"/>
    <mergeCell ref="AG13:AJ14"/>
    <mergeCell ref="P13:P14"/>
    <mergeCell ref="Q13:Q14"/>
    <mergeCell ref="R13:R14"/>
    <mergeCell ref="V13:V14"/>
    <mergeCell ref="W13:W14"/>
    <mergeCell ref="Z13:Z14"/>
    <mergeCell ref="AA13:AB14"/>
    <mergeCell ref="AK16:AN16"/>
    <mergeCell ref="AO16:AP16"/>
    <mergeCell ref="AC11:AF11"/>
    <mergeCell ref="AC12:AF12"/>
    <mergeCell ref="AK13:AN14"/>
    <mergeCell ref="AO13:AP14"/>
    <mergeCell ref="AA16:AB16"/>
    <mergeCell ref="AC16:AF16"/>
    <mergeCell ref="AG16:AJ16"/>
    <mergeCell ref="AG18:AJ18"/>
    <mergeCell ref="AK18:AN18"/>
    <mergeCell ref="AA17:AB17"/>
    <mergeCell ref="AC17:AF17"/>
    <mergeCell ref="AG17:AJ17"/>
    <mergeCell ref="AK17:AN17"/>
    <mergeCell ref="AO17:AP17"/>
    <mergeCell ref="AC18:AF18"/>
    <mergeCell ref="AO18:AP18"/>
    <mergeCell ref="AG22:AJ23"/>
    <mergeCell ref="AO22:AP23"/>
    <mergeCell ref="AA21:AB21"/>
    <mergeCell ref="AC21:AF21"/>
    <mergeCell ref="V22:V23"/>
    <mergeCell ref="W22:W23"/>
    <mergeCell ref="Z22:Z23"/>
    <mergeCell ref="AA22:AB23"/>
    <mergeCell ref="AC22:AF23"/>
    <mergeCell ref="C1:AB1"/>
    <mergeCell ref="A3:A4"/>
    <mergeCell ref="B3:B4"/>
    <mergeCell ref="AA3:AD3"/>
    <mergeCell ref="AE3:AN3"/>
    <mergeCell ref="AA4:AD4"/>
    <mergeCell ref="AE4:AN4"/>
    <mergeCell ref="AA9:AC9"/>
    <mergeCell ref="AD9:AF9"/>
    <mergeCell ref="AG9:AJ9"/>
    <mergeCell ref="AK9:AN9"/>
    <mergeCell ref="AO9:AP9"/>
    <mergeCell ref="AO10:AP10"/>
    <mergeCell ref="AA7:AF7"/>
    <mergeCell ref="AG7:AN7"/>
    <mergeCell ref="AA8:AC8"/>
    <mergeCell ref="AD8:AF8"/>
    <mergeCell ref="AG8:AJ8"/>
    <mergeCell ref="AK8:AN8"/>
    <mergeCell ref="AO8:AP8"/>
    <mergeCell ref="P11:P12"/>
    <mergeCell ref="Q11:Q12"/>
    <mergeCell ref="R11:R12"/>
    <mergeCell ref="V11:V12"/>
    <mergeCell ref="Z11:Z12"/>
    <mergeCell ref="AA11:AB12"/>
    <mergeCell ref="AO11:AP12"/>
    <mergeCell ref="F11:F14"/>
    <mergeCell ref="F16:F19"/>
    <mergeCell ref="H16:H19"/>
    <mergeCell ref="I16:I18"/>
    <mergeCell ref="K16:K17"/>
    <mergeCell ref="L16:L17"/>
    <mergeCell ref="M16:M19"/>
    <mergeCell ref="K18:K19"/>
    <mergeCell ref="L18:L19"/>
    <mergeCell ref="AA18:AB18"/>
    <mergeCell ref="AA19:AB19"/>
    <mergeCell ref="AC19:AF19"/>
    <mergeCell ref="AG19:AJ19"/>
    <mergeCell ref="AK19:AN19"/>
    <mergeCell ref="AO19:AP19"/>
    <mergeCell ref="K24:K26"/>
    <mergeCell ref="L24:L26"/>
    <mergeCell ref="I21:I23"/>
    <mergeCell ref="J22:J26"/>
    <mergeCell ref="K22:K23"/>
    <mergeCell ref="L22:L23"/>
    <mergeCell ref="M22:M23"/>
    <mergeCell ref="N22:N23"/>
    <mergeCell ref="O22:O23"/>
    <mergeCell ref="O24:O26"/>
    <mergeCell ref="AG24:AJ26"/>
    <mergeCell ref="AK24:AN26"/>
    <mergeCell ref="AO24:AP26"/>
    <mergeCell ref="M24:M26"/>
    <mergeCell ref="N24:N26"/>
    <mergeCell ref="V24:V26"/>
    <mergeCell ref="W24:W26"/>
    <mergeCell ref="Z24:Z26"/>
    <mergeCell ref="AA24:AB26"/>
    <mergeCell ref="AC24:AF26"/>
    <mergeCell ref="I24:I26"/>
    <mergeCell ref="G27:G29"/>
    <mergeCell ref="H27:H29"/>
    <mergeCell ref="I27:I29"/>
    <mergeCell ref="K27:K28"/>
    <mergeCell ref="L27:L29"/>
    <mergeCell ref="M27:M29"/>
    <mergeCell ref="Y27:Y28"/>
    <mergeCell ref="Z27:Z28"/>
    <mergeCell ref="AA27:AB27"/>
    <mergeCell ref="AC27:AF28"/>
    <mergeCell ref="AG27:AJ28"/>
    <mergeCell ref="AK27:AN28"/>
    <mergeCell ref="AO27:AP27"/>
    <mergeCell ref="AG33:AJ33"/>
    <mergeCell ref="AG35:AJ35"/>
    <mergeCell ref="AK35:AN35"/>
    <mergeCell ref="AO35:AP35"/>
    <mergeCell ref="AG36:AJ36"/>
    <mergeCell ref="AK36:AN36"/>
    <mergeCell ref="AO36:AP36"/>
    <mergeCell ref="AH39:AK40"/>
    <mergeCell ref="AC29:AF29"/>
    <mergeCell ref="AG29:AJ29"/>
    <mergeCell ref="AK29:AN29"/>
    <mergeCell ref="AG31:AJ31"/>
    <mergeCell ref="AK31:AN33"/>
    <mergeCell ref="AO31:AP33"/>
    <mergeCell ref="AG32:AJ32"/>
    <mergeCell ref="N27:N29"/>
    <mergeCell ref="O27:O28"/>
    <mergeCell ref="T27:T28"/>
    <mergeCell ref="U27:U28"/>
    <mergeCell ref="V27:V28"/>
    <mergeCell ref="W27:W28"/>
    <mergeCell ref="X27:X28"/>
    <mergeCell ref="AA45:AB45"/>
    <mergeCell ref="AA46:AB46"/>
    <mergeCell ref="AA47:AB47"/>
    <mergeCell ref="AA48:AB48"/>
    <mergeCell ref="P40:U41"/>
    <mergeCell ref="AA41:AB41"/>
    <mergeCell ref="Q42:R42"/>
    <mergeCell ref="AA42:AB42"/>
    <mergeCell ref="Q43:R43"/>
    <mergeCell ref="AA43:AB43"/>
    <mergeCell ref="AA44:AB44"/>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1" max="1" width="23.57"/>
    <col customWidth="1" min="2" max="2" width="48.14"/>
    <col customWidth="1" min="3" max="3" width="36.0"/>
    <col customWidth="1" min="4" max="4" width="14.43"/>
    <col customWidth="1" min="5" max="5" width="23.43"/>
    <col customWidth="1" min="6" max="6" width="31.0"/>
    <col customWidth="1" min="10" max="10" width="27.86"/>
    <col customWidth="1" min="11" max="11" width="18.14"/>
    <col customWidth="1" min="12" max="12" width="50.71"/>
    <col customWidth="1" min="13" max="13" width="44.29"/>
    <col customWidth="1" min="15" max="15" width="17.86"/>
    <col customWidth="1" min="16" max="16" width="37.86"/>
    <col customWidth="1" min="29" max="29" width="25.29"/>
  </cols>
  <sheetData>
    <row r="1" ht="47.25" customHeight="1">
      <c r="A1" s="335"/>
      <c r="B1" s="335"/>
      <c r="C1" s="335"/>
      <c r="D1" s="335"/>
      <c r="E1" s="335"/>
      <c r="F1" s="335"/>
      <c r="G1" s="335"/>
      <c r="H1" s="335"/>
      <c r="I1" s="335"/>
      <c r="J1" s="335"/>
      <c r="K1" s="335"/>
      <c r="L1" s="335"/>
      <c r="M1" s="335"/>
      <c r="N1" s="335"/>
      <c r="O1" s="335"/>
      <c r="P1" s="335"/>
      <c r="Q1" s="335"/>
      <c r="R1" s="335"/>
      <c r="S1" s="335"/>
      <c r="T1" s="335"/>
      <c r="U1" s="335"/>
      <c r="V1" s="335"/>
      <c r="W1" s="335"/>
      <c r="X1" s="335"/>
      <c r="Y1" s="335"/>
      <c r="Z1" s="335"/>
      <c r="AA1" s="335"/>
      <c r="AB1" s="335"/>
      <c r="AC1" s="335"/>
      <c r="AD1" s="335"/>
      <c r="AE1" s="335"/>
      <c r="AF1" s="335"/>
      <c r="AG1" s="335"/>
      <c r="AH1" s="335"/>
      <c r="AI1" s="335"/>
      <c r="AJ1" s="335"/>
      <c r="AK1" s="335"/>
      <c r="AL1" s="335"/>
      <c r="AM1" s="335"/>
      <c r="AN1" s="335"/>
      <c r="AO1" s="335"/>
      <c r="AP1" s="335"/>
      <c r="AQ1" s="335"/>
      <c r="AR1" s="335"/>
    </row>
    <row r="2" ht="15.75" customHeight="1">
      <c r="A2" s="220" t="s">
        <v>0</v>
      </c>
      <c r="B2" s="221" t="s">
        <v>1</v>
      </c>
      <c r="C2" s="9"/>
      <c r="D2" s="172"/>
    </row>
    <row r="3" ht="15.75" customHeight="1">
      <c r="A3" s="191"/>
      <c r="B3" s="191"/>
      <c r="C3" s="173"/>
      <c r="D3" s="172"/>
    </row>
    <row r="4" ht="15.75" customHeight="1">
      <c r="A4" s="226" t="s">
        <v>4</v>
      </c>
      <c r="B4" s="227">
        <v>1910200.0</v>
      </c>
      <c r="C4" s="175">
        <v>2198126.0</v>
      </c>
      <c r="D4" s="172"/>
      <c r="AN4" s="3"/>
      <c r="AO4" s="3"/>
    </row>
    <row r="5" ht="15.75" customHeight="1">
      <c r="A5" s="170" t="s">
        <v>5</v>
      </c>
      <c r="B5" s="171" t="s">
        <v>6</v>
      </c>
      <c r="C5" s="176"/>
      <c r="D5" s="172"/>
      <c r="AN5" s="9"/>
      <c r="AO5" s="9"/>
    </row>
    <row r="6" ht="15.75" customHeight="1">
      <c r="A6" s="9"/>
      <c r="AN6" s="9"/>
      <c r="AO6" s="9"/>
    </row>
    <row r="7" ht="15.75" customHeight="1">
      <c r="A7" s="9"/>
      <c r="B7" s="336" t="s">
        <v>7</v>
      </c>
      <c r="C7" s="337" t="s">
        <v>206</v>
      </c>
      <c r="D7" s="338"/>
      <c r="AN7" s="16"/>
      <c r="AO7" s="16"/>
    </row>
    <row r="8" ht="21.0" customHeight="1">
      <c r="A8" s="9"/>
      <c r="B8" s="339" t="s">
        <v>207</v>
      </c>
      <c r="C8" s="339" t="s">
        <v>13</v>
      </c>
      <c r="D8" s="339" t="s">
        <v>14</v>
      </c>
      <c r="AN8" s="16"/>
      <c r="AO8" s="16"/>
    </row>
    <row r="9" ht="15.75" customHeight="1">
      <c r="B9" s="51">
        <v>3.5E7</v>
      </c>
      <c r="C9" s="51">
        <f>B9*D9</f>
        <v>21700000</v>
      </c>
      <c r="D9" s="80">
        <v>0.62</v>
      </c>
      <c r="AB9" s="340" t="s">
        <v>179</v>
      </c>
      <c r="AD9" s="341" t="s">
        <v>179</v>
      </c>
      <c r="AN9" s="16"/>
      <c r="AO9" s="16"/>
    </row>
    <row r="10" ht="15.75" customHeight="1">
      <c r="AB10" s="342" t="s">
        <v>180</v>
      </c>
      <c r="AD10" s="343" t="s">
        <v>181</v>
      </c>
      <c r="AN10" s="16"/>
      <c r="AO10" s="16"/>
    </row>
    <row r="11" ht="15.75" customHeight="1">
      <c r="AB11" s="344"/>
      <c r="AC11" s="345" t="s">
        <v>182</v>
      </c>
      <c r="AD11" s="344"/>
      <c r="AE11" s="344"/>
      <c r="AF11" s="344"/>
      <c r="AG11" s="344"/>
      <c r="AH11" s="344"/>
      <c r="AI11" s="344"/>
      <c r="AJ11" s="344"/>
      <c r="AK11" s="344"/>
      <c r="AL11" s="344"/>
      <c r="AM11" s="344"/>
      <c r="AN11" s="16"/>
      <c r="AO11" s="16"/>
    </row>
    <row r="12" ht="15.75" customHeight="1">
      <c r="AB12" s="346"/>
      <c r="AC12" s="345" t="s">
        <v>183</v>
      </c>
      <c r="AD12" s="346"/>
      <c r="AE12" s="346"/>
      <c r="AF12" s="346"/>
      <c r="AG12" s="346"/>
      <c r="AH12" s="346"/>
      <c r="AI12" s="346"/>
      <c r="AJ12" s="346"/>
      <c r="AK12" s="346"/>
      <c r="AL12" s="346"/>
      <c r="AM12" s="346"/>
      <c r="AN12" s="16"/>
      <c r="AO12" s="16"/>
    </row>
    <row r="13" ht="15.75" customHeight="1">
      <c r="AB13" s="347"/>
      <c r="AF13" s="348" t="s">
        <v>10</v>
      </c>
      <c r="AN13" s="16"/>
      <c r="AO13" s="16"/>
    </row>
    <row r="14" ht="15.75" customHeight="1">
      <c r="X14" s="349">
        <f>X21/3</f>
        <v>500290.4762</v>
      </c>
      <c r="AB14" s="350" t="s">
        <v>20</v>
      </c>
      <c r="AC14" s="233"/>
      <c r="AD14" s="233"/>
      <c r="AE14" s="233"/>
      <c r="AF14" s="350" t="s">
        <v>21</v>
      </c>
      <c r="AG14" s="233"/>
      <c r="AH14" s="233"/>
      <c r="AI14" s="234"/>
      <c r="AJ14" s="350" t="s">
        <v>22</v>
      </c>
      <c r="AK14" s="233"/>
      <c r="AL14" s="233"/>
      <c r="AM14" s="234"/>
      <c r="AN14" s="232" t="s">
        <v>25</v>
      </c>
      <c r="AO14" s="234"/>
    </row>
    <row r="15" ht="15.75" customHeight="1">
      <c r="AB15" s="351">
        <v>0.7</v>
      </c>
      <c r="AC15" s="233"/>
      <c r="AD15" s="233"/>
      <c r="AE15" s="234"/>
      <c r="AF15" s="352">
        <v>0.5</v>
      </c>
      <c r="AG15" s="233"/>
      <c r="AH15" s="233"/>
      <c r="AI15" s="233"/>
      <c r="AJ15" s="352">
        <v>0.5</v>
      </c>
      <c r="AK15" s="233"/>
      <c r="AL15" s="233"/>
      <c r="AM15" s="234"/>
      <c r="AN15" s="238">
        <v>0.61</v>
      </c>
      <c r="AO15" s="234"/>
    </row>
    <row r="16" ht="15.75" customHeight="1">
      <c r="A16" s="239" t="s">
        <v>26</v>
      </c>
      <c r="B16" s="240"/>
      <c r="C16" s="34" t="s">
        <v>5</v>
      </c>
      <c r="D16" s="34" t="s">
        <v>27</v>
      </c>
      <c r="E16" s="35" t="s">
        <v>208</v>
      </c>
      <c r="F16" s="36" t="s">
        <v>29</v>
      </c>
      <c r="G16" s="36" t="s">
        <v>30</v>
      </c>
      <c r="H16" s="36"/>
      <c r="I16" s="36" t="s">
        <v>30</v>
      </c>
      <c r="J16" s="36" t="s">
        <v>209</v>
      </c>
      <c r="K16" s="36" t="s">
        <v>31</v>
      </c>
      <c r="L16" s="36" t="s">
        <v>210</v>
      </c>
      <c r="M16" s="36" t="s">
        <v>211</v>
      </c>
      <c r="N16" s="37"/>
      <c r="O16" s="37" t="s">
        <v>212</v>
      </c>
      <c r="P16" s="37" t="s">
        <v>213</v>
      </c>
      <c r="Q16" s="37" t="s">
        <v>36</v>
      </c>
      <c r="R16" s="37" t="s">
        <v>39</v>
      </c>
      <c r="S16" s="37" t="s">
        <v>40</v>
      </c>
      <c r="T16" s="37" t="s">
        <v>148</v>
      </c>
      <c r="U16" s="37" t="s">
        <v>41</v>
      </c>
      <c r="V16" s="37" t="s">
        <v>42</v>
      </c>
      <c r="W16" s="37" t="s">
        <v>43</v>
      </c>
      <c r="X16" s="37" t="s">
        <v>44</v>
      </c>
      <c r="Y16" s="37" t="s">
        <v>149</v>
      </c>
      <c r="Z16" s="37" t="s">
        <v>46</v>
      </c>
      <c r="AA16" s="37" t="s">
        <v>47</v>
      </c>
      <c r="AB16" s="353" t="s">
        <v>50</v>
      </c>
      <c r="AC16" s="353" t="s">
        <v>51</v>
      </c>
      <c r="AD16" s="353" t="s">
        <v>48</v>
      </c>
      <c r="AE16" s="354" t="s">
        <v>49</v>
      </c>
      <c r="AF16" s="355" t="s">
        <v>50</v>
      </c>
      <c r="AG16" s="353" t="s">
        <v>51</v>
      </c>
      <c r="AH16" s="353" t="s">
        <v>48</v>
      </c>
      <c r="AI16" s="354" t="s">
        <v>49</v>
      </c>
      <c r="AJ16" s="355" t="s">
        <v>50</v>
      </c>
      <c r="AK16" s="353" t="s">
        <v>51</v>
      </c>
      <c r="AL16" s="353" t="s">
        <v>48</v>
      </c>
      <c r="AM16" s="354" t="s">
        <v>49</v>
      </c>
      <c r="AN16" s="39"/>
      <c r="AP16" s="39"/>
      <c r="AQ16" s="39"/>
      <c r="AR16" s="39"/>
    </row>
    <row r="17" ht="60.0" customHeight="1">
      <c r="A17" s="241" t="s">
        <v>59</v>
      </c>
      <c r="B17" s="242"/>
      <c r="C17" s="126" t="s">
        <v>214</v>
      </c>
      <c r="D17" s="356">
        <v>0.1</v>
      </c>
      <c r="E17" s="357">
        <f>B4*D17</f>
        <v>191020</v>
      </c>
      <c r="F17" s="358" t="s">
        <v>215</v>
      </c>
      <c r="G17" s="359">
        <v>1.0</v>
      </c>
      <c r="H17" s="360">
        <f>E17*G17</f>
        <v>191020</v>
      </c>
      <c r="I17" s="361">
        <v>0.5</v>
      </c>
      <c r="J17" s="362" t="s">
        <v>76</v>
      </c>
      <c r="K17" s="363">
        <f>H17*I17</f>
        <v>95510</v>
      </c>
      <c r="L17" s="364" t="s">
        <v>216</v>
      </c>
      <c r="M17" s="365" t="s">
        <v>217</v>
      </c>
      <c r="N17" s="366" t="s">
        <v>43</v>
      </c>
      <c r="O17" s="366" t="s">
        <v>218</v>
      </c>
      <c r="P17" s="367" t="s">
        <v>219</v>
      </c>
      <c r="Q17" s="366">
        <v>1.0</v>
      </c>
      <c r="R17" s="368" t="s">
        <v>59</v>
      </c>
      <c r="S17" s="368" t="s">
        <v>70</v>
      </c>
      <c r="T17" s="368" t="s">
        <v>70</v>
      </c>
      <c r="U17" s="368" t="s">
        <v>70</v>
      </c>
      <c r="V17" s="368" t="s">
        <v>70</v>
      </c>
      <c r="W17" s="365">
        <v>2.0</v>
      </c>
      <c r="X17" s="368" t="s">
        <v>70</v>
      </c>
      <c r="Y17" s="368" t="s">
        <v>70</v>
      </c>
      <c r="Z17" s="368" t="s">
        <v>70</v>
      </c>
      <c r="AA17" s="369">
        <f t="shared" ref="AA17:AA18" si="1">K17/W17*1000</f>
        <v>47755000</v>
      </c>
      <c r="AB17" s="370">
        <f>K17/2</f>
        <v>47755</v>
      </c>
      <c r="AC17" s="370">
        <v>47755.0</v>
      </c>
      <c r="AD17" s="371"/>
      <c r="AE17" s="372"/>
      <c r="AF17" s="372"/>
      <c r="AG17" s="372"/>
      <c r="AH17" s="372"/>
      <c r="AI17" s="372"/>
      <c r="AJ17" s="372"/>
      <c r="AK17" s="372"/>
      <c r="AL17" s="372"/>
      <c r="AM17" s="372"/>
      <c r="AN17" s="157"/>
      <c r="AO17" s="157"/>
      <c r="AP17" s="157"/>
      <c r="AQ17" s="157"/>
      <c r="AR17" s="157"/>
    </row>
    <row r="18" ht="63.0" customHeight="1">
      <c r="A18" s="108"/>
      <c r="B18" s="111"/>
      <c r="C18" s="65"/>
      <c r="D18" s="65"/>
      <c r="E18" s="78"/>
      <c r="F18" s="191"/>
      <c r="G18" s="191"/>
      <c r="H18" s="191"/>
      <c r="I18" s="361">
        <v>0.5</v>
      </c>
      <c r="J18" s="362" t="s">
        <v>76</v>
      </c>
      <c r="K18" s="363">
        <f>H17*I18</f>
        <v>95510</v>
      </c>
      <c r="L18" s="373" t="s">
        <v>220</v>
      </c>
      <c r="M18" s="365" t="s">
        <v>217</v>
      </c>
      <c r="N18" s="366" t="s">
        <v>43</v>
      </c>
      <c r="O18" s="366" t="s">
        <v>218</v>
      </c>
      <c r="P18" s="367" t="s">
        <v>219</v>
      </c>
      <c r="Q18" s="366">
        <v>1.0</v>
      </c>
      <c r="R18" s="368" t="s">
        <v>59</v>
      </c>
      <c r="S18" s="368" t="s">
        <v>70</v>
      </c>
      <c r="T18" s="368" t="s">
        <v>70</v>
      </c>
      <c r="U18" s="368" t="s">
        <v>70</v>
      </c>
      <c r="V18" s="368" t="s">
        <v>70</v>
      </c>
      <c r="W18" s="365">
        <v>2.0</v>
      </c>
      <c r="X18" s="368" t="s">
        <v>70</v>
      </c>
      <c r="Y18" s="368" t="s">
        <v>70</v>
      </c>
      <c r="Z18" s="368" t="s">
        <v>70</v>
      </c>
      <c r="AA18" s="369">
        <f t="shared" si="1"/>
        <v>47755000</v>
      </c>
      <c r="AB18" s="371"/>
      <c r="AC18" s="372"/>
      <c r="AD18" s="374">
        <f>K18/4</f>
        <v>23877.5</v>
      </c>
      <c r="AE18" s="374">
        <v>23877.5</v>
      </c>
      <c r="AF18" s="374">
        <v>23877.5</v>
      </c>
      <c r="AG18" s="374">
        <v>23877.5</v>
      </c>
      <c r="AH18" s="372"/>
      <c r="AI18" s="372"/>
      <c r="AJ18" s="372"/>
      <c r="AK18" s="372"/>
      <c r="AL18" s="372"/>
      <c r="AM18" s="372"/>
      <c r="AN18" s="157"/>
      <c r="AO18" s="157"/>
      <c r="AP18" s="157"/>
      <c r="AQ18" s="157"/>
      <c r="AR18" s="157"/>
    </row>
    <row r="19" ht="15.75" customHeight="1">
      <c r="A19" s="108"/>
      <c r="B19" s="111"/>
      <c r="C19" s="69" t="s">
        <v>60</v>
      </c>
      <c r="D19" s="70">
        <v>0.5</v>
      </c>
      <c r="E19" s="357">
        <f>B4*D19</f>
        <v>955100</v>
      </c>
      <c r="F19" s="358" t="s">
        <v>221</v>
      </c>
      <c r="G19" s="359">
        <v>0.55</v>
      </c>
      <c r="H19" s="360">
        <f>E19*G19</f>
        <v>525305</v>
      </c>
      <c r="I19" s="359">
        <v>0.25</v>
      </c>
      <c r="J19" s="358" t="s">
        <v>76</v>
      </c>
      <c r="K19" s="360">
        <f>H19*I19</f>
        <v>131326.25</v>
      </c>
      <c r="L19" s="375" t="s">
        <v>216</v>
      </c>
      <c r="M19" s="376" t="s">
        <v>222</v>
      </c>
      <c r="N19" s="377" t="s">
        <v>40</v>
      </c>
      <c r="O19" s="378" t="s">
        <v>223</v>
      </c>
      <c r="P19" s="377" t="s">
        <v>110</v>
      </c>
      <c r="Q19" s="377">
        <v>3.0</v>
      </c>
      <c r="R19" s="379" t="s">
        <v>59</v>
      </c>
      <c r="S19" s="380">
        <v>0.07</v>
      </c>
      <c r="T19" s="379" t="s">
        <v>70</v>
      </c>
      <c r="U19" s="379" t="s">
        <v>70</v>
      </c>
      <c r="V19" s="379" t="s">
        <v>70</v>
      </c>
      <c r="W19" s="379" t="s">
        <v>70</v>
      </c>
      <c r="X19" s="377">
        <f>K19/S19</f>
        <v>1876089.286</v>
      </c>
      <c r="Y19" s="379" t="s">
        <v>70</v>
      </c>
      <c r="Z19" s="381" t="s">
        <v>70</v>
      </c>
      <c r="AA19" s="381" t="s">
        <v>70</v>
      </c>
      <c r="AB19" s="370">
        <f>K19/3</f>
        <v>43775.41667</v>
      </c>
      <c r="AC19" s="370">
        <v>43775.416666666664</v>
      </c>
      <c r="AD19" s="370">
        <v>43775.416666666664</v>
      </c>
      <c r="AE19" s="372"/>
      <c r="AF19" s="372"/>
      <c r="AG19" s="372"/>
      <c r="AH19" s="372"/>
      <c r="AI19" s="372"/>
      <c r="AJ19" s="372"/>
      <c r="AK19" s="372"/>
      <c r="AL19" s="372"/>
      <c r="AM19" s="372"/>
      <c r="AN19" s="157"/>
      <c r="AO19" s="157"/>
      <c r="AP19" s="157"/>
      <c r="AQ19" s="157"/>
      <c r="AR19" s="157"/>
    </row>
    <row r="20" ht="33.0" customHeight="1">
      <c r="A20" s="108"/>
      <c r="B20" s="111"/>
      <c r="C20" s="64"/>
      <c r="D20" s="64"/>
      <c r="E20" s="108"/>
      <c r="F20" s="109"/>
      <c r="G20" s="109"/>
      <c r="H20" s="109"/>
      <c r="I20" s="191"/>
      <c r="J20" s="191"/>
      <c r="K20" s="191"/>
      <c r="M20" s="240"/>
      <c r="N20" s="240"/>
      <c r="O20" s="240"/>
      <c r="P20" s="240"/>
      <c r="Q20" s="240"/>
      <c r="X20" s="240"/>
      <c r="Z20" s="111"/>
      <c r="AA20" s="111"/>
      <c r="AE20" s="372"/>
      <c r="AF20" s="372"/>
      <c r="AG20" s="372"/>
      <c r="AH20" s="372"/>
      <c r="AI20" s="372"/>
      <c r="AJ20" s="372"/>
      <c r="AK20" s="372"/>
      <c r="AL20" s="372"/>
      <c r="AM20" s="372"/>
      <c r="AN20" s="157"/>
      <c r="AO20" s="157"/>
      <c r="AP20" s="157"/>
      <c r="AQ20" s="157"/>
      <c r="AR20" s="157"/>
    </row>
    <row r="21" ht="15.75" customHeight="1">
      <c r="A21" s="108"/>
      <c r="B21" s="111"/>
      <c r="C21" s="64"/>
      <c r="D21" s="64"/>
      <c r="E21" s="108"/>
      <c r="F21" s="109"/>
      <c r="G21" s="109"/>
      <c r="H21" s="109"/>
      <c r="I21" s="359">
        <v>0.2</v>
      </c>
      <c r="J21" s="358" t="s">
        <v>76</v>
      </c>
      <c r="K21" s="360">
        <f>H19*I21</f>
        <v>105061</v>
      </c>
      <c r="L21" s="382" t="s">
        <v>220</v>
      </c>
      <c r="M21" s="376" t="s">
        <v>224</v>
      </c>
      <c r="N21" s="377" t="s">
        <v>40</v>
      </c>
      <c r="O21" s="377" t="s">
        <v>198</v>
      </c>
      <c r="P21" s="377" t="s">
        <v>225</v>
      </c>
      <c r="Q21" s="377">
        <v>2.0</v>
      </c>
      <c r="R21" s="381" t="s">
        <v>59</v>
      </c>
      <c r="S21" s="380">
        <v>0.07</v>
      </c>
      <c r="T21" s="379" t="s">
        <v>70</v>
      </c>
      <c r="U21" s="379" t="s">
        <v>70</v>
      </c>
      <c r="V21" s="379" t="s">
        <v>70</v>
      </c>
      <c r="W21" s="379" t="s">
        <v>70</v>
      </c>
      <c r="X21" s="377">
        <f>K21/S21</f>
        <v>1500871.429</v>
      </c>
      <c r="Y21" s="379" t="s">
        <v>70</v>
      </c>
      <c r="Z21" s="379" t="s">
        <v>70</v>
      </c>
      <c r="AA21" s="379" t="s">
        <v>70</v>
      </c>
      <c r="AB21" s="372"/>
      <c r="AC21" s="372"/>
      <c r="AD21" s="372"/>
      <c r="AE21" s="372"/>
      <c r="AF21" s="374">
        <f>K21/3</f>
        <v>35020.33333</v>
      </c>
      <c r="AG21" s="374">
        <v>35020.333333333336</v>
      </c>
      <c r="AH21" s="374">
        <v>35020.333333333336</v>
      </c>
      <c r="AI21" s="372"/>
      <c r="AJ21" s="372"/>
      <c r="AK21" s="372"/>
      <c r="AL21" s="372"/>
      <c r="AM21" s="372"/>
      <c r="AN21" s="157"/>
      <c r="AO21" s="157"/>
      <c r="AP21" s="157"/>
      <c r="AQ21" s="157"/>
      <c r="AR21" s="157"/>
    </row>
    <row r="22" ht="15.75" customHeight="1">
      <c r="A22" s="108"/>
      <c r="B22" s="111"/>
      <c r="C22" s="64"/>
      <c r="D22" s="64"/>
      <c r="E22" s="108"/>
      <c r="F22" s="109"/>
      <c r="G22" s="109"/>
      <c r="H22" s="109"/>
      <c r="I22" s="191"/>
      <c r="J22" s="191"/>
      <c r="K22" s="191"/>
      <c r="M22" s="240"/>
      <c r="N22" s="240"/>
      <c r="O22" s="240"/>
      <c r="P22" s="240"/>
      <c r="Q22" s="240"/>
      <c r="R22" s="240"/>
      <c r="X22" s="240"/>
      <c r="AB22" s="372"/>
      <c r="AC22" s="372"/>
      <c r="AD22" s="372"/>
      <c r="AE22" s="372"/>
      <c r="AI22" s="372"/>
      <c r="AJ22" s="372"/>
      <c r="AK22" s="372"/>
      <c r="AL22" s="372"/>
      <c r="AM22" s="372"/>
      <c r="AN22" s="157"/>
      <c r="AO22" s="157"/>
      <c r="AP22" s="157"/>
      <c r="AQ22" s="157"/>
      <c r="AR22" s="157"/>
    </row>
    <row r="23" ht="15.75" customHeight="1">
      <c r="A23" s="108"/>
      <c r="B23" s="111"/>
      <c r="C23" s="64"/>
      <c r="D23" s="64"/>
      <c r="E23" s="108"/>
      <c r="F23" s="109"/>
      <c r="G23" s="109"/>
      <c r="H23" s="109"/>
      <c r="I23" s="359">
        <v>0.55</v>
      </c>
      <c r="J23" s="358" t="s">
        <v>226</v>
      </c>
      <c r="K23" s="360">
        <f>H19*I23</f>
        <v>288917.75</v>
      </c>
      <c r="L23" s="382" t="s">
        <v>220</v>
      </c>
      <c r="M23" s="376" t="s">
        <v>198</v>
      </c>
      <c r="N23" s="377" t="s">
        <v>40</v>
      </c>
      <c r="O23" s="383" t="s">
        <v>198</v>
      </c>
      <c r="P23" s="377" t="s">
        <v>227</v>
      </c>
      <c r="Q23" s="377">
        <v>8.0</v>
      </c>
      <c r="R23" s="381" t="s">
        <v>59</v>
      </c>
      <c r="S23" s="384">
        <v>0.07</v>
      </c>
      <c r="T23" s="385" t="s">
        <v>70</v>
      </c>
      <c r="U23" s="385" t="s">
        <v>70</v>
      </c>
      <c r="V23" s="385" t="s">
        <v>70</v>
      </c>
      <c r="W23" s="385" t="s">
        <v>70</v>
      </c>
      <c r="X23" s="377">
        <f>(K23/S23)/8</f>
        <v>515924.5536</v>
      </c>
      <c r="Y23" s="385" t="s">
        <v>70</v>
      </c>
      <c r="Z23" s="385" t="s">
        <v>70</v>
      </c>
      <c r="AA23" s="385" t="s">
        <v>70</v>
      </c>
      <c r="AB23" s="372"/>
      <c r="AC23" s="372"/>
      <c r="AD23" s="372"/>
      <c r="AE23" s="372"/>
      <c r="AF23" s="374">
        <f>K23/8</f>
        <v>36114.71875</v>
      </c>
      <c r="AH23" s="386"/>
      <c r="AI23" s="386"/>
      <c r="AJ23" s="386"/>
      <c r="AK23" s="386"/>
      <c r="AL23" s="386"/>
      <c r="AM23" s="386"/>
      <c r="AN23" s="157"/>
      <c r="AO23" s="157"/>
      <c r="AP23" s="157"/>
      <c r="AQ23" s="157"/>
      <c r="AR23" s="157"/>
    </row>
    <row r="24" ht="15.75" customHeight="1">
      <c r="A24" s="108"/>
      <c r="B24" s="111"/>
      <c r="C24" s="64"/>
      <c r="D24" s="64"/>
      <c r="E24" s="108"/>
      <c r="F24" s="109"/>
      <c r="G24" s="109"/>
      <c r="H24" s="109"/>
      <c r="I24" s="109"/>
      <c r="J24" s="109"/>
      <c r="K24" s="109"/>
      <c r="M24" s="111"/>
      <c r="N24" s="111"/>
      <c r="O24" s="383" t="s">
        <v>198</v>
      </c>
      <c r="P24" s="111"/>
      <c r="Q24" s="111"/>
      <c r="R24" s="111"/>
      <c r="X24" s="377">
        <v>515924.5535714285</v>
      </c>
      <c r="AB24" s="372"/>
      <c r="AC24" s="372"/>
      <c r="AD24" s="372"/>
      <c r="AE24" s="372"/>
      <c r="AF24" s="374">
        <v>36114.71875</v>
      </c>
      <c r="AH24" s="386"/>
      <c r="AI24" s="386"/>
      <c r="AJ24" s="386"/>
      <c r="AK24" s="386"/>
      <c r="AL24" s="386"/>
      <c r="AM24" s="386"/>
      <c r="AN24" s="157"/>
      <c r="AO24" s="157"/>
      <c r="AP24" s="157"/>
      <c r="AQ24" s="157"/>
      <c r="AR24" s="157"/>
    </row>
    <row r="25" ht="15.75" customHeight="1">
      <c r="A25" s="108"/>
      <c r="B25" s="111"/>
      <c r="C25" s="64"/>
      <c r="D25" s="64"/>
      <c r="E25" s="108"/>
      <c r="F25" s="109"/>
      <c r="G25" s="109"/>
      <c r="H25" s="109"/>
      <c r="I25" s="109"/>
      <c r="J25" s="109"/>
      <c r="K25" s="109"/>
      <c r="M25" s="111"/>
      <c r="N25" s="111"/>
      <c r="O25" s="383" t="s">
        <v>198</v>
      </c>
      <c r="P25" s="111"/>
      <c r="Q25" s="111"/>
      <c r="R25" s="111"/>
      <c r="X25" s="377">
        <v>515924.5535714285</v>
      </c>
      <c r="AB25" s="372"/>
      <c r="AC25" s="372"/>
      <c r="AD25" s="372"/>
      <c r="AE25" s="372"/>
      <c r="AF25" s="386"/>
      <c r="AG25" s="386"/>
      <c r="AH25" s="374">
        <v>36114.71875</v>
      </c>
      <c r="AJ25" s="386"/>
      <c r="AK25" s="386"/>
      <c r="AL25" s="386"/>
      <c r="AM25" s="386"/>
      <c r="AN25" s="157"/>
      <c r="AO25" s="157"/>
      <c r="AP25" s="157"/>
      <c r="AQ25" s="157"/>
      <c r="AR25" s="157"/>
    </row>
    <row r="26" ht="15.75" customHeight="1">
      <c r="A26" s="108"/>
      <c r="B26" s="111"/>
      <c r="C26" s="64"/>
      <c r="D26" s="64"/>
      <c r="E26" s="108"/>
      <c r="F26" s="109"/>
      <c r="G26" s="109"/>
      <c r="H26" s="109"/>
      <c r="I26" s="109"/>
      <c r="J26" s="109"/>
      <c r="K26" s="109"/>
      <c r="M26" s="111"/>
      <c r="N26" s="111"/>
      <c r="O26" s="383" t="s">
        <v>198</v>
      </c>
      <c r="P26" s="111"/>
      <c r="Q26" s="111"/>
      <c r="R26" s="111"/>
      <c r="X26" s="377">
        <v>515924.5535714285</v>
      </c>
      <c r="AB26" s="372"/>
      <c r="AC26" s="372"/>
      <c r="AD26" s="372"/>
      <c r="AE26" s="372"/>
      <c r="AF26" s="386"/>
      <c r="AG26" s="386"/>
      <c r="AH26" s="374">
        <v>36114.71875</v>
      </c>
      <c r="AJ26" s="386"/>
      <c r="AK26" s="386"/>
      <c r="AL26" s="386"/>
      <c r="AM26" s="386"/>
      <c r="AN26" s="157"/>
      <c r="AO26" s="157"/>
      <c r="AP26" s="157"/>
      <c r="AQ26" s="157"/>
      <c r="AR26" s="157"/>
    </row>
    <row r="27" ht="15.75" customHeight="1">
      <c r="A27" s="108"/>
      <c r="B27" s="111"/>
      <c r="C27" s="64"/>
      <c r="D27" s="64"/>
      <c r="E27" s="108"/>
      <c r="F27" s="109"/>
      <c r="G27" s="109"/>
      <c r="H27" s="109"/>
      <c r="I27" s="109"/>
      <c r="J27" s="109"/>
      <c r="K27" s="109"/>
      <c r="M27" s="111"/>
      <c r="N27" s="111"/>
      <c r="O27" s="383" t="s">
        <v>198</v>
      </c>
      <c r="P27" s="111"/>
      <c r="Q27" s="111"/>
      <c r="R27" s="111"/>
      <c r="X27" s="377">
        <v>515924.5535714285</v>
      </c>
      <c r="AB27" s="372"/>
      <c r="AC27" s="372"/>
      <c r="AD27" s="372"/>
      <c r="AE27" s="372"/>
      <c r="AF27" s="386"/>
      <c r="AG27" s="386"/>
      <c r="AH27" s="386"/>
      <c r="AI27" s="386"/>
      <c r="AJ27" s="374">
        <v>36114.71875</v>
      </c>
      <c r="AL27" s="386"/>
      <c r="AM27" s="386"/>
      <c r="AN27" s="157"/>
      <c r="AO27" s="157"/>
      <c r="AP27" s="157"/>
      <c r="AQ27" s="157"/>
      <c r="AR27" s="157"/>
    </row>
    <row r="28" ht="15.75" customHeight="1">
      <c r="A28" s="108"/>
      <c r="B28" s="111"/>
      <c r="C28" s="64"/>
      <c r="D28" s="64"/>
      <c r="E28" s="108"/>
      <c r="F28" s="109"/>
      <c r="G28" s="109"/>
      <c r="H28" s="109"/>
      <c r="I28" s="109"/>
      <c r="J28" s="109"/>
      <c r="K28" s="109"/>
      <c r="M28" s="111"/>
      <c r="N28" s="111"/>
      <c r="O28" s="383" t="s">
        <v>198</v>
      </c>
      <c r="P28" s="111"/>
      <c r="Q28" s="111"/>
      <c r="R28" s="111"/>
      <c r="X28" s="377">
        <v>515924.5535714285</v>
      </c>
      <c r="AB28" s="372"/>
      <c r="AC28" s="372"/>
      <c r="AD28" s="372"/>
      <c r="AE28" s="372"/>
      <c r="AF28" s="386"/>
      <c r="AG28" s="386"/>
      <c r="AH28" s="386"/>
      <c r="AI28" s="386"/>
      <c r="AJ28" s="374">
        <v>36114.71875</v>
      </c>
      <c r="AL28" s="386"/>
      <c r="AM28" s="386"/>
      <c r="AN28" s="157"/>
      <c r="AO28" s="157"/>
      <c r="AP28" s="157"/>
      <c r="AQ28" s="157"/>
      <c r="AR28" s="157"/>
    </row>
    <row r="29" ht="15.75" customHeight="1">
      <c r="A29" s="108"/>
      <c r="B29" s="111"/>
      <c r="C29" s="64"/>
      <c r="D29" s="64"/>
      <c r="E29" s="108"/>
      <c r="F29" s="109"/>
      <c r="G29" s="109"/>
      <c r="H29" s="109"/>
      <c r="I29" s="109"/>
      <c r="J29" s="109"/>
      <c r="K29" s="109"/>
      <c r="M29" s="111"/>
      <c r="N29" s="111"/>
      <c r="O29" s="383" t="s">
        <v>198</v>
      </c>
      <c r="P29" s="111"/>
      <c r="Q29" s="111"/>
      <c r="R29" s="111"/>
      <c r="X29" s="377">
        <v>515924.5535714285</v>
      </c>
      <c r="AB29" s="372"/>
      <c r="AC29" s="372"/>
      <c r="AD29" s="372"/>
      <c r="AE29" s="372"/>
      <c r="AF29" s="386"/>
      <c r="AG29" s="386"/>
      <c r="AH29" s="386"/>
      <c r="AI29" s="386"/>
      <c r="AJ29" s="386"/>
      <c r="AK29" s="386"/>
      <c r="AL29" s="374">
        <v>36114.71875</v>
      </c>
      <c r="AN29" s="157"/>
      <c r="AO29" s="157"/>
      <c r="AP29" s="157"/>
      <c r="AQ29" s="157"/>
      <c r="AR29" s="157"/>
    </row>
    <row r="30" ht="15.75" customHeight="1">
      <c r="A30" s="108"/>
      <c r="B30" s="111"/>
      <c r="C30" s="64"/>
      <c r="D30" s="64"/>
      <c r="E30" s="108"/>
      <c r="F30" s="191"/>
      <c r="G30" s="191"/>
      <c r="H30" s="191"/>
      <c r="I30" s="191"/>
      <c r="J30" s="191"/>
      <c r="K30" s="191"/>
      <c r="M30" s="240"/>
      <c r="N30" s="240"/>
      <c r="O30" s="383" t="s">
        <v>198</v>
      </c>
      <c r="P30" s="240"/>
      <c r="Q30" s="240"/>
      <c r="R30" s="240"/>
      <c r="X30" s="377">
        <v>515924.5535714285</v>
      </c>
      <c r="AB30" s="372"/>
      <c r="AC30" s="372"/>
      <c r="AD30" s="372"/>
      <c r="AE30" s="372"/>
      <c r="AF30" s="386"/>
      <c r="AG30" s="386"/>
      <c r="AH30" s="386"/>
      <c r="AI30" s="386"/>
      <c r="AJ30" s="386"/>
      <c r="AK30" s="386"/>
      <c r="AL30" s="374">
        <v>36114.71875</v>
      </c>
      <c r="AN30" s="157"/>
      <c r="AO30" s="157"/>
      <c r="AP30" s="157"/>
      <c r="AQ30" s="157"/>
      <c r="AR30" s="157"/>
    </row>
    <row r="31" ht="15.75" customHeight="1">
      <c r="A31" s="108"/>
      <c r="B31" s="111"/>
      <c r="C31" s="64"/>
      <c r="D31" s="64"/>
      <c r="E31" s="108"/>
      <c r="F31" s="387" t="s">
        <v>228</v>
      </c>
      <c r="G31" s="359">
        <v>0.45</v>
      </c>
      <c r="H31" s="360">
        <f>E19*G31</f>
        <v>429795</v>
      </c>
      <c r="I31" s="359">
        <v>0.45</v>
      </c>
      <c r="J31" s="358" t="s">
        <v>9</v>
      </c>
      <c r="K31" s="360">
        <f>H31*I31</f>
        <v>193407.75</v>
      </c>
      <c r="L31" s="375" t="s">
        <v>216</v>
      </c>
      <c r="M31" s="106" t="s">
        <v>80</v>
      </c>
      <c r="N31" s="377" t="s">
        <v>40</v>
      </c>
      <c r="O31" s="377" t="s">
        <v>229</v>
      </c>
      <c r="P31" s="377" t="s">
        <v>230</v>
      </c>
      <c r="Q31" s="377">
        <v>1.0</v>
      </c>
      <c r="R31" s="381" t="s">
        <v>59</v>
      </c>
      <c r="S31" s="376">
        <v>0.1</v>
      </c>
      <c r="T31" s="381" t="s">
        <v>70</v>
      </c>
      <c r="U31" s="381" t="s">
        <v>70</v>
      </c>
      <c r="V31" s="381" t="s">
        <v>70</v>
      </c>
      <c r="W31" s="381" t="s">
        <v>70</v>
      </c>
      <c r="X31" s="377">
        <f>K31/S31</f>
        <v>1934077.5</v>
      </c>
      <c r="Y31" s="381" t="s">
        <v>70</v>
      </c>
      <c r="Z31" s="381" t="s">
        <v>70</v>
      </c>
      <c r="AA31" s="381" t="s">
        <v>70</v>
      </c>
      <c r="AB31" s="370">
        <f>K31/2</f>
        <v>96703.875</v>
      </c>
      <c r="AD31" s="388">
        <f>K31/2</f>
        <v>96703.875</v>
      </c>
      <c r="AF31" s="372"/>
      <c r="AG31" s="372"/>
      <c r="AH31" s="372"/>
      <c r="AI31" s="372"/>
      <c r="AJ31" s="372"/>
      <c r="AK31" s="372"/>
      <c r="AL31" s="372"/>
      <c r="AM31" s="372"/>
      <c r="AN31" s="157"/>
      <c r="AO31" s="157"/>
      <c r="AP31" s="157"/>
      <c r="AQ31" s="157"/>
      <c r="AR31" s="157"/>
    </row>
    <row r="32" ht="111.75" customHeight="1">
      <c r="A32" s="108"/>
      <c r="B32" s="111"/>
      <c r="C32" s="64"/>
      <c r="D32" s="64"/>
      <c r="E32" s="108"/>
      <c r="F32" s="109"/>
      <c r="G32" s="109"/>
      <c r="H32" s="109"/>
      <c r="I32" s="191"/>
      <c r="J32" s="191"/>
      <c r="K32" s="191"/>
      <c r="M32" s="111"/>
      <c r="N32" s="240"/>
      <c r="O32" s="240"/>
      <c r="P32" s="240"/>
      <c r="Q32" s="111"/>
      <c r="R32" s="240"/>
      <c r="S32" s="111"/>
      <c r="T32" s="111"/>
      <c r="U32" s="111"/>
      <c r="V32" s="111"/>
      <c r="W32" s="111"/>
      <c r="X32" s="111"/>
      <c r="Y32" s="111"/>
      <c r="Z32" s="111"/>
      <c r="AA32" s="111"/>
      <c r="AF32" s="372"/>
      <c r="AG32" s="372"/>
      <c r="AH32" s="372"/>
      <c r="AI32" s="372"/>
      <c r="AJ32" s="372"/>
      <c r="AK32" s="372"/>
      <c r="AL32" s="372"/>
      <c r="AM32" s="372"/>
      <c r="AN32" s="157"/>
      <c r="AO32" s="157"/>
      <c r="AP32" s="157"/>
      <c r="AQ32" s="157"/>
      <c r="AR32" s="157"/>
    </row>
    <row r="33" ht="15.75" customHeight="1">
      <c r="A33" s="108"/>
      <c r="B33" s="111"/>
      <c r="C33" s="64"/>
      <c r="D33" s="64"/>
      <c r="E33" s="108"/>
      <c r="F33" s="109"/>
      <c r="G33" s="109"/>
      <c r="H33" s="109"/>
      <c r="I33" s="359">
        <v>0.55</v>
      </c>
      <c r="J33" s="358" t="s">
        <v>231</v>
      </c>
      <c r="K33" s="360">
        <f>H31*I33</f>
        <v>236387.25</v>
      </c>
      <c r="L33" s="389" t="s">
        <v>220</v>
      </c>
      <c r="M33" s="106" t="s">
        <v>77</v>
      </c>
      <c r="N33" s="377" t="s">
        <v>40</v>
      </c>
      <c r="O33" s="377" t="s">
        <v>232</v>
      </c>
      <c r="P33" s="377" t="s">
        <v>230</v>
      </c>
      <c r="Q33" s="377">
        <v>2.0</v>
      </c>
      <c r="R33" s="381" t="s">
        <v>59</v>
      </c>
      <c r="S33" s="376">
        <v>0.1</v>
      </c>
      <c r="T33" s="381" t="s">
        <v>70</v>
      </c>
      <c r="U33" s="381" t="s">
        <v>70</v>
      </c>
      <c r="V33" s="381" t="s">
        <v>70</v>
      </c>
      <c r="W33" s="381" t="s">
        <v>70</v>
      </c>
      <c r="X33" s="377">
        <f>K33/S33</f>
        <v>2363872.5</v>
      </c>
      <c r="Y33" s="381" t="s">
        <v>70</v>
      </c>
      <c r="Z33" s="381" t="s">
        <v>70</v>
      </c>
      <c r="AA33" s="381" t="s">
        <v>70</v>
      </c>
      <c r="AB33" s="372"/>
      <c r="AC33" s="372"/>
      <c r="AD33" s="372"/>
      <c r="AE33" s="372"/>
      <c r="AF33" s="374">
        <f>K33/2</f>
        <v>118193.625</v>
      </c>
      <c r="AJ33" s="374">
        <v>118193.62500000001</v>
      </c>
      <c r="AN33" s="157"/>
      <c r="AO33" s="157"/>
      <c r="AP33" s="157"/>
      <c r="AQ33" s="157"/>
      <c r="AR33" s="157"/>
    </row>
    <row r="34" ht="15.75" customHeight="1">
      <c r="A34" s="108"/>
      <c r="B34" s="111"/>
      <c r="C34" s="65"/>
      <c r="D34" s="65"/>
      <c r="E34" s="78"/>
      <c r="F34" s="191"/>
      <c r="G34" s="191"/>
      <c r="H34" s="191"/>
      <c r="I34" s="191"/>
      <c r="J34" s="191"/>
      <c r="K34" s="191"/>
      <c r="M34" s="111"/>
      <c r="N34" s="240"/>
      <c r="O34" s="240"/>
      <c r="P34" s="240"/>
      <c r="Q34" s="240"/>
      <c r="R34" s="240"/>
      <c r="S34" s="111"/>
      <c r="T34" s="240"/>
      <c r="U34" s="240"/>
      <c r="V34" s="240"/>
      <c r="W34" s="240"/>
      <c r="X34" s="111"/>
      <c r="Y34" s="240"/>
      <c r="Z34" s="240"/>
      <c r="AA34" s="240"/>
      <c r="AB34" s="372"/>
      <c r="AC34" s="372"/>
      <c r="AD34" s="372"/>
      <c r="AE34" s="372"/>
      <c r="AN34" s="157"/>
      <c r="AO34" s="157"/>
      <c r="AP34" s="157"/>
      <c r="AQ34" s="157"/>
      <c r="AR34" s="157"/>
    </row>
    <row r="35" ht="15.75" customHeight="1">
      <c r="A35" s="108"/>
      <c r="B35" s="111"/>
      <c r="C35" s="112"/>
      <c r="D35" s="112"/>
      <c r="E35" s="113"/>
      <c r="F35" s="390"/>
      <c r="G35" s="391"/>
      <c r="H35" s="391"/>
      <c r="I35" s="391"/>
      <c r="J35" s="390"/>
      <c r="K35" s="390"/>
      <c r="L35" s="392"/>
      <c r="M35" s="393"/>
      <c r="N35" s="394"/>
      <c r="O35" s="394"/>
      <c r="P35" s="394"/>
      <c r="Q35" s="394"/>
      <c r="R35" s="394"/>
      <c r="S35" s="394"/>
      <c r="T35" s="394"/>
      <c r="U35" s="394"/>
      <c r="V35" s="394"/>
      <c r="W35" s="394"/>
      <c r="X35" s="394"/>
      <c r="Y35" s="394"/>
      <c r="Z35" s="395"/>
      <c r="AA35" s="396"/>
      <c r="AB35" s="397"/>
      <c r="AC35" s="397"/>
      <c r="AD35" s="397"/>
      <c r="AE35" s="397"/>
      <c r="AF35" s="397"/>
      <c r="AG35" s="397"/>
      <c r="AH35" s="397"/>
      <c r="AI35" s="397"/>
      <c r="AJ35" s="397"/>
      <c r="AK35" s="397"/>
      <c r="AL35" s="397"/>
      <c r="AM35" s="397"/>
      <c r="AN35" s="396"/>
      <c r="AO35" s="396"/>
      <c r="AP35" s="157"/>
      <c r="AQ35" s="157"/>
      <c r="AR35" s="157"/>
    </row>
    <row r="36" ht="15.75" customHeight="1">
      <c r="A36" s="108"/>
      <c r="B36" s="111"/>
      <c r="C36" s="69" t="s">
        <v>84</v>
      </c>
      <c r="D36" s="70">
        <v>0.4</v>
      </c>
      <c r="E36" s="357">
        <f>B4*D36</f>
        <v>764080</v>
      </c>
      <c r="F36" s="358" t="s">
        <v>233</v>
      </c>
      <c r="G36" s="359">
        <v>0.15</v>
      </c>
      <c r="H36" s="360">
        <f>E36*G36</f>
        <v>114612</v>
      </c>
      <c r="I36" s="359">
        <v>1.0</v>
      </c>
      <c r="J36" s="358" t="s">
        <v>234</v>
      </c>
      <c r="K36" s="360">
        <f>H36*I36</f>
        <v>114612</v>
      </c>
      <c r="L36" s="375" t="s">
        <v>216</v>
      </c>
      <c r="M36" s="398" t="s">
        <v>235</v>
      </c>
      <c r="N36" s="398" t="s">
        <v>43</v>
      </c>
      <c r="O36" s="398" t="str">
        <f>M36</f>
        <v>VIDEO NOTA </v>
      </c>
      <c r="P36" s="398" t="s">
        <v>236</v>
      </c>
      <c r="Q36" s="399">
        <v>1.0</v>
      </c>
      <c r="R36" s="400" t="s">
        <v>59</v>
      </c>
      <c r="S36" s="400" t="s">
        <v>70</v>
      </c>
      <c r="T36" s="400" t="s">
        <v>70</v>
      </c>
      <c r="U36" s="400" t="s">
        <v>70</v>
      </c>
      <c r="V36" s="400" t="s">
        <v>70</v>
      </c>
      <c r="W36" s="400">
        <v>15.0</v>
      </c>
      <c r="X36" s="400" t="s">
        <v>70</v>
      </c>
      <c r="Y36" s="400" t="s">
        <v>70</v>
      </c>
      <c r="Z36" s="400" t="s">
        <v>70</v>
      </c>
      <c r="AA36" s="399">
        <f>K36/W36*1000</f>
        <v>7640800</v>
      </c>
      <c r="AB36" s="372"/>
      <c r="AC36" s="372"/>
      <c r="AD36" s="372"/>
      <c r="AE36" s="372"/>
      <c r="AF36" s="388">
        <f>K36</f>
        <v>114612</v>
      </c>
      <c r="AJ36" s="372"/>
      <c r="AK36" s="372"/>
      <c r="AL36" s="372"/>
      <c r="AM36" s="372"/>
      <c r="AN36" s="157"/>
      <c r="AO36" s="157"/>
      <c r="AP36" s="157"/>
      <c r="AQ36" s="157"/>
      <c r="AR36" s="157"/>
    </row>
    <row r="37" ht="15.75" customHeight="1">
      <c r="A37" s="108"/>
      <c r="B37" s="111"/>
      <c r="C37" s="64"/>
      <c r="D37" s="64"/>
      <c r="E37" s="108"/>
      <c r="F37" s="191"/>
      <c r="G37" s="191"/>
      <c r="H37" s="191"/>
      <c r="I37" s="191"/>
      <c r="J37" s="191"/>
      <c r="K37" s="191"/>
      <c r="M37" s="191"/>
      <c r="N37" s="191"/>
      <c r="O37" s="191"/>
      <c r="P37" s="191"/>
      <c r="Q37" s="191"/>
      <c r="R37" s="191"/>
      <c r="S37" s="191"/>
      <c r="T37" s="191"/>
      <c r="U37" s="191"/>
      <c r="V37" s="191"/>
      <c r="W37" s="191"/>
      <c r="X37" s="191"/>
      <c r="Y37" s="191"/>
      <c r="Z37" s="191"/>
      <c r="AA37" s="191"/>
      <c r="AB37" s="372"/>
      <c r="AC37" s="372"/>
      <c r="AD37" s="372"/>
      <c r="AE37" s="372"/>
      <c r="AJ37" s="372"/>
      <c r="AK37" s="372"/>
      <c r="AL37" s="372"/>
      <c r="AM37" s="372"/>
    </row>
    <row r="38" ht="15.75" customHeight="1">
      <c r="A38" s="108"/>
      <c r="B38" s="111"/>
      <c r="C38" s="64"/>
      <c r="D38" s="64"/>
      <c r="E38" s="108"/>
      <c r="F38" s="358" t="s">
        <v>237</v>
      </c>
      <c r="G38" s="359">
        <v>0.35</v>
      </c>
      <c r="H38" s="360">
        <f>E36*G38</f>
        <v>267428</v>
      </c>
      <c r="I38" s="359">
        <v>0.4</v>
      </c>
      <c r="J38" s="358" t="s">
        <v>234</v>
      </c>
      <c r="K38" s="360">
        <f>H38*I38</f>
        <v>106971.2</v>
      </c>
      <c r="L38" s="389" t="s">
        <v>220</v>
      </c>
      <c r="M38" s="401" t="s">
        <v>217</v>
      </c>
      <c r="N38" s="398" t="s">
        <v>43</v>
      </c>
      <c r="O38" s="398" t="s">
        <v>238</v>
      </c>
      <c r="P38" s="398" t="s">
        <v>215</v>
      </c>
      <c r="Q38" s="398">
        <v>2.0</v>
      </c>
      <c r="R38" s="400" t="s">
        <v>59</v>
      </c>
      <c r="S38" s="401">
        <v>0.5</v>
      </c>
      <c r="T38" s="400" t="s">
        <v>70</v>
      </c>
      <c r="U38" s="400" t="s">
        <v>70</v>
      </c>
      <c r="V38" s="400" t="s">
        <v>70</v>
      </c>
      <c r="W38" s="401">
        <v>2.5</v>
      </c>
      <c r="X38" s="399">
        <f>K38/S38</f>
        <v>213942.4</v>
      </c>
      <c r="Y38" s="400" t="s">
        <v>70</v>
      </c>
      <c r="Z38" s="400" t="s">
        <v>70</v>
      </c>
      <c r="AA38" s="399">
        <f>K38/W38*1000</f>
        <v>42788480</v>
      </c>
      <c r="AB38" s="372"/>
      <c r="AC38" s="372"/>
      <c r="AD38" s="372"/>
      <c r="AE38" s="388">
        <v>26971.0</v>
      </c>
      <c r="AF38" s="388">
        <v>80000.0</v>
      </c>
      <c r="AJ38" s="372"/>
      <c r="AK38" s="372"/>
      <c r="AL38" s="372"/>
      <c r="AM38" s="372"/>
    </row>
    <row r="39" ht="15.75" customHeight="1">
      <c r="A39" s="108"/>
      <c r="B39" s="111"/>
      <c r="C39" s="64"/>
      <c r="D39" s="64"/>
      <c r="E39" s="108"/>
      <c r="F39" s="109"/>
      <c r="G39" s="109"/>
      <c r="H39" s="109"/>
      <c r="I39" s="191"/>
      <c r="J39" s="191"/>
      <c r="K39" s="191"/>
      <c r="M39" s="191"/>
      <c r="N39" s="191"/>
      <c r="O39" s="191"/>
      <c r="P39" s="109"/>
      <c r="Q39" s="191"/>
      <c r="R39" s="191"/>
      <c r="S39" s="191"/>
      <c r="T39" s="191"/>
      <c r="U39" s="191"/>
      <c r="V39" s="191"/>
      <c r="W39" s="191"/>
      <c r="X39" s="191"/>
      <c r="Y39" s="191"/>
      <c r="Z39" s="191"/>
      <c r="AA39" s="191"/>
      <c r="AB39" s="372"/>
      <c r="AC39" s="372"/>
      <c r="AD39" s="372"/>
      <c r="AJ39" s="372"/>
      <c r="AK39" s="372"/>
      <c r="AL39" s="372"/>
      <c r="AM39" s="372"/>
    </row>
    <row r="40" ht="15.75" customHeight="1">
      <c r="A40" s="108"/>
      <c r="B40" s="111"/>
      <c r="C40" s="64"/>
      <c r="D40" s="64"/>
      <c r="E40" s="108"/>
      <c r="F40" s="109"/>
      <c r="G40" s="109"/>
      <c r="H40" s="109"/>
      <c r="I40" s="359">
        <v>0.6</v>
      </c>
      <c r="J40" s="358" t="s">
        <v>231</v>
      </c>
      <c r="K40" s="360">
        <f>H38*I40</f>
        <v>160456.8</v>
      </c>
      <c r="L40" s="389" t="s">
        <v>220</v>
      </c>
      <c r="M40" s="401" t="s">
        <v>217</v>
      </c>
      <c r="N40" s="398" t="s">
        <v>43</v>
      </c>
      <c r="O40" s="398" t="s">
        <v>238</v>
      </c>
      <c r="P40" s="109"/>
      <c r="Q40" s="398">
        <v>2.0</v>
      </c>
      <c r="R40" s="400" t="s">
        <v>59</v>
      </c>
      <c r="S40" s="401">
        <v>0.5</v>
      </c>
      <c r="T40" s="400" t="s">
        <v>70</v>
      </c>
      <c r="U40" s="400" t="s">
        <v>70</v>
      </c>
      <c r="V40" s="400" t="s">
        <v>70</v>
      </c>
      <c r="W40" s="401">
        <v>2.5</v>
      </c>
      <c r="X40" s="399">
        <f>K40/S40</f>
        <v>320913.6</v>
      </c>
      <c r="Y40" s="400" t="s">
        <v>70</v>
      </c>
      <c r="Z40" s="400" t="s">
        <v>70</v>
      </c>
      <c r="AA40" s="399">
        <f>K40/W40*1000</f>
        <v>64182720</v>
      </c>
      <c r="AB40" s="372"/>
      <c r="AC40" s="372"/>
      <c r="AD40" s="372"/>
      <c r="AE40" s="372"/>
      <c r="AF40" s="372"/>
      <c r="AG40" s="372"/>
      <c r="AH40" s="372"/>
      <c r="AI40" s="372"/>
      <c r="AJ40" s="388">
        <f>K40</f>
        <v>160456.8</v>
      </c>
    </row>
    <row r="41" ht="15.75" customHeight="1">
      <c r="A41" s="108"/>
      <c r="B41" s="111"/>
      <c r="C41" s="64"/>
      <c r="D41" s="64"/>
      <c r="E41" s="108"/>
      <c r="F41" s="191"/>
      <c r="G41" s="191"/>
      <c r="H41" s="191"/>
      <c r="I41" s="191"/>
      <c r="J41" s="191"/>
      <c r="K41" s="191"/>
      <c r="M41" s="191"/>
      <c r="N41" s="191"/>
      <c r="O41" s="191"/>
      <c r="P41" s="191"/>
      <c r="Q41" s="191"/>
      <c r="R41" s="191"/>
      <c r="S41" s="191"/>
      <c r="T41" s="191"/>
      <c r="U41" s="191"/>
      <c r="V41" s="191"/>
      <c r="W41" s="191"/>
      <c r="X41" s="191"/>
      <c r="Y41" s="191"/>
      <c r="Z41" s="191"/>
      <c r="AA41" s="191"/>
      <c r="AB41" s="372"/>
      <c r="AC41" s="372"/>
      <c r="AD41" s="372"/>
      <c r="AE41" s="372"/>
      <c r="AF41" s="372"/>
      <c r="AG41" s="372"/>
      <c r="AH41" s="372"/>
      <c r="AI41" s="372"/>
    </row>
    <row r="42" ht="15.75" customHeight="1">
      <c r="A42" s="108"/>
      <c r="B42" s="111"/>
      <c r="C42" s="64"/>
      <c r="D42" s="64"/>
      <c r="E42" s="108"/>
      <c r="F42" s="358" t="s">
        <v>239</v>
      </c>
      <c r="G42" s="359">
        <v>0.1</v>
      </c>
      <c r="H42" s="360">
        <f>E36*G42</f>
        <v>76408</v>
      </c>
      <c r="I42" s="361">
        <v>0.4</v>
      </c>
      <c r="J42" s="362" t="s">
        <v>234</v>
      </c>
      <c r="K42" s="363">
        <f>H42*I42</f>
        <v>30563.2</v>
      </c>
      <c r="L42" s="402" t="s">
        <v>216</v>
      </c>
      <c r="M42" s="403" t="s">
        <v>240</v>
      </c>
      <c r="N42" s="403" t="s">
        <v>43</v>
      </c>
      <c r="O42" s="403" t="s">
        <v>241</v>
      </c>
      <c r="P42" s="398" t="s">
        <v>242</v>
      </c>
      <c r="Q42" s="403">
        <v>1.0</v>
      </c>
      <c r="R42" s="403" t="s">
        <v>59</v>
      </c>
      <c r="S42" s="403" t="s">
        <v>70</v>
      </c>
      <c r="T42" s="403" t="s">
        <v>70</v>
      </c>
      <c r="U42" s="403" t="s">
        <v>70</v>
      </c>
      <c r="V42" s="403" t="s">
        <v>70</v>
      </c>
      <c r="W42" s="404">
        <v>2.5</v>
      </c>
      <c r="X42" s="403" t="s">
        <v>70</v>
      </c>
      <c r="Y42" s="403" t="s">
        <v>70</v>
      </c>
      <c r="Z42" s="403" t="s">
        <v>70</v>
      </c>
      <c r="AA42" s="405">
        <f t="shared" ref="AA42:AA44" si="2">K42/W42*1000</f>
        <v>12225280</v>
      </c>
      <c r="AB42" s="370">
        <f>K42</f>
        <v>30563.2</v>
      </c>
      <c r="AF42" s="372"/>
      <c r="AG42" s="372"/>
      <c r="AH42" s="372"/>
      <c r="AI42" s="372"/>
      <c r="AJ42" s="372"/>
      <c r="AK42" s="372"/>
      <c r="AL42" s="372"/>
      <c r="AM42" s="372"/>
    </row>
    <row r="43" ht="15.75" customHeight="1">
      <c r="A43" s="108"/>
      <c r="B43" s="111"/>
      <c r="C43" s="64"/>
      <c r="D43" s="64"/>
      <c r="E43" s="108"/>
      <c r="F43" s="191"/>
      <c r="G43" s="191"/>
      <c r="H43" s="191"/>
      <c r="I43" s="361">
        <v>0.6</v>
      </c>
      <c r="J43" s="362" t="s">
        <v>231</v>
      </c>
      <c r="K43" s="363">
        <f>H42*I43</f>
        <v>45844.8</v>
      </c>
      <c r="L43" s="406" t="s">
        <v>220</v>
      </c>
      <c r="M43" s="403" t="s">
        <v>240</v>
      </c>
      <c r="N43" s="403" t="s">
        <v>43</v>
      </c>
      <c r="O43" s="403" t="s">
        <v>241</v>
      </c>
      <c r="P43" s="191"/>
      <c r="Q43" s="403">
        <v>1.0</v>
      </c>
      <c r="R43" s="403" t="s">
        <v>59</v>
      </c>
      <c r="S43" s="403" t="s">
        <v>70</v>
      </c>
      <c r="T43" s="403" t="s">
        <v>70</v>
      </c>
      <c r="U43" s="403" t="s">
        <v>70</v>
      </c>
      <c r="V43" s="403" t="s">
        <v>70</v>
      </c>
      <c r="W43" s="404">
        <v>2.5</v>
      </c>
      <c r="X43" s="403" t="s">
        <v>70</v>
      </c>
      <c r="Y43" s="403" t="s">
        <v>70</v>
      </c>
      <c r="Z43" s="403" t="s">
        <v>70</v>
      </c>
      <c r="AA43" s="405">
        <f t="shared" si="2"/>
        <v>18337920</v>
      </c>
      <c r="AB43" s="372"/>
      <c r="AC43" s="372"/>
      <c r="AD43" s="372"/>
      <c r="AE43" s="372"/>
      <c r="AF43" s="388">
        <f>K43/2</f>
        <v>22922.4</v>
      </c>
      <c r="AJ43" s="388">
        <v>22922.399999999998</v>
      </c>
    </row>
    <row r="44" ht="15.75" customHeight="1">
      <c r="A44" s="108"/>
      <c r="B44" s="111"/>
      <c r="C44" s="64"/>
      <c r="D44" s="64"/>
      <c r="E44" s="108"/>
      <c r="F44" s="387" t="s">
        <v>243</v>
      </c>
      <c r="G44" s="359">
        <v>0.2</v>
      </c>
      <c r="H44" s="360">
        <f>E36*G44</f>
        <v>152816</v>
      </c>
      <c r="I44" s="359">
        <v>0.4</v>
      </c>
      <c r="J44" s="358" t="s">
        <v>234</v>
      </c>
      <c r="K44" s="360">
        <f>H44*I44</f>
        <v>61126.4</v>
      </c>
      <c r="L44" s="402" t="s">
        <v>216</v>
      </c>
      <c r="M44" s="398" t="s">
        <v>104</v>
      </c>
      <c r="N44" s="398" t="s">
        <v>43</v>
      </c>
      <c r="O44" s="398" t="str">
        <f>M44</f>
        <v>BANNER</v>
      </c>
      <c r="P44" s="398" t="s">
        <v>103</v>
      </c>
      <c r="Q44" s="398">
        <v>2.0</v>
      </c>
      <c r="R44" s="398" t="s">
        <v>59</v>
      </c>
      <c r="S44" s="400" t="s">
        <v>70</v>
      </c>
      <c r="T44" s="400" t="s">
        <v>70</v>
      </c>
      <c r="U44" s="400" t="s">
        <v>70</v>
      </c>
      <c r="V44" s="400" t="s">
        <v>70</v>
      </c>
      <c r="W44" s="401">
        <v>5.8</v>
      </c>
      <c r="X44" s="400" t="s">
        <v>70</v>
      </c>
      <c r="Y44" s="400" t="s">
        <v>70</v>
      </c>
      <c r="Z44" s="400" t="s">
        <v>70</v>
      </c>
      <c r="AA44" s="399">
        <f t="shared" si="2"/>
        <v>10539034.48</v>
      </c>
      <c r="AB44" s="370">
        <f>K44</f>
        <v>61126.4</v>
      </c>
      <c r="AF44" s="372"/>
      <c r="AG44" s="372"/>
      <c r="AH44" s="372"/>
      <c r="AI44" s="372"/>
      <c r="AJ44" s="372"/>
      <c r="AK44" s="372"/>
      <c r="AL44" s="372"/>
      <c r="AM44" s="372"/>
    </row>
    <row r="45" ht="15.75" customHeight="1">
      <c r="A45" s="108"/>
      <c r="B45" s="111"/>
      <c r="C45" s="64"/>
      <c r="D45" s="64"/>
      <c r="E45" s="108"/>
      <c r="F45" s="109"/>
      <c r="G45" s="109"/>
      <c r="H45" s="109"/>
      <c r="I45" s="191"/>
      <c r="J45" s="191"/>
      <c r="K45" s="191"/>
      <c r="M45" s="191"/>
      <c r="N45" s="191"/>
      <c r="O45" s="191"/>
      <c r="P45" s="109"/>
      <c r="Q45" s="191"/>
      <c r="R45" s="191"/>
      <c r="S45" s="191"/>
      <c r="T45" s="191"/>
      <c r="U45" s="191"/>
      <c r="V45" s="191"/>
      <c r="W45" s="191"/>
      <c r="X45" s="191"/>
      <c r="Y45" s="191"/>
      <c r="Z45" s="191"/>
      <c r="AA45" s="191"/>
      <c r="AF45" s="372"/>
      <c r="AG45" s="372"/>
      <c r="AH45" s="372"/>
      <c r="AI45" s="372"/>
      <c r="AJ45" s="372"/>
      <c r="AK45" s="372"/>
      <c r="AL45" s="372"/>
      <c r="AM45" s="372"/>
    </row>
    <row r="46" ht="15.75" customHeight="1">
      <c r="A46" s="108"/>
      <c r="B46" s="111"/>
      <c r="C46" s="64"/>
      <c r="D46" s="64"/>
      <c r="E46" s="108"/>
      <c r="F46" s="109"/>
      <c r="G46" s="109"/>
      <c r="H46" s="109"/>
      <c r="I46" s="359">
        <v>0.6</v>
      </c>
      <c r="J46" s="358" t="s">
        <v>231</v>
      </c>
      <c r="K46" s="360">
        <f>H44*I46</f>
        <v>91689.6</v>
      </c>
      <c r="L46" s="407" t="s">
        <v>220</v>
      </c>
      <c r="M46" s="398" t="s">
        <v>244</v>
      </c>
      <c r="N46" s="398" t="s">
        <v>40</v>
      </c>
      <c r="O46" s="398" t="str">
        <f>M46</f>
        <v>VIDEO BANNER</v>
      </c>
      <c r="P46" s="109"/>
      <c r="Q46" s="398" t="s">
        <v>245</v>
      </c>
      <c r="R46" s="398" t="s">
        <v>59</v>
      </c>
      <c r="S46" s="401">
        <v>0.07</v>
      </c>
      <c r="T46" s="400" t="s">
        <v>70</v>
      </c>
      <c r="U46" s="400" t="s">
        <v>70</v>
      </c>
      <c r="V46" s="400" t="s">
        <v>70</v>
      </c>
      <c r="W46" s="400" t="s">
        <v>70</v>
      </c>
      <c r="X46" s="399">
        <f>K46/S46</f>
        <v>1309851.429</v>
      </c>
      <c r="Y46" s="400" t="s">
        <v>70</v>
      </c>
      <c r="Z46" s="400" t="s">
        <v>70</v>
      </c>
      <c r="AA46" s="400" t="s">
        <v>70</v>
      </c>
      <c r="AB46" s="372"/>
      <c r="AC46" s="372"/>
      <c r="AD46" s="372"/>
      <c r="AE46" s="372"/>
      <c r="AF46" s="388">
        <f>K46</f>
        <v>91689.6</v>
      </c>
      <c r="AJ46" s="408"/>
      <c r="AK46" s="372"/>
      <c r="AL46" s="372"/>
      <c r="AM46" s="372"/>
    </row>
    <row r="47" ht="15.75" customHeight="1">
      <c r="A47" s="108"/>
      <c r="B47" s="111"/>
      <c r="C47" s="64"/>
      <c r="D47" s="64"/>
      <c r="E47" s="108"/>
      <c r="F47" s="191"/>
      <c r="G47" s="191"/>
      <c r="H47" s="191"/>
      <c r="I47" s="191"/>
      <c r="J47" s="191"/>
      <c r="K47" s="191"/>
      <c r="M47" s="191"/>
      <c r="N47" s="191"/>
      <c r="O47" s="191"/>
      <c r="P47" s="191"/>
      <c r="Q47" s="191"/>
      <c r="R47" s="191"/>
      <c r="S47" s="191"/>
      <c r="T47" s="191"/>
      <c r="U47" s="191"/>
      <c r="V47" s="191"/>
      <c r="W47" s="191"/>
      <c r="X47" s="191"/>
      <c r="Y47" s="191"/>
      <c r="Z47" s="191"/>
      <c r="AA47" s="191"/>
      <c r="AB47" s="372"/>
      <c r="AC47" s="372"/>
      <c r="AD47" s="372"/>
      <c r="AE47" s="372"/>
      <c r="AJ47" s="408"/>
      <c r="AK47" s="372"/>
      <c r="AL47" s="372"/>
      <c r="AM47" s="372"/>
    </row>
    <row r="48" ht="15.75" customHeight="1">
      <c r="A48" s="108"/>
      <c r="B48" s="111"/>
      <c r="C48" s="64"/>
      <c r="D48" s="64"/>
      <c r="E48" s="108"/>
      <c r="F48" s="358" t="s">
        <v>246</v>
      </c>
      <c r="G48" s="359">
        <v>0.2</v>
      </c>
      <c r="H48" s="360">
        <f>E36*G48</f>
        <v>152816</v>
      </c>
      <c r="I48" s="359">
        <v>1.0</v>
      </c>
      <c r="J48" s="358" t="s">
        <v>231</v>
      </c>
      <c r="K48" s="360">
        <f>H48*I48</f>
        <v>152816</v>
      </c>
      <c r="L48" s="407" t="s">
        <v>220</v>
      </c>
      <c r="M48" s="398" t="s">
        <v>247</v>
      </c>
      <c r="N48" s="398" t="s">
        <v>43</v>
      </c>
      <c r="O48" s="398" t="str">
        <f>M48</f>
        <v>ESTATTICO </v>
      </c>
      <c r="P48" s="398" t="s">
        <v>245</v>
      </c>
      <c r="Q48" s="398" t="s">
        <v>245</v>
      </c>
      <c r="R48" s="398" t="s">
        <v>59</v>
      </c>
      <c r="S48" s="400" t="s">
        <v>70</v>
      </c>
      <c r="T48" s="400" t="s">
        <v>70</v>
      </c>
      <c r="U48" s="400" t="s">
        <v>70</v>
      </c>
      <c r="V48" s="401">
        <v>0.76</v>
      </c>
      <c r="W48" s="400" t="s">
        <v>70</v>
      </c>
      <c r="X48" s="400" t="s">
        <v>70</v>
      </c>
      <c r="Y48" s="400" t="s">
        <v>70</v>
      </c>
      <c r="Z48" s="399">
        <f>K48/V48</f>
        <v>201073.6842</v>
      </c>
      <c r="AA48" s="400" t="s">
        <v>70</v>
      </c>
      <c r="AB48" s="372"/>
      <c r="AC48" s="372"/>
      <c r="AD48" s="372"/>
      <c r="AE48" s="372"/>
      <c r="AF48" s="388">
        <f>K48/2</f>
        <v>76408</v>
      </c>
      <c r="AJ48" s="388">
        <v>76408.0</v>
      </c>
    </row>
    <row r="49" ht="15.75" customHeight="1">
      <c r="A49" s="108"/>
      <c r="B49" s="111"/>
      <c r="C49" s="64"/>
      <c r="D49" s="64"/>
      <c r="E49" s="108"/>
      <c r="F49" s="109"/>
      <c r="G49" s="109"/>
      <c r="H49" s="109"/>
      <c r="I49" s="109"/>
      <c r="J49" s="109"/>
      <c r="K49" s="109"/>
      <c r="M49" s="109"/>
      <c r="N49" s="109"/>
      <c r="O49" s="109"/>
      <c r="P49" s="109"/>
      <c r="Q49" s="109"/>
      <c r="R49" s="109"/>
      <c r="S49" s="191"/>
      <c r="T49" s="191"/>
      <c r="U49" s="191"/>
      <c r="V49" s="191"/>
      <c r="W49" s="191"/>
      <c r="X49" s="191"/>
      <c r="Y49" s="191"/>
      <c r="Z49" s="191"/>
      <c r="AA49" s="191"/>
      <c r="AB49" s="372"/>
      <c r="AC49" s="372"/>
      <c r="AD49" s="372"/>
      <c r="AE49" s="372"/>
    </row>
    <row r="50" ht="15.75" customHeight="1">
      <c r="A50" s="78"/>
      <c r="B50" s="240"/>
      <c r="C50" s="65"/>
      <c r="D50" s="65"/>
      <c r="E50" s="78"/>
      <c r="F50" s="191"/>
      <c r="G50" s="191"/>
      <c r="H50" s="191"/>
      <c r="I50" s="191"/>
      <c r="J50" s="191"/>
      <c r="K50" s="191"/>
      <c r="M50" s="191"/>
      <c r="N50" s="191"/>
      <c r="O50" s="191"/>
      <c r="P50" s="191"/>
      <c r="Q50" s="191"/>
      <c r="R50" s="191"/>
      <c r="S50" s="403"/>
      <c r="T50" s="403"/>
      <c r="U50" s="403"/>
      <c r="V50" s="403"/>
      <c r="W50" s="403"/>
      <c r="X50" s="403"/>
      <c r="Y50" s="403"/>
      <c r="Z50" s="403"/>
      <c r="AA50" s="403"/>
      <c r="AB50" s="372"/>
      <c r="AC50" s="372"/>
      <c r="AD50" s="372"/>
      <c r="AE50" s="372"/>
    </row>
    <row r="51" ht="15.75" customHeight="1">
      <c r="A51" s="196" t="s">
        <v>115</v>
      </c>
      <c r="B51" s="196"/>
      <c r="C51" s="196"/>
      <c r="D51" s="196"/>
      <c r="E51" s="196">
        <f>SUM(E21:E50)</f>
        <v>764080</v>
      </c>
      <c r="F51" s="409"/>
      <c r="G51" s="409"/>
      <c r="H51" s="409"/>
      <c r="I51" s="409"/>
      <c r="J51" s="409"/>
      <c r="K51" s="409"/>
      <c r="L51" s="410"/>
      <c r="M51" s="410"/>
      <c r="N51" s="410"/>
      <c r="O51" s="410"/>
      <c r="P51" s="410"/>
      <c r="Q51" s="410"/>
      <c r="R51" s="410"/>
      <c r="S51" s="410"/>
      <c r="T51" s="410"/>
      <c r="U51" s="410"/>
      <c r="V51" s="410"/>
      <c r="W51" s="410"/>
      <c r="X51" s="410"/>
      <c r="Y51" s="410"/>
      <c r="Z51" s="410"/>
      <c r="AA51" s="410"/>
      <c r="AB51" s="411">
        <f>SUM(AB17:AE50)</f>
        <v>586659.6</v>
      </c>
      <c r="AF51" s="411">
        <f>SUM(AF17:AI50)</f>
        <v>801100.5</v>
      </c>
      <c r="AJ51" s="411">
        <f>SUM(AJ17:AM50)</f>
        <v>522439.7</v>
      </c>
      <c r="AN51" s="410"/>
      <c r="AO51" s="410"/>
      <c r="AP51" s="410"/>
      <c r="AQ51" s="410"/>
      <c r="AR51" s="410"/>
    </row>
    <row r="52" ht="15.75" customHeight="1">
      <c r="AN52" s="412" t="s">
        <v>248</v>
      </c>
      <c r="AO52" s="413">
        <f>AB51+AF51+AJ51</f>
        <v>1910199.8</v>
      </c>
    </row>
    <row r="53" ht="15.75" customHeight="1"/>
    <row r="54" ht="15.75" customHeight="1">
      <c r="F54" s="157">
        <v>525000.0</v>
      </c>
      <c r="H54" s="157">
        <v>229000.0</v>
      </c>
    </row>
    <row r="55" ht="15.75" customHeight="1">
      <c r="F55" s="158">
        <f>F54-H31</f>
        <v>95205</v>
      </c>
      <c r="H55" s="158">
        <f>H54-H44</f>
        <v>76184</v>
      </c>
      <c r="Y55" s="414" t="s">
        <v>249</v>
      </c>
      <c r="Z55" s="415">
        <f>AB51</f>
        <v>586659.6</v>
      </c>
    </row>
    <row r="56" ht="15.75" customHeight="1">
      <c r="Y56" s="414" t="s">
        <v>250</v>
      </c>
      <c r="Z56" s="415">
        <f>AF51</f>
        <v>801100.5</v>
      </c>
    </row>
    <row r="57" ht="15.75" customHeight="1">
      <c r="Y57" s="414" t="s">
        <v>251</v>
      </c>
      <c r="Z57" s="415">
        <f>AJ51</f>
        <v>522439.7</v>
      </c>
    </row>
    <row r="58" ht="15.75" customHeight="1">
      <c r="J58" s="157"/>
      <c r="K58" s="416" t="s">
        <v>196</v>
      </c>
      <c r="Q58" s="157"/>
    </row>
    <row r="59" ht="15.75" customHeight="1">
      <c r="J59" s="157"/>
      <c r="Q59" s="157"/>
    </row>
    <row r="60" ht="15.75" customHeight="1">
      <c r="J60" s="417"/>
      <c r="K60" s="418" t="s">
        <v>169</v>
      </c>
      <c r="L60" s="419" t="s">
        <v>170</v>
      </c>
      <c r="M60" s="143"/>
      <c r="N60" s="418" t="s">
        <v>171</v>
      </c>
      <c r="O60" s="418" t="s">
        <v>172</v>
      </c>
      <c r="P60" s="418" t="s">
        <v>173</v>
      </c>
      <c r="Q60" s="157"/>
    </row>
    <row r="61" ht="15.75" customHeight="1">
      <c r="J61" s="420" t="s">
        <v>174</v>
      </c>
      <c r="K61" s="421"/>
      <c r="L61" s="422">
        <v>166844.0</v>
      </c>
      <c r="N61" s="423">
        <v>958688.0</v>
      </c>
      <c r="O61" s="424">
        <v>564268.0</v>
      </c>
      <c r="P61" s="425">
        <v>220400.0</v>
      </c>
      <c r="Q61" s="426">
        <f>L61+N61+O61+P61</f>
        <v>1910200</v>
      </c>
    </row>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99">
    <mergeCell ref="A2:A3"/>
    <mergeCell ref="B2:B3"/>
    <mergeCell ref="E2:L8"/>
    <mergeCell ref="M2:O8"/>
    <mergeCell ref="P2:S8"/>
    <mergeCell ref="C7:D7"/>
    <mergeCell ref="AD9:AM9"/>
    <mergeCell ref="AJ14:AM14"/>
    <mergeCell ref="AN14:AO14"/>
    <mergeCell ref="AB9:AC9"/>
    <mergeCell ref="AB10:AC10"/>
    <mergeCell ref="AD10:AM10"/>
    <mergeCell ref="AB13:AE13"/>
    <mergeCell ref="AF13:AM13"/>
    <mergeCell ref="AB14:AE14"/>
    <mergeCell ref="AF14:AI14"/>
    <mergeCell ref="AF24:AG24"/>
    <mergeCell ref="AH25:AI25"/>
    <mergeCell ref="AH26:AI26"/>
    <mergeCell ref="AJ27:AK27"/>
    <mergeCell ref="AJ28:AK28"/>
    <mergeCell ref="AL29:AM29"/>
    <mergeCell ref="AL30:AM30"/>
    <mergeCell ref="Z19:Z20"/>
    <mergeCell ref="AA19:AA20"/>
    <mergeCell ref="AB19:AB20"/>
    <mergeCell ref="AC19:AC20"/>
    <mergeCell ref="AD19:AD20"/>
    <mergeCell ref="AH21:AH22"/>
    <mergeCell ref="AF23:AG23"/>
    <mergeCell ref="K31:K32"/>
    <mergeCell ref="L31:L32"/>
    <mergeCell ref="AA23:AA30"/>
    <mergeCell ref="AA31:AA32"/>
    <mergeCell ref="AB31:AC32"/>
    <mergeCell ref="AD31:AE32"/>
    <mergeCell ref="N21:N22"/>
    <mergeCell ref="O21:O22"/>
    <mergeCell ref="U23:U30"/>
    <mergeCell ref="V23:V30"/>
    <mergeCell ref="W23:W30"/>
    <mergeCell ref="Y23:Y30"/>
    <mergeCell ref="Z23:Z30"/>
    <mergeCell ref="O38:O39"/>
    <mergeCell ref="P38:P41"/>
    <mergeCell ref="O40:O41"/>
    <mergeCell ref="I40:I41"/>
    <mergeCell ref="J40:J41"/>
    <mergeCell ref="K40:K41"/>
    <mergeCell ref="L40:L41"/>
    <mergeCell ref="M40:M41"/>
    <mergeCell ref="N40:N41"/>
    <mergeCell ref="K58:P59"/>
    <mergeCell ref="L60:M60"/>
    <mergeCell ref="L61:M61"/>
    <mergeCell ref="H38:H41"/>
    <mergeCell ref="I38:I39"/>
    <mergeCell ref="J38:J39"/>
    <mergeCell ref="K38:K39"/>
    <mergeCell ref="L38:L39"/>
    <mergeCell ref="M38:M39"/>
    <mergeCell ref="N38:N39"/>
    <mergeCell ref="X38:X39"/>
    <mergeCell ref="Y38:Y39"/>
    <mergeCell ref="Q38:Q39"/>
    <mergeCell ref="R38:R39"/>
    <mergeCell ref="S38:S39"/>
    <mergeCell ref="T38:T39"/>
    <mergeCell ref="U38:U39"/>
    <mergeCell ref="V38:V39"/>
    <mergeCell ref="W38:W39"/>
    <mergeCell ref="X40:X41"/>
    <mergeCell ref="Y40:Y41"/>
    <mergeCell ref="AB44:AE45"/>
    <mergeCell ref="Q40:Q41"/>
    <mergeCell ref="R40:R41"/>
    <mergeCell ref="S40:S41"/>
    <mergeCell ref="T40:T41"/>
    <mergeCell ref="U40:U41"/>
    <mergeCell ref="V40:V41"/>
    <mergeCell ref="W40:W41"/>
    <mergeCell ref="Y33:Y34"/>
    <mergeCell ref="Z33:Z34"/>
    <mergeCell ref="Z38:Z39"/>
    <mergeCell ref="AA38:AA39"/>
    <mergeCell ref="Z40:Z41"/>
    <mergeCell ref="AA40:AA41"/>
    <mergeCell ref="AA33:AA34"/>
    <mergeCell ref="AF33:AI34"/>
    <mergeCell ref="AB15:AE15"/>
    <mergeCell ref="AF15:AI15"/>
    <mergeCell ref="AJ15:AM15"/>
    <mergeCell ref="AN15:AO15"/>
    <mergeCell ref="A16:B16"/>
    <mergeCell ref="AN16:AO16"/>
    <mergeCell ref="AJ33:AM34"/>
    <mergeCell ref="J36:J37"/>
    <mergeCell ref="K36:K37"/>
    <mergeCell ref="L36:L37"/>
    <mergeCell ref="M36:M37"/>
    <mergeCell ref="N36:N37"/>
    <mergeCell ref="O36:O37"/>
    <mergeCell ref="P36:P37"/>
    <mergeCell ref="P42:P43"/>
    <mergeCell ref="Q36:Q37"/>
    <mergeCell ref="R36:R37"/>
    <mergeCell ref="S36:S37"/>
    <mergeCell ref="T36:T37"/>
    <mergeCell ref="U36:U37"/>
    <mergeCell ref="V36:V37"/>
    <mergeCell ref="W36:W37"/>
    <mergeCell ref="AE38:AE39"/>
    <mergeCell ref="AB42:AE42"/>
    <mergeCell ref="AF43:AI43"/>
    <mergeCell ref="AJ43:AM43"/>
    <mergeCell ref="X36:X37"/>
    <mergeCell ref="Y36:Y37"/>
    <mergeCell ref="Z36:Z37"/>
    <mergeCell ref="AA36:AA37"/>
    <mergeCell ref="AF36:AI37"/>
    <mergeCell ref="AF38:AI39"/>
    <mergeCell ref="AJ40:AM41"/>
    <mergeCell ref="N44:N45"/>
    <mergeCell ref="O44:O45"/>
    <mergeCell ref="P44:P47"/>
    <mergeCell ref="Q44:Q45"/>
    <mergeCell ref="R44:R45"/>
    <mergeCell ref="S44:S45"/>
    <mergeCell ref="T44:T45"/>
    <mergeCell ref="AN52:AN55"/>
    <mergeCell ref="AO52:AQ55"/>
    <mergeCell ref="S46:S47"/>
    <mergeCell ref="T46:T47"/>
    <mergeCell ref="AF46:AI47"/>
    <mergeCell ref="AF48:AI50"/>
    <mergeCell ref="AJ48:AM50"/>
    <mergeCell ref="AF51:AI51"/>
    <mergeCell ref="AJ51:AM51"/>
    <mergeCell ref="A17:B50"/>
    <mergeCell ref="C36:C50"/>
    <mergeCell ref="D36:D50"/>
    <mergeCell ref="F42:F43"/>
    <mergeCell ref="G42:G43"/>
    <mergeCell ref="H42:H43"/>
    <mergeCell ref="F44:F47"/>
    <mergeCell ref="H48:H50"/>
    <mergeCell ref="F48:F50"/>
    <mergeCell ref="G48:G50"/>
    <mergeCell ref="I48:I50"/>
    <mergeCell ref="J48:J50"/>
    <mergeCell ref="K48:K50"/>
    <mergeCell ref="L48:L50"/>
    <mergeCell ref="M48:M50"/>
    <mergeCell ref="U48:U49"/>
    <mergeCell ref="V48:V49"/>
    <mergeCell ref="W48:W49"/>
    <mergeCell ref="X48:X49"/>
    <mergeCell ref="Y48:Y49"/>
    <mergeCell ref="Z48:Z49"/>
    <mergeCell ref="AA48:AA49"/>
    <mergeCell ref="N48:N50"/>
    <mergeCell ref="O48:O50"/>
    <mergeCell ref="P48:P50"/>
    <mergeCell ref="Q48:Q50"/>
    <mergeCell ref="R48:R50"/>
    <mergeCell ref="S48:S49"/>
    <mergeCell ref="T48:T49"/>
    <mergeCell ref="U44:U45"/>
    <mergeCell ref="V44:V45"/>
    <mergeCell ref="W44:W45"/>
    <mergeCell ref="X44:X45"/>
    <mergeCell ref="Y44:Y45"/>
    <mergeCell ref="Z44:Z45"/>
    <mergeCell ref="AA44:AA45"/>
    <mergeCell ref="I46:I47"/>
    <mergeCell ref="J46:J47"/>
    <mergeCell ref="K46:K47"/>
    <mergeCell ref="L46:L47"/>
    <mergeCell ref="G44:G47"/>
    <mergeCell ref="H44:H47"/>
    <mergeCell ref="I44:I45"/>
    <mergeCell ref="J44:J45"/>
    <mergeCell ref="K44:K45"/>
    <mergeCell ref="L44:L45"/>
    <mergeCell ref="M44:M45"/>
    <mergeCell ref="M46:M47"/>
    <mergeCell ref="N46:N47"/>
    <mergeCell ref="O46:O47"/>
    <mergeCell ref="Z46:Z47"/>
    <mergeCell ref="AA46:AA47"/>
    <mergeCell ref="Q46:Q47"/>
    <mergeCell ref="R46:R47"/>
    <mergeCell ref="U46:U47"/>
    <mergeCell ref="V46:V47"/>
    <mergeCell ref="W46:W47"/>
    <mergeCell ref="X46:X47"/>
    <mergeCell ref="Y46:Y47"/>
    <mergeCell ref="G19:G30"/>
    <mergeCell ref="H19:H30"/>
    <mergeCell ref="I23:I30"/>
    <mergeCell ref="J23:J30"/>
    <mergeCell ref="K23:K30"/>
    <mergeCell ref="L23:L30"/>
    <mergeCell ref="M23:M30"/>
    <mergeCell ref="N23:N30"/>
    <mergeCell ref="I19:I20"/>
    <mergeCell ref="J19:J20"/>
    <mergeCell ref="K19:K20"/>
    <mergeCell ref="L19:L20"/>
    <mergeCell ref="M19:M20"/>
    <mergeCell ref="N19:N20"/>
    <mergeCell ref="O19:O20"/>
    <mergeCell ref="P19:P20"/>
    <mergeCell ref="P23:P30"/>
    <mergeCell ref="Q23:Q30"/>
    <mergeCell ref="R23:R30"/>
    <mergeCell ref="S23:S30"/>
    <mergeCell ref="T23:T30"/>
    <mergeCell ref="Q19:Q20"/>
    <mergeCell ref="R19:R20"/>
    <mergeCell ref="S19:S20"/>
    <mergeCell ref="T19:T20"/>
    <mergeCell ref="G17:G18"/>
    <mergeCell ref="H17:H18"/>
    <mergeCell ref="U19:U20"/>
    <mergeCell ref="V19:V20"/>
    <mergeCell ref="W19:W20"/>
    <mergeCell ref="X19:X20"/>
    <mergeCell ref="Y19:Y20"/>
    <mergeCell ref="E17:E18"/>
    <mergeCell ref="F17:F18"/>
    <mergeCell ref="I21:I22"/>
    <mergeCell ref="J21:J22"/>
    <mergeCell ref="K21:K22"/>
    <mergeCell ref="L21:L22"/>
    <mergeCell ref="M21:M22"/>
    <mergeCell ref="P21:P22"/>
    <mergeCell ref="Q21:Q22"/>
    <mergeCell ref="R21:R22"/>
    <mergeCell ref="S21:S22"/>
    <mergeCell ref="T21:T22"/>
    <mergeCell ref="U21:U22"/>
    <mergeCell ref="V21:V22"/>
    <mergeCell ref="W21:W22"/>
    <mergeCell ref="X21:X22"/>
    <mergeCell ref="Y21:Y22"/>
    <mergeCell ref="Z21:Z22"/>
    <mergeCell ref="AA21:AA22"/>
    <mergeCell ref="AF21:AF22"/>
    <mergeCell ref="AG21:AG22"/>
    <mergeCell ref="C17:C18"/>
    <mergeCell ref="D17:D18"/>
    <mergeCell ref="I33:I34"/>
    <mergeCell ref="J33:J34"/>
    <mergeCell ref="C19:C34"/>
    <mergeCell ref="D19:D34"/>
    <mergeCell ref="F31:F34"/>
    <mergeCell ref="G31:G34"/>
    <mergeCell ref="H31:H34"/>
    <mergeCell ref="I31:I32"/>
    <mergeCell ref="J31:J32"/>
    <mergeCell ref="M31:M32"/>
    <mergeCell ref="N31:N32"/>
    <mergeCell ref="O31:O32"/>
    <mergeCell ref="P31:P32"/>
    <mergeCell ref="Q31:Q32"/>
    <mergeCell ref="R31:R32"/>
    <mergeCell ref="S31:S32"/>
    <mergeCell ref="T31:T32"/>
    <mergeCell ref="U31:U32"/>
    <mergeCell ref="V31:V32"/>
    <mergeCell ref="W31:W32"/>
    <mergeCell ref="X31:X32"/>
    <mergeCell ref="Y31:Y32"/>
    <mergeCell ref="Z31:Z32"/>
    <mergeCell ref="K33:K34"/>
    <mergeCell ref="L33:L34"/>
    <mergeCell ref="M33:M34"/>
    <mergeCell ref="N33:N34"/>
    <mergeCell ref="O33:O34"/>
    <mergeCell ref="P33:P34"/>
    <mergeCell ref="Q33:Q34"/>
    <mergeCell ref="R33:R34"/>
    <mergeCell ref="S33:S34"/>
    <mergeCell ref="T33:T34"/>
    <mergeCell ref="U33:U34"/>
    <mergeCell ref="V33:V34"/>
    <mergeCell ref="W33:W34"/>
    <mergeCell ref="X33:X34"/>
    <mergeCell ref="AB51:AE51"/>
    <mergeCell ref="F38:F41"/>
    <mergeCell ref="G38:G41"/>
    <mergeCell ref="E19:E34"/>
    <mergeCell ref="F19:F30"/>
    <mergeCell ref="E36:E50"/>
    <mergeCell ref="F36:F37"/>
    <mergeCell ref="G36:G37"/>
    <mergeCell ref="H36:H37"/>
    <mergeCell ref="I36:I37"/>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4.43" defaultRowHeight="15.0"/>
  <cols>
    <col customWidth="1" min="1" max="1" width="23.57"/>
    <col customWidth="1" min="2" max="2" width="48.14"/>
    <col customWidth="1" min="3" max="3" width="36.0"/>
    <col customWidth="1" min="4" max="4" width="14.43"/>
    <col customWidth="1" min="5" max="5" width="23.43"/>
    <col customWidth="1" min="6" max="6" width="31.0"/>
    <col customWidth="1" min="10" max="10" width="33.0"/>
    <col customWidth="1" min="11" max="11" width="18.14"/>
    <col customWidth="1" min="12" max="12" width="76.86"/>
    <col customWidth="1" min="13" max="13" width="44.29"/>
    <col customWidth="1" min="15" max="15" width="17.86"/>
    <col customWidth="1" min="16" max="16" width="37.86"/>
    <col customWidth="1" min="30" max="30" width="25.29"/>
    <col customWidth="1" min="32" max="32" width="19.0"/>
    <col customWidth="1" min="34" max="34" width="18.71"/>
    <col customWidth="1" min="35" max="35" width="27.29"/>
    <col customWidth="1" min="42" max="42" width="31.29"/>
  </cols>
  <sheetData>
    <row r="1" ht="47.25" customHeight="1">
      <c r="A1" s="335"/>
      <c r="B1" s="335"/>
      <c r="C1" s="335"/>
      <c r="D1" s="335"/>
      <c r="E1" s="335"/>
      <c r="F1" s="335"/>
      <c r="G1" s="335"/>
      <c r="H1" s="335"/>
      <c r="I1" s="335"/>
      <c r="J1" s="335"/>
      <c r="K1" s="335"/>
      <c r="L1" s="335"/>
      <c r="M1" s="335"/>
      <c r="N1" s="335"/>
      <c r="O1" s="335"/>
      <c r="P1" s="335"/>
      <c r="Q1" s="335"/>
      <c r="R1" s="335"/>
      <c r="S1" s="335"/>
      <c r="T1" s="335"/>
      <c r="U1" s="335"/>
      <c r="V1" s="335"/>
      <c r="W1" s="335"/>
      <c r="X1" s="335"/>
      <c r="Y1" s="335"/>
      <c r="Z1" s="335"/>
      <c r="AA1" s="335"/>
      <c r="AB1" s="335"/>
      <c r="AC1" s="335"/>
      <c r="AD1" s="335"/>
      <c r="AE1" s="335"/>
      <c r="AF1" s="335"/>
      <c r="AG1" s="335"/>
      <c r="AH1" s="335"/>
      <c r="AI1" s="335"/>
      <c r="AJ1" s="335"/>
      <c r="AK1" s="335"/>
      <c r="AL1" s="335"/>
      <c r="AM1" s="335"/>
      <c r="AN1" s="335"/>
      <c r="AO1" s="335"/>
      <c r="AP1" s="335"/>
      <c r="AQ1" s="335"/>
      <c r="AR1" s="335"/>
      <c r="AS1" s="335"/>
    </row>
    <row r="2" ht="15.75" customHeight="1">
      <c r="A2" s="220" t="s">
        <v>0</v>
      </c>
      <c r="B2" s="221" t="s">
        <v>1</v>
      </c>
      <c r="C2" s="9"/>
      <c r="D2" s="172"/>
    </row>
    <row r="3" ht="15.75" customHeight="1">
      <c r="A3" s="191"/>
      <c r="B3" s="191"/>
      <c r="C3" s="173"/>
      <c r="D3" s="172"/>
    </row>
    <row r="4" ht="15.75" customHeight="1">
      <c r="A4" s="226" t="s">
        <v>4</v>
      </c>
      <c r="B4" s="227">
        <v>1910200.0</v>
      </c>
      <c r="C4" s="175">
        <v>2198126.0</v>
      </c>
      <c r="D4" s="172"/>
      <c r="AO4" s="3"/>
      <c r="AP4" s="3"/>
    </row>
    <row r="5" ht="15.75" customHeight="1">
      <c r="A5" s="170" t="s">
        <v>5</v>
      </c>
      <c r="B5" s="171" t="s">
        <v>6</v>
      </c>
      <c r="C5" s="176"/>
      <c r="D5" s="172"/>
      <c r="AO5" s="9"/>
      <c r="AP5" s="9"/>
    </row>
    <row r="6" ht="15.75" customHeight="1">
      <c r="A6" s="9"/>
      <c r="AO6" s="9"/>
      <c r="AP6" s="9"/>
    </row>
    <row r="7" ht="15.75" customHeight="1">
      <c r="A7" s="9"/>
      <c r="B7" s="336" t="s">
        <v>7</v>
      </c>
      <c r="C7" s="337" t="s">
        <v>206</v>
      </c>
      <c r="D7" s="338"/>
      <c r="AO7" s="16"/>
      <c r="AP7" s="16"/>
    </row>
    <row r="8" ht="21.0" customHeight="1">
      <c r="A8" s="9"/>
      <c r="B8" s="339" t="s">
        <v>207</v>
      </c>
      <c r="C8" s="339" t="s">
        <v>13</v>
      </c>
      <c r="D8" s="339" t="s">
        <v>14</v>
      </c>
      <c r="AO8" s="16"/>
      <c r="AP8" s="16"/>
    </row>
    <row r="9" ht="15.75" customHeight="1">
      <c r="B9" s="51">
        <v>3.5E7</v>
      </c>
      <c r="C9" s="51">
        <f>B9*D9</f>
        <v>21700000</v>
      </c>
      <c r="D9" s="80">
        <v>0.62</v>
      </c>
      <c r="AB9" s="340"/>
      <c r="AC9" s="340" t="s">
        <v>179</v>
      </c>
      <c r="AE9" s="341" t="s">
        <v>179</v>
      </c>
      <c r="AO9" s="16"/>
      <c r="AP9" s="16"/>
    </row>
    <row r="10" ht="15.75" customHeight="1">
      <c r="AB10" s="342"/>
      <c r="AC10" s="342" t="s">
        <v>180</v>
      </c>
      <c r="AE10" s="343" t="s">
        <v>181</v>
      </c>
      <c r="AO10" s="16"/>
      <c r="AP10" s="16"/>
    </row>
    <row r="11" ht="15.75" customHeight="1">
      <c r="D11" s="427"/>
      <c r="AB11" s="344"/>
      <c r="AC11" s="344"/>
      <c r="AD11" s="345" t="s">
        <v>182</v>
      </c>
      <c r="AE11" s="344"/>
      <c r="AF11" s="344"/>
      <c r="AG11" s="344"/>
      <c r="AH11" s="344"/>
      <c r="AI11" s="344"/>
      <c r="AJ11" s="344"/>
      <c r="AK11" s="344"/>
      <c r="AL11" s="344"/>
      <c r="AM11" s="344"/>
      <c r="AN11" s="344"/>
      <c r="AO11" s="16"/>
      <c r="AP11" s="16"/>
    </row>
    <row r="12" ht="15.75" customHeight="1">
      <c r="AB12" s="346"/>
      <c r="AC12" s="346"/>
      <c r="AD12" s="345" t="s">
        <v>183</v>
      </c>
      <c r="AE12" s="346"/>
      <c r="AF12" s="346"/>
      <c r="AG12" s="346"/>
      <c r="AH12" s="346"/>
      <c r="AI12" s="346"/>
      <c r="AJ12" s="346"/>
      <c r="AK12" s="346"/>
      <c r="AL12" s="346"/>
      <c r="AM12" s="346"/>
      <c r="AN12" s="346"/>
      <c r="AO12" s="16"/>
      <c r="AP12" s="16"/>
    </row>
    <row r="13" ht="15.75" customHeight="1">
      <c r="AB13" s="347"/>
      <c r="AC13" s="347"/>
      <c r="AG13" s="348" t="s">
        <v>10</v>
      </c>
      <c r="AO13" s="16"/>
      <c r="AP13" s="16"/>
    </row>
    <row r="14" ht="15.75" customHeight="1">
      <c r="X14" s="349">
        <f>X21/3</f>
        <v>0</v>
      </c>
      <c r="AB14" s="428" t="s">
        <v>19</v>
      </c>
      <c r="AC14" s="350" t="s">
        <v>20</v>
      </c>
      <c r="AD14" s="233"/>
      <c r="AE14" s="233"/>
      <c r="AF14" s="233"/>
      <c r="AG14" s="350" t="s">
        <v>21</v>
      </c>
      <c r="AH14" s="233"/>
      <c r="AI14" s="233"/>
      <c r="AJ14" s="234"/>
      <c r="AK14" s="350" t="s">
        <v>22</v>
      </c>
      <c r="AL14" s="233"/>
      <c r="AM14" s="233"/>
      <c r="AN14" s="234"/>
      <c r="AO14" s="232" t="s">
        <v>25</v>
      </c>
      <c r="AP14" s="234"/>
    </row>
    <row r="15" ht="15.75" customHeight="1">
      <c r="AB15" s="429">
        <v>0.75</v>
      </c>
      <c r="AC15" s="351">
        <v>0.7</v>
      </c>
      <c r="AD15" s="233"/>
      <c r="AE15" s="233"/>
      <c r="AF15" s="234"/>
      <c r="AG15" s="352">
        <v>0.5</v>
      </c>
      <c r="AH15" s="233"/>
      <c r="AI15" s="233"/>
      <c r="AJ15" s="233"/>
      <c r="AK15" s="352">
        <v>0.5</v>
      </c>
      <c r="AL15" s="233"/>
      <c r="AM15" s="233"/>
      <c r="AN15" s="234"/>
      <c r="AO15" s="238">
        <v>0.61</v>
      </c>
      <c r="AP15" s="234"/>
    </row>
    <row r="16" ht="15.75" customHeight="1">
      <c r="A16" s="239" t="s">
        <v>26</v>
      </c>
      <c r="B16" s="240"/>
      <c r="C16" s="34" t="s">
        <v>5</v>
      </c>
      <c r="D16" s="34" t="s">
        <v>27</v>
      </c>
      <c r="E16" s="35" t="s">
        <v>208</v>
      </c>
      <c r="F16" s="36" t="s">
        <v>29</v>
      </c>
      <c r="G16" s="36" t="s">
        <v>30</v>
      </c>
      <c r="H16" s="36"/>
      <c r="I16" s="36" t="s">
        <v>30</v>
      </c>
      <c r="J16" s="36" t="s">
        <v>209</v>
      </c>
      <c r="K16" s="36" t="s">
        <v>31</v>
      </c>
      <c r="L16" s="36" t="s">
        <v>210</v>
      </c>
      <c r="M16" s="36" t="s">
        <v>211</v>
      </c>
      <c r="N16" s="37"/>
      <c r="O16" s="37" t="s">
        <v>212</v>
      </c>
      <c r="P16" s="37" t="s">
        <v>213</v>
      </c>
      <c r="Q16" s="37" t="s">
        <v>36</v>
      </c>
      <c r="R16" s="37" t="s">
        <v>39</v>
      </c>
      <c r="S16" s="37" t="s">
        <v>40</v>
      </c>
      <c r="T16" s="37" t="s">
        <v>148</v>
      </c>
      <c r="U16" s="37" t="s">
        <v>41</v>
      </c>
      <c r="V16" s="37" t="s">
        <v>42</v>
      </c>
      <c r="W16" s="37" t="s">
        <v>43</v>
      </c>
      <c r="X16" s="37" t="s">
        <v>44</v>
      </c>
      <c r="Y16" s="37" t="s">
        <v>149</v>
      </c>
      <c r="Z16" s="37" t="s">
        <v>46</v>
      </c>
      <c r="AA16" s="37" t="s">
        <v>47</v>
      </c>
      <c r="AB16" s="354" t="s">
        <v>49</v>
      </c>
      <c r="AC16" s="353" t="s">
        <v>50</v>
      </c>
      <c r="AD16" s="353" t="s">
        <v>51</v>
      </c>
      <c r="AE16" s="353" t="s">
        <v>48</v>
      </c>
      <c r="AF16" s="354" t="s">
        <v>49</v>
      </c>
      <c r="AG16" s="355" t="s">
        <v>50</v>
      </c>
      <c r="AH16" s="353" t="s">
        <v>51</v>
      </c>
      <c r="AI16" s="353" t="s">
        <v>48</v>
      </c>
      <c r="AJ16" s="354" t="s">
        <v>49</v>
      </c>
      <c r="AK16" s="355" t="s">
        <v>50</v>
      </c>
      <c r="AL16" s="353" t="s">
        <v>51</v>
      </c>
      <c r="AM16" s="353" t="s">
        <v>48</v>
      </c>
      <c r="AN16" s="354" t="s">
        <v>49</v>
      </c>
      <c r="AO16" s="39"/>
      <c r="AQ16" s="39"/>
      <c r="AR16" s="39"/>
      <c r="AS16" s="39"/>
    </row>
    <row r="17" ht="60.0" customHeight="1">
      <c r="A17" s="241" t="s">
        <v>59</v>
      </c>
      <c r="B17" s="242"/>
      <c r="C17" s="126" t="s">
        <v>214</v>
      </c>
      <c r="D17" s="356">
        <v>0.1</v>
      </c>
      <c r="E17" s="357">
        <f>B4*D17</f>
        <v>191020</v>
      </c>
      <c r="F17" s="358" t="s">
        <v>215</v>
      </c>
      <c r="G17" s="359">
        <v>1.0</v>
      </c>
      <c r="H17" s="360">
        <f>E17*G17</f>
        <v>191020</v>
      </c>
      <c r="I17" s="361">
        <v>0.5</v>
      </c>
      <c r="J17" s="362" t="s">
        <v>76</v>
      </c>
      <c r="K17" s="363">
        <f>H17*I17</f>
        <v>95510</v>
      </c>
      <c r="L17" s="364" t="s">
        <v>216</v>
      </c>
      <c r="M17" s="365" t="s">
        <v>217</v>
      </c>
      <c r="N17" s="366" t="s">
        <v>43</v>
      </c>
      <c r="O17" s="366" t="s">
        <v>218</v>
      </c>
      <c r="P17" s="367" t="s">
        <v>219</v>
      </c>
      <c r="Q17" s="366">
        <v>1.0</v>
      </c>
      <c r="R17" s="368" t="s">
        <v>59</v>
      </c>
      <c r="S17" s="368" t="s">
        <v>70</v>
      </c>
      <c r="T17" s="368" t="s">
        <v>70</v>
      </c>
      <c r="U17" s="368" t="s">
        <v>70</v>
      </c>
      <c r="V17" s="368" t="s">
        <v>70</v>
      </c>
      <c r="W17" s="365">
        <v>2.0</v>
      </c>
      <c r="X17" s="368" t="s">
        <v>70</v>
      </c>
      <c r="Y17" s="368" t="s">
        <v>70</v>
      </c>
      <c r="Z17" s="368" t="s">
        <v>70</v>
      </c>
      <c r="AA17" s="369">
        <f t="shared" ref="AA17:AA18" si="1">K17/W17*1000</f>
        <v>47755000</v>
      </c>
      <c r="AB17" s="370">
        <f>K17/3</f>
        <v>31836.66667</v>
      </c>
      <c r="AC17" s="370">
        <v>31836.666666666668</v>
      </c>
      <c r="AD17" s="370">
        <v>31836.666666666668</v>
      </c>
      <c r="AE17" s="371"/>
      <c r="AF17" s="372"/>
      <c r="AG17" s="430"/>
      <c r="AH17" s="372"/>
      <c r="AI17" s="372"/>
      <c r="AJ17" s="372"/>
      <c r="AK17" s="372"/>
      <c r="AL17" s="372"/>
      <c r="AM17" s="372"/>
      <c r="AN17" s="372"/>
      <c r="AO17" s="431">
        <f t="shared" ref="AO17:AO34" si="2">SUM(AB17:AN17)</f>
        <v>95510</v>
      </c>
      <c r="AQ17" s="157"/>
      <c r="AR17" s="157"/>
      <c r="AS17" s="157"/>
    </row>
    <row r="18" ht="63.0" customHeight="1">
      <c r="A18" s="108"/>
      <c r="B18" s="111"/>
      <c r="C18" s="65"/>
      <c r="D18" s="65"/>
      <c r="E18" s="78"/>
      <c r="F18" s="191"/>
      <c r="G18" s="191"/>
      <c r="H18" s="191"/>
      <c r="I18" s="361">
        <v>0.5</v>
      </c>
      <c r="J18" s="362" t="s">
        <v>76</v>
      </c>
      <c r="K18" s="363">
        <f>H17*I18</f>
        <v>95510</v>
      </c>
      <c r="L18" s="373" t="s">
        <v>220</v>
      </c>
      <c r="M18" s="365" t="s">
        <v>217</v>
      </c>
      <c r="N18" s="366" t="s">
        <v>43</v>
      </c>
      <c r="O18" s="366" t="s">
        <v>218</v>
      </c>
      <c r="P18" s="367" t="s">
        <v>219</v>
      </c>
      <c r="Q18" s="366">
        <v>1.0</v>
      </c>
      <c r="R18" s="368" t="s">
        <v>59</v>
      </c>
      <c r="S18" s="368" t="s">
        <v>70</v>
      </c>
      <c r="T18" s="368" t="s">
        <v>70</v>
      </c>
      <c r="U18" s="368" t="s">
        <v>70</v>
      </c>
      <c r="V18" s="368" t="s">
        <v>70</v>
      </c>
      <c r="W18" s="365">
        <v>2.0</v>
      </c>
      <c r="X18" s="368" t="s">
        <v>70</v>
      </c>
      <c r="Y18" s="368" t="s">
        <v>70</v>
      </c>
      <c r="Z18" s="368" t="s">
        <v>70</v>
      </c>
      <c r="AA18" s="369">
        <f t="shared" si="1"/>
        <v>47755000</v>
      </c>
      <c r="AB18" s="432"/>
      <c r="AC18" s="371"/>
      <c r="AD18" s="372"/>
      <c r="AE18" s="374">
        <f>K18/3</f>
        <v>31836.66667</v>
      </c>
      <c r="AF18" s="374">
        <v>31836.666666666668</v>
      </c>
      <c r="AG18" s="374">
        <v>31836.666666666668</v>
      </c>
      <c r="AH18" s="433"/>
      <c r="AI18" s="372"/>
      <c r="AJ18" s="372"/>
      <c r="AK18" s="430"/>
      <c r="AL18" s="372"/>
      <c r="AM18" s="372"/>
      <c r="AN18" s="372"/>
      <c r="AO18" s="431">
        <f t="shared" si="2"/>
        <v>95510</v>
      </c>
      <c r="AQ18" s="157"/>
      <c r="AR18" s="157"/>
      <c r="AS18" s="157"/>
    </row>
    <row r="19" ht="15.75" customHeight="1">
      <c r="A19" s="108"/>
      <c r="B19" s="111"/>
      <c r="C19" s="69" t="s">
        <v>60</v>
      </c>
      <c r="D19" s="70">
        <v>0.5</v>
      </c>
      <c r="E19" s="434">
        <v>1016247.0</v>
      </c>
      <c r="F19" s="358" t="s">
        <v>221</v>
      </c>
      <c r="G19" s="359">
        <v>0.45</v>
      </c>
      <c r="H19" s="360">
        <v>490942.0</v>
      </c>
      <c r="I19" s="359">
        <v>0.33</v>
      </c>
      <c r="J19" s="358" t="s">
        <v>76</v>
      </c>
      <c r="K19" s="360">
        <v>294648.35</v>
      </c>
      <c r="L19" s="375" t="s">
        <v>216</v>
      </c>
      <c r="M19" s="376" t="s">
        <v>222</v>
      </c>
      <c r="N19" s="377" t="s">
        <v>40</v>
      </c>
      <c r="O19" s="378" t="s">
        <v>223</v>
      </c>
      <c r="P19" s="377" t="s">
        <v>110</v>
      </c>
      <c r="Q19" s="377">
        <v>3.0</v>
      </c>
      <c r="R19" s="379" t="s">
        <v>59</v>
      </c>
      <c r="S19" s="380">
        <v>0.07</v>
      </c>
      <c r="T19" s="379" t="s">
        <v>70</v>
      </c>
      <c r="U19" s="379" t="s">
        <v>70</v>
      </c>
      <c r="V19" s="379" t="s">
        <v>70</v>
      </c>
      <c r="W19" s="379" t="s">
        <v>70</v>
      </c>
      <c r="X19" s="377">
        <f>K19/S19</f>
        <v>4209262.143</v>
      </c>
      <c r="Y19" s="379" t="s">
        <v>70</v>
      </c>
      <c r="Z19" s="381" t="s">
        <v>70</v>
      </c>
      <c r="AA19" s="381" t="s">
        <v>70</v>
      </c>
      <c r="AB19" s="370">
        <f>35458.0875+7880</f>
        <v>43338.0875</v>
      </c>
      <c r="AC19" s="370">
        <v>62828.0</v>
      </c>
      <c r="AD19" s="370">
        <v>62828.0</v>
      </c>
      <c r="AE19" s="370">
        <v>49246.0</v>
      </c>
      <c r="AG19" s="374">
        <v>52826.0</v>
      </c>
      <c r="AH19" s="374">
        <v>23582.0</v>
      </c>
      <c r="AI19" s="372"/>
      <c r="AJ19" s="372"/>
      <c r="AK19" s="372"/>
      <c r="AL19" s="372"/>
      <c r="AM19" s="372"/>
      <c r="AN19" s="372"/>
      <c r="AO19" s="431">
        <f t="shared" si="2"/>
        <v>294648.0875</v>
      </c>
      <c r="AQ19" s="157"/>
      <c r="AR19" s="157"/>
      <c r="AS19" s="157"/>
    </row>
    <row r="20" ht="33.0" customHeight="1">
      <c r="A20" s="108"/>
      <c r="B20" s="111"/>
      <c r="C20" s="64"/>
      <c r="D20" s="64"/>
      <c r="E20" s="108"/>
      <c r="F20" s="109"/>
      <c r="G20" s="109"/>
      <c r="H20" s="109"/>
      <c r="I20" s="191"/>
      <c r="J20" s="191"/>
      <c r="K20" s="191"/>
      <c r="M20" s="240"/>
      <c r="N20" s="240"/>
      <c r="O20" s="240"/>
      <c r="P20" s="240"/>
      <c r="Q20" s="240"/>
      <c r="X20" s="240"/>
      <c r="Z20" s="111"/>
      <c r="AA20" s="111"/>
      <c r="AI20" s="372"/>
      <c r="AJ20" s="372"/>
      <c r="AK20" s="430"/>
      <c r="AL20" s="430"/>
      <c r="AM20" s="372"/>
      <c r="AN20" s="372"/>
      <c r="AO20" s="431">
        <f t="shared" si="2"/>
        <v>0</v>
      </c>
      <c r="AQ20" s="157"/>
      <c r="AR20" s="157"/>
      <c r="AS20" s="157"/>
    </row>
    <row r="21" ht="15.75" customHeight="1">
      <c r="A21" s="108"/>
      <c r="B21" s="111"/>
      <c r="C21" s="64"/>
      <c r="D21" s="64"/>
      <c r="E21" s="108"/>
      <c r="F21" s="109"/>
      <c r="G21" s="109"/>
      <c r="H21" s="109"/>
      <c r="I21" s="359">
        <v>0.67</v>
      </c>
      <c r="K21" s="158"/>
      <c r="L21" s="435"/>
      <c r="M21" s="436"/>
      <c r="N21" s="437"/>
      <c r="O21" s="437"/>
      <c r="P21" s="437"/>
      <c r="Q21" s="437"/>
      <c r="R21" s="438"/>
      <c r="S21" s="439"/>
      <c r="T21" s="440"/>
      <c r="U21" s="440"/>
      <c r="V21" s="440"/>
      <c r="W21" s="440"/>
      <c r="X21" s="437"/>
      <c r="Y21" s="440"/>
      <c r="Z21" s="440"/>
      <c r="AA21" s="440"/>
      <c r="AB21" s="441"/>
      <c r="AC21" s="442"/>
      <c r="AD21" s="442"/>
      <c r="AE21" s="442"/>
      <c r="AF21" s="442"/>
      <c r="AG21" s="386"/>
      <c r="AH21" s="386"/>
      <c r="AI21" s="386"/>
      <c r="AJ21" s="372"/>
      <c r="AK21" s="372"/>
      <c r="AL21" s="372"/>
      <c r="AM21" s="372"/>
      <c r="AN21" s="372"/>
      <c r="AO21" s="431">
        <f t="shared" si="2"/>
        <v>0</v>
      </c>
      <c r="AQ21" s="157"/>
      <c r="AR21" s="157"/>
      <c r="AS21" s="157"/>
    </row>
    <row r="22" ht="15.75" customHeight="1">
      <c r="A22" s="108"/>
      <c r="B22" s="111"/>
      <c r="C22" s="64"/>
      <c r="D22" s="64"/>
      <c r="E22" s="108"/>
      <c r="F22" s="109"/>
      <c r="G22" s="109"/>
      <c r="H22" s="109"/>
      <c r="I22" s="109"/>
      <c r="K22" s="158"/>
      <c r="M22" s="240"/>
      <c r="N22" s="240"/>
      <c r="O22" s="240"/>
      <c r="P22" s="240"/>
      <c r="Q22" s="240"/>
      <c r="R22" s="240"/>
      <c r="X22" s="240"/>
      <c r="AB22" s="442"/>
      <c r="AC22" s="442"/>
      <c r="AD22" s="443"/>
      <c r="AE22" s="442"/>
      <c r="AF22" s="442"/>
      <c r="AJ22" s="372"/>
      <c r="AK22" s="372"/>
      <c r="AL22" s="372"/>
      <c r="AM22" s="372"/>
      <c r="AN22" s="372"/>
      <c r="AO22" s="431">
        <f t="shared" si="2"/>
        <v>0</v>
      </c>
      <c r="AQ22" s="157"/>
      <c r="AR22" s="157"/>
      <c r="AS22" s="157"/>
    </row>
    <row r="23" ht="15.75" customHeight="1">
      <c r="A23" s="108"/>
      <c r="B23" s="111"/>
      <c r="C23" s="64"/>
      <c r="D23" s="64"/>
      <c r="E23" s="108"/>
      <c r="F23" s="109"/>
      <c r="G23" s="109"/>
      <c r="H23" s="109"/>
      <c r="I23" s="109"/>
      <c r="J23" s="358" t="s">
        <v>226</v>
      </c>
      <c r="K23" s="360">
        <v>196294.0</v>
      </c>
      <c r="L23" s="382" t="s">
        <v>220</v>
      </c>
      <c r="M23" s="376" t="s">
        <v>198</v>
      </c>
      <c r="N23" s="377" t="s">
        <v>40</v>
      </c>
      <c r="O23" s="383" t="s">
        <v>198</v>
      </c>
      <c r="P23" s="377" t="s">
        <v>227</v>
      </c>
      <c r="Q23" s="377">
        <v>8.0</v>
      </c>
      <c r="R23" s="381" t="s">
        <v>59</v>
      </c>
      <c r="S23" s="384">
        <v>0.07</v>
      </c>
      <c r="T23" s="385" t="s">
        <v>70</v>
      </c>
      <c r="U23" s="385" t="s">
        <v>70</v>
      </c>
      <c r="V23" s="385" t="s">
        <v>70</v>
      </c>
      <c r="W23" s="385" t="s">
        <v>70</v>
      </c>
      <c r="X23" s="377">
        <f>(K23/S23)/8</f>
        <v>350525</v>
      </c>
      <c r="Y23" s="385" t="s">
        <v>70</v>
      </c>
      <c r="Z23" s="385" t="s">
        <v>70</v>
      </c>
      <c r="AA23" s="385" t="s">
        <v>70</v>
      </c>
      <c r="AB23" s="372"/>
      <c r="AC23" s="372"/>
      <c r="AD23" s="372"/>
      <c r="AE23" s="372"/>
      <c r="AF23" s="372"/>
      <c r="AG23" s="374">
        <v>35995.33125</v>
      </c>
      <c r="AI23" s="386"/>
      <c r="AJ23" s="386"/>
      <c r="AK23" s="386"/>
      <c r="AL23" s="386"/>
      <c r="AM23" s="386"/>
      <c r="AN23" s="386"/>
      <c r="AO23" s="431">
        <f t="shared" si="2"/>
        <v>35995.33125</v>
      </c>
      <c r="AQ23" s="157"/>
      <c r="AR23" s="157"/>
      <c r="AS23" s="157"/>
    </row>
    <row r="24" ht="15.75" customHeight="1">
      <c r="A24" s="108"/>
      <c r="B24" s="111"/>
      <c r="C24" s="64"/>
      <c r="D24" s="64"/>
      <c r="E24" s="108"/>
      <c r="F24" s="109"/>
      <c r="G24" s="109"/>
      <c r="H24" s="109"/>
      <c r="I24" s="109"/>
      <c r="J24" s="109"/>
      <c r="K24" s="109"/>
      <c r="M24" s="111"/>
      <c r="N24" s="111"/>
      <c r="O24" s="383" t="s">
        <v>198</v>
      </c>
      <c r="P24" s="111"/>
      <c r="Q24" s="111"/>
      <c r="R24" s="111"/>
      <c r="X24" s="377">
        <v>515924.5535714285</v>
      </c>
      <c r="AB24" s="372"/>
      <c r="AC24" s="372"/>
      <c r="AD24" s="372"/>
      <c r="AE24" s="372"/>
      <c r="AF24" s="372"/>
      <c r="AG24" s="374">
        <v>35995.33125</v>
      </c>
      <c r="AI24" s="386"/>
      <c r="AJ24" s="386"/>
      <c r="AK24" s="386"/>
      <c r="AL24" s="386"/>
      <c r="AM24" s="386"/>
      <c r="AN24" s="386"/>
      <c r="AO24" s="431">
        <f t="shared" si="2"/>
        <v>35995.33125</v>
      </c>
      <c r="AQ24" s="157"/>
      <c r="AR24" s="157"/>
      <c r="AS24" s="157"/>
    </row>
    <row r="25" ht="15.75" customHeight="1">
      <c r="A25" s="108"/>
      <c r="B25" s="111"/>
      <c r="C25" s="64"/>
      <c r="D25" s="64"/>
      <c r="E25" s="108"/>
      <c r="F25" s="109"/>
      <c r="G25" s="109"/>
      <c r="H25" s="109"/>
      <c r="I25" s="109"/>
      <c r="J25" s="109"/>
      <c r="K25" s="109"/>
      <c r="M25" s="111"/>
      <c r="N25" s="111"/>
      <c r="O25" s="383" t="s">
        <v>198</v>
      </c>
      <c r="P25" s="111"/>
      <c r="Q25" s="111"/>
      <c r="R25" s="111"/>
      <c r="X25" s="377">
        <v>515924.5535714285</v>
      </c>
      <c r="AB25" s="372"/>
      <c r="AC25" s="372"/>
      <c r="AD25" s="372"/>
      <c r="AE25" s="372"/>
      <c r="AF25" s="372"/>
      <c r="AG25" s="386"/>
      <c r="AH25" s="386"/>
      <c r="AI25" s="374">
        <v>35995.33125</v>
      </c>
      <c r="AK25" s="386"/>
      <c r="AL25" s="386"/>
      <c r="AM25" s="386"/>
      <c r="AN25" s="386"/>
      <c r="AO25" s="431">
        <f t="shared" si="2"/>
        <v>35995.33125</v>
      </c>
      <c r="AQ25" s="157"/>
      <c r="AR25" s="157"/>
      <c r="AS25" s="157"/>
    </row>
    <row r="26" ht="15.75" customHeight="1">
      <c r="A26" s="108"/>
      <c r="B26" s="111"/>
      <c r="C26" s="64"/>
      <c r="D26" s="64"/>
      <c r="E26" s="108"/>
      <c r="F26" s="109"/>
      <c r="G26" s="109"/>
      <c r="H26" s="109"/>
      <c r="I26" s="109"/>
      <c r="J26" s="109"/>
      <c r="K26" s="109"/>
      <c r="M26" s="111"/>
      <c r="N26" s="111"/>
      <c r="O26" s="383" t="s">
        <v>198</v>
      </c>
      <c r="P26" s="111"/>
      <c r="Q26" s="111"/>
      <c r="R26" s="111"/>
      <c r="X26" s="377">
        <v>515924.5535714285</v>
      </c>
      <c r="AB26" s="372"/>
      <c r="AC26" s="372"/>
      <c r="AD26" s="372"/>
      <c r="AE26" s="372"/>
      <c r="AF26" s="372"/>
      <c r="AG26" s="386"/>
      <c r="AH26" s="386"/>
      <c r="AI26" s="374">
        <v>35995.33125</v>
      </c>
      <c r="AK26" s="386"/>
      <c r="AL26" s="386"/>
      <c r="AM26" s="386"/>
      <c r="AN26" s="386"/>
      <c r="AO26" s="431">
        <f t="shared" si="2"/>
        <v>35995.33125</v>
      </c>
      <c r="AQ26" s="157"/>
      <c r="AR26" s="157"/>
      <c r="AS26" s="157"/>
    </row>
    <row r="27" ht="15.75" customHeight="1">
      <c r="A27" s="108"/>
      <c r="B27" s="111"/>
      <c r="C27" s="64"/>
      <c r="D27" s="64"/>
      <c r="E27" s="108"/>
      <c r="F27" s="109"/>
      <c r="G27" s="109"/>
      <c r="H27" s="109"/>
      <c r="I27" s="109"/>
      <c r="J27" s="109"/>
      <c r="K27" s="109"/>
      <c r="M27" s="111"/>
      <c r="N27" s="111"/>
      <c r="O27" s="383" t="s">
        <v>198</v>
      </c>
      <c r="P27" s="111"/>
      <c r="Q27" s="111"/>
      <c r="R27" s="111"/>
      <c r="X27" s="377">
        <v>515924.5535714285</v>
      </c>
      <c r="AB27" s="372"/>
      <c r="AC27" s="372"/>
      <c r="AD27" s="372"/>
      <c r="AE27" s="372"/>
      <c r="AF27" s="372"/>
      <c r="AG27" s="386"/>
      <c r="AH27" s="386"/>
      <c r="AI27" s="386"/>
      <c r="AJ27" s="386"/>
      <c r="AK27" s="374">
        <v>26317.0</v>
      </c>
      <c r="AM27" s="444"/>
      <c r="AN27" s="386"/>
      <c r="AO27" s="431">
        <f t="shared" si="2"/>
        <v>26317</v>
      </c>
      <c r="AQ27" s="157"/>
      <c r="AR27" s="157"/>
      <c r="AS27" s="157"/>
    </row>
    <row r="28" ht="15.75" customHeight="1">
      <c r="A28" s="108"/>
      <c r="B28" s="111"/>
      <c r="C28" s="64"/>
      <c r="D28" s="64"/>
      <c r="E28" s="108"/>
      <c r="F28" s="109"/>
      <c r="G28" s="109"/>
      <c r="H28" s="109"/>
      <c r="I28" s="109"/>
      <c r="J28" s="109"/>
      <c r="K28" s="109"/>
      <c r="M28" s="111"/>
      <c r="N28" s="111"/>
      <c r="O28" s="383" t="s">
        <v>198</v>
      </c>
      <c r="P28" s="111"/>
      <c r="Q28" s="111"/>
      <c r="R28" s="111"/>
      <c r="X28" s="377">
        <v>515924.5535714285</v>
      </c>
      <c r="AB28" s="372"/>
      <c r="AC28" s="372"/>
      <c r="AD28" s="372"/>
      <c r="AE28" s="372"/>
      <c r="AF28" s="372"/>
      <c r="AG28" s="386"/>
      <c r="AH28" s="386"/>
      <c r="AI28" s="386"/>
      <c r="AJ28" s="386"/>
      <c r="AK28" s="374">
        <v>25995.33125</v>
      </c>
      <c r="AM28" s="444"/>
      <c r="AN28" s="386"/>
      <c r="AO28" s="431">
        <f t="shared" si="2"/>
        <v>25995.33125</v>
      </c>
      <c r="AQ28" s="157"/>
      <c r="AR28" s="157"/>
      <c r="AS28" s="157"/>
    </row>
    <row r="29" ht="15.75" customHeight="1">
      <c r="A29" s="108"/>
      <c r="B29" s="111"/>
      <c r="C29" s="64"/>
      <c r="D29" s="64"/>
      <c r="E29" s="108"/>
      <c r="F29" s="109"/>
      <c r="G29" s="109"/>
      <c r="H29" s="109"/>
      <c r="I29" s="109"/>
      <c r="J29" s="109"/>
      <c r="K29" s="109"/>
      <c r="M29" s="111"/>
      <c r="N29" s="111"/>
      <c r="O29" s="383"/>
      <c r="P29" s="111"/>
      <c r="Q29" s="111"/>
      <c r="R29" s="111"/>
      <c r="X29" s="377"/>
      <c r="AB29" s="372"/>
      <c r="AC29" s="372"/>
      <c r="AD29" s="372"/>
      <c r="AE29" s="372"/>
      <c r="AF29" s="372"/>
      <c r="AG29" s="386"/>
      <c r="AH29" s="386"/>
      <c r="AI29" s="386"/>
      <c r="AJ29" s="386"/>
      <c r="AK29" s="386"/>
      <c r="AL29" s="386"/>
      <c r="AM29" s="386"/>
      <c r="AO29" s="431">
        <f t="shared" si="2"/>
        <v>0</v>
      </c>
      <c r="AQ29" s="157"/>
      <c r="AR29" s="157"/>
      <c r="AS29" s="157"/>
    </row>
    <row r="30" ht="15.75" customHeight="1">
      <c r="A30" s="108"/>
      <c r="B30" s="111"/>
      <c r="C30" s="64"/>
      <c r="D30" s="64"/>
      <c r="E30" s="108"/>
      <c r="F30" s="191"/>
      <c r="G30" s="191"/>
      <c r="H30" s="191"/>
      <c r="I30" s="191"/>
      <c r="J30" s="191"/>
      <c r="K30" s="191"/>
      <c r="M30" s="240"/>
      <c r="N30" s="240"/>
      <c r="O30" s="383"/>
      <c r="P30" s="240"/>
      <c r="Q30" s="240"/>
      <c r="R30" s="240"/>
      <c r="X30" s="377"/>
      <c r="AB30" s="372"/>
      <c r="AC30" s="372"/>
      <c r="AD30" s="372"/>
      <c r="AE30" s="372"/>
      <c r="AF30" s="372"/>
      <c r="AG30" s="386"/>
      <c r="AH30" s="386"/>
      <c r="AI30" s="386"/>
      <c r="AJ30" s="386"/>
      <c r="AK30" s="386"/>
      <c r="AL30" s="386"/>
      <c r="AM30" s="386"/>
      <c r="AO30" s="431">
        <f t="shared" si="2"/>
        <v>0</v>
      </c>
      <c r="AQ30" s="157"/>
      <c r="AR30" s="157"/>
      <c r="AS30" s="157"/>
    </row>
    <row r="31" ht="15.75" customHeight="1">
      <c r="A31" s="108"/>
      <c r="B31" s="111"/>
      <c r="C31" s="64"/>
      <c r="D31" s="64"/>
      <c r="E31" s="108"/>
      <c r="F31" s="387" t="s">
        <v>228</v>
      </c>
      <c r="G31" s="359">
        <v>0.55</v>
      </c>
      <c r="H31" s="360">
        <v>525305.0</v>
      </c>
      <c r="I31" s="359">
        <v>0.45</v>
      </c>
      <c r="J31" s="358" t="s">
        <v>9</v>
      </c>
      <c r="K31" s="360">
        <f>H31*I31</f>
        <v>236387.25</v>
      </c>
      <c r="L31" s="375" t="s">
        <v>216</v>
      </c>
      <c r="M31" s="106" t="s">
        <v>80</v>
      </c>
      <c r="N31" s="377" t="s">
        <v>40</v>
      </c>
      <c r="O31" s="377" t="s">
        <v>229</v>
      </c>
      <c r="P31" s="377" t="s">
        <v>230</v>
      </c>
      <c r="Q31" s="377">
        <v>1.0</v>
      </c>
      <c r="R31" s="381" t="s">
        <v>59</v>
      </c>
      <c r="S31" s="376">
        <v>0.1</v>
      </c>
      <c r="T31" s="381" t="s">
        <v>70</v>
      </c>
      <c r="U31" s="381" t="s">
        <v>70</v>
      </c>
      <c r="V31" s="381" t="s">
        <v>70</v>
      </c>
      <c r="W31" s="381" t="s">
        <v>70</v>
      </c>
      <c r="X31" s="377">
        <f>K31/S31</f>
        <v>2363872.5</v>
      </c>
      <c r="Y31" s="381" t="s">
        <v>70</v>
      </c>
      <c r="Z31" s="381" t="s">
        <v>70</v>
      </c>
      <c r="AA31" s="381" t="s">
        <v>70</v>
      </c>
      <c r="AB31" s="370"/>
      <c r="AC31" s="370">
        <f>K31/2</f>
        <v>118193.625</v>
      </c>
      <c r="AE31" s="388">
        <f>K31/2</f>
        <v>118193.625</v>
      </c>
      <c r="AG31" s="372"/>
      <c r="AH31" s="372"/>
      <c r="AI31" s="372"/>
      <c r="AJ31" s="372"/>
      <c r="AK31" s="372"/>
      <c r="AL31" s="372"/>
      <c r="AM31" s="372"/>
      <c r="AN31" s="372"/>
      <c r="AO31" s="431">
        <f t="shared" si="2"/>
        <v>236387.25</v>
      </c>
      <c r="AQ31" s="157"/>
      <c r="AR31" s="157"/>
      <c r="AS31" s="157"/>
    </row>
    <row r="32" ht="111.75" customHeight="1">
      <c r="A32" s="108"/>
      <c r="B32" s="111"/>
      <c r="C32" s="64"/>
      <c r="D32" s="64"/>
      <c r="E32" s="108"/>
      <c r="F32" s="109"/>
      <c r="G32" s="109"/>
      <c r="H32" s="109"/>
      <c r="I32" s="191"/>
      <c r="J32" s="191"/>
      <c r="K32" s="191"/>
      <c r="M32" s="111"/>
      <c r="N32" s="240"/>
      <c r="O32" s="240"/>
      <c r="P32" s="240"/>
      <c r="Q32" s="111"/>
      <c r="R32" s="240"/>
      <c r="S32" s="111"/>
      <c r="T32" s="111"/>
      <c r="U32" s="111"/>
      <c r="V32" s="111"/>
      <c r="W32" s="111"/>
      <c r="X32" s="111"/>
      <c r="Y32" s="111"/>
      <c r="Z32" s="111"/>
      <c r="AA32" s="111"/>
      <c r="AB32" s="370"/>
      <c r="AG32" s="372"/>
      <c r="AH32" s="445"/>
      <c r="AI32" s="372"/>
      <c r="AJ32" s="372"/>
      <c r="AK32" s="372"/>
      <c r="AL32" s="372"/>
      <c r="AM32" s="372"/>
      <c r="AN32" s="372"/>
      <c r="AO32" s="431">
        <f t="shared" si="2"/>
        <v>0</v>
      </c>
      <c r="AQ32" s="157"/>
      <c r="AR32" s="157"/>
      <c r="AS32" s="157"/>
    </row>
    <row r="33" ht="15.75" customHeight="1">
      <c r="A33" s="108"/>
      <c r="B33" s="111"/>
      <c r="C33" s="64"/>
      <c r="D33" s="64"/>
      <c r="E33" s="108"/>
      <c r="F33" s="109"/>
      <c r="G33" s="109"/>
      <c r="H33" s="109"/>
      <c r="I33" s="359">
        <v>0.55</v>
      </c>
      <c r="J33" s="358" t="s">
        <v>231</v>
      </c>
      <c r="K33" s="360">
        <f>H31*I33</f>
        <v>288917.75</v>
      </c>
      <c r="L33" s="389" t="s">
        <v>220</v>
      </c>
      <c r="M33" s="106" t="s">
        <v>77</v>
      </c>
      <c r="N33" s="377" t="s">
        <v>40</v>
      </c>
      <c r="O33" s="377" t="s">
        <v>232</v>
      </c>
      <c r="P33" s="377" t="s">
        <v>230</v>
      </c>
      <c r="Q33" s="377">
        <v>2.0</v>
      </c>
      <c r="R33" s="381" t="s">
        <v>59</v>
      </c>
      <c r="S33" s="376">
        <v>0.1</v>
      </c>
      <c r="T33" s="381" t="s">
        <v>70</v>
      </c>
      <c r="U33" s="381" t="s">
        <v>70</v>
      </c>
      <c r="V33" s="381" t="s">
        <v>70</v>
      </c>
      <c r="W33" s="381" t="s">
        <v>70</v>
      </c>
      <c r="X33" s="377">
        <f>K33/S33</f>
        <v>2889177.5</v>
      </c>
      <c r="Y33" s="381" t="s">
        <v>70</v>
      </c>
      <c r="Z33" s="381" t="s">
        <v>70</v>
      </c>
      <c r="AA33" s="381" t="s">
        <v>70</v>
      </c>
      <c r="AB33" s="372"/>
      <c r="AC33" s="372"/>
      <c r="AD33" s="372"/>
      <c r="AE33" s="372"/>
      <c r="AF33" s="372"/>
      <c r="AG33" s="374">
        <v>234250.0</v>
      </c>
      <c r="AK33" s="374">
        <f>K33-AG33</f>
        <v>54667.75</v>
      </c>
      <c r="AM33" s="433"/>
      <c r="AN33" s="433"/>
      <c r="AO33" s="431">
        <f t="shared" si="2"/>
        <v>288917.75</v>
      </c>
      <c r="AQ33" s="157"/>
      <c r="AR33" s="157"/>
      <c r="AS33" s="157"/>
    </row>
    <row r="34" ht="15.75" customHeight="1">
      <c r="A34" s="108"/>
      <c r="B34" s="111"/>
      <c r="C34" s="65"/>
      <c r="D34" s="65"/>
      <c r="E34" s="78"/>
      <c r="F34" s="191"/>
      <c r="G34" s="191"/>
      <c r="H34" s="191"/>
      <c r="I34" s="191"/>
      <c r="J34" s="191"/>
      <c r="K34" s="191"/>
      <c r="M34" s="111"/>
      <c r="N34" s="240"/>
      <c r="O34" s="240"/>
      <c r="P34" s="240"/>
      <c r="Q34" s="240"/>
      <c r="R34" s="240"/>
      <c r="S34" s="111"/>
      <c r="T34" s="240"/>
      <c r="U34" s="240"/>
      <c r="V34" s="240"/>
      <c r="W34" s="240"/>
      <c r="X34" s="111"/>
      <c r="Y34" s="240"/>
      <c r="Z34" s="240"/>
      <c r="AA34" s="240"/>
      <c r="AB34" s="372"/>
      <c r="AC34" s="372"/>
      <c r="AD34" s="372"/>
      <c r="AE34" s="372"/>
      <c r="AF34" s="372"/>
      <c r="AM34" s="433"/>
      <c r="AN34" s="433"/>
      <c r="AO34" s="431">
        <f t="shared" si="2"/>
        <v>0</v>
      </c>
      <c r="AQ34" s="157"/>
      <c r="AR34" s="157"/>
      <c r="AS34" s="157"/>
    </row>
    <row r="35" ht="15.75" customHeight="1">
      <c r="A35" s="108"/>
      <c r="B35" s="111"/>
      <c r="C35" s="112"/>
      <c r="D35" s="112"/>
      <c r="E35" s="113"/>
      <c r="F35" s="390"/>
      <c r="G35" s="391"/>
      <c r="H35" s="391"/>
      <c r="I35" s="391"/>
      <c r="J35" s="390"/>
      <c r="K35" s="390"/>
      <c r="L35" s="392"/>
      <c r="M35" s="393"/>
      <c r="N35" s="394"/>
      <c r="O35" s="394"/>
      <c r="P35" s="394"/>
      <c r="Q35" s="394"/>
      <c r="R35" s="394"/>
      <c r="S35" s="394"/>
      <c r="T35" s="394"/>
      <c r="U35" s="394"/>
      <c r="V35" s="394"/>
      <c r="W35" s="394"/>
      <c r="X35" s="394"/>
      <c r="Y35" s="394"/>
      <c r="Z35" s="395"/>
      <c r="AA35" s="396"/>
      <c r="AB35" s="397"/>
      <c r="AC35" s="397"/>
      <c r="AD35" s="397"/>
      <c r="AE35" s="397"/>
      <c r="AF35" s="397"/>
      <c r="AG35" s="397"/>
      <c r="AH35" s="397"/>
      <c r="AI35" s="397"/>
      <c r="AJ35" s="397"/>
      <c r="AK35" s="397"/>
      <c r="AL35" s="397"/>
      <c r="AM35" s="397"/>
      <c r="AN35" s="397"/>
      <c r="AO35" s="431"/>
      <c r="AQ35" s="157"/>
      <c r="AR35" s="157"/>
      <c r="AS35" s="157"/>
    </row>
    <row r="36" ht="15.75" customHeight="1">
      <c r="A36" s="108"/>
      <c r="B36" s="111"/>
      <c r="C36" s="69" t="s">
        <v>84</v>
      </c>
      <c r="D36" s="70">
        <v>0.4</v>
      </c>
      <c r="E36" s="434">
        <v>611264.0</v>
      </c>
      <c r="F36" s="358"/>
      <c r="G36" s="359"/>
      <c r="H36" s="358"/>
      <c r="I36" s="359"/>
      <c r="J36" s="358"/>
      <c r="K36" s="360"/>
      <c r="L36" s="375"/>
      <c r="M36" s="398"/>
      <c r="N36" s="398"/>
      <c r="O36" s="398"/>
      <c r="P36" s="398"/>
      <c r="Q36" s="399"/>
      <c r="R36" s="400"/>
      <c r="S36" s="400"/>
      <c r="T36" s="400"/>
      <c r="U36" s="400"/>
      <c r="V36" s="400"/>
      <c r="W36" s="400"/>
      <c r="X36" s="400"/>
      <c r="Y36" s="400"/>
      <c r="Z36" s="400"/>
      <c r="AA36" s="399"/>
      <c r="AB36" s="372"/>
      <c r="AC36" s="388"/>
      <c r="AK36" s="372"/>
      <c r="AL36" s="372"/>
      <c r="AM36" s="372"/>
      <c r="AN36" s="372"/>
      <c r="AO36" s="431"/>
      <c r="AQ36" s="157"/>
      <c r="AR36" s="157"/>
      <c r="AS36" s="157"/>
    </row>
    <row r="37" ht="15.75" customHeight="1">
      <c r="A37" s="108"/>
      <c r="B37" s="111"/>
      <c r="C37" s="64"/>
      <c r="D37" s="64"/>
      <c r="E37" s="108"/>
      <c r="F37" s="191"/>
      <c r="G37" s="191"/>
      <c r="H37" s="191"/>
      <c r="I37" s="191"/>
      <c r="J37" s="191"/>
      <c r="K37" s="191"/>
      <c r="M37" s="191"/>
      <c r="N37" s="191"/>
      <c r="O37" s="191"/>
      <c r="P37" s="191"/>
      <c r="Q37" s="191"/>
      <c r="R37" s="191"/>
      <c r="S37" s="191"/>
      <c r="T37" s="191"/>
      <c r="U37" s="191"/>
      <c r="V37" s="191"/>
      <c r="W37" s="191"/>
      <c r="X37" s="191"/>
      <c r="Y37" s="191"/>
      <c r="Z37" s="191"/>
      <c r="AA37" s="191"/>
      <c r="AB37" s="372"/>
      <c r="AK37" s="372"/>
      <c r="AL37" s="372"/>
      <c r="AM37" s="372"/>
      <c r="AN37" s="372"/>
      <c r="AO37" s="431"/>
    </row>
    <row r="38" ht="15.75" customHeight="1">
      <c r="A38" s="108"/>
      <c r="B38" s="111"/>
      <c r="C38" s="64"/>
      <c r="D38" s="64"/>
      <c r="E38" s="108"/>
      <c r="F38" s="358" t="s">
        <v>237</v>
      </c>
      <c r="G38" s="359">
        <v>0.3</v>
      </c>
      <c r="H38" s="360">
        <f>E36*G38</f>
        <v>183379.2</v>
      </c>
      <c r="I38" s="359">
        <v>0.4</v>
      </c>
      <c r="J38" s="358" t="s">
        <v>234</v>
      </c>
      <c r="K38" s="360">
        <f>H38*I38</f>
        <v>73351.68</v>
      </c>
      <c r="L38" s="389" t="s">
        <v>220</v>
      </c>
      <c r="M38" s="401" t="s">
        <v>217</v>
      </c>
      <c r="N38" s="398" t="s">
        <v>43</v>
      </c>
      <c r="O38" s="398" t="s">
        <v>238</v>
      </c>
      <c r="P38" s="398" t="s">
        <v>215</v>
      </c>
      <c r="Q38" s="398">
        <v>2.0</v>
      </c>
      <c r="R38" s="400" t="s">
        <v>59</v>
      </c>
      <c r="S38" s="401">
        <v>0.5</v>
      </c>
      <c r="T38" s="400" t="s">
        <v>70</v>
      </c>
      <c r="U38" s="400" t="s">
        <v>70</v>
      </c>
      <c r="V38" s="400" t="s">
        <v>70</v>
      </c>
      <c r="W38" s="401">
        <v>2.5</v>
      </c>
      <c r="X38" s="399">
        <f>K38/S38</f>
        <v>146703.36</v>
      </c>
      <c r="Y38" s="400" t="s">
        <v>70</v>
      </c>
      <c r="Z38" s="400" t="s">
        <v>70</v>
      </c>
      <c r="AA38" s="399">
        <f>K38/W38*1000</f>
        <v>29340672</v>
      </c>
      <c r="AB38" s="372"/>
      <c r="AC38" s="372"/>
      <c r="AD38" s="372"/>
      <c r="AE38" s="388">
        <v>42359.0</v>
      </c>
      <c r="AF38" s="388">
        <v>45652.0</v>
      </c>
      <c r="AG38" s="388">
        <v>30756.0</v>
      </c>
      <c r="AK38" s="372"/>
      <c r="AL38" s="372"/>
      <c r="AM38" s="372"/>
      <c r="AN38" s="372"/>
      <c r="AO38" s="431">
        <f t="shared" ref="AO38:AO47" si="3">SUM(AB38:AN38)</f>
        <v>118767</v>
      </c>
    </row>
    <row r="39" ht="15.75" customHeight="1">
      <c r="A39" s="108"/>
      <c r="B39" s="111"/>
      <c r="C39" s="64"/>
      <c r="D39" s="64"/>
      <c r="E39" s="108"/>
      <c r="F39" s="109"/>
      <c r="G39" s="109"/>
      <c r="H39" s="109"/>
      <c r="I39" s="191"/>
      <c r="J39" s="191"/>
      <c r="K39" s="191"/>
      <c r="M39" s="191"/>
      <c r="N39" s="191"/>
      <c r="O39" s="191"/>
      <c r="P39" s="109"/>
      <c r="Q39" s="191"/>
      <c r="R39" s="191"/>
      <c r="S39" s="191"/>
      <c r="T39" s="191"/>
      <c r="U39" s="191"/>
      <c r="V39" s="191"/>
      <c r="W39" s="191"/>
      <c r="X39" s="191"/>
      <c r="Y39" s="191"/>
      <c r="Z39" s="191"/>
      <c r="AA39" s="191"/>
      <c r="AB39" s="372"/>
      <c r="AC39" s="372"/>
      <c r="AD39" s="372"/>
      <c r="AK39" s="372"/>
      <c r="AL39" s="372"/>
      <c r="AM39" s="372"/>
      <c r="AN39" s="372"/>
      <c r="AO39" s="431">
        <f t="shared" si="3"/>
        <v>0</v>
      </c>
    </row>
    <row r="40" ht="15.75" customHeight="1">
      <c r="A40" s="108"/>
      <c r="B40" s="111"/>
      <c r="C40" s="64"/>
      <c r="D40" s="64"/>
      <c r="E40" s="108"/>
      <c r="F40" s="109"/>
      <c r="G40" s="109"/>
      <c r="H40" s="109"/>
      <c r="I40" s="359">
        <v>0.6</v>
      </c>
      <c r="J40" s="358" t="s">
        <v>231</v>
      </c>
      <c r="K40" s="360">
        <f>H38*I40</f>
        <v>110027.52</v>
      </c>
      <c r="L40" s="389" t="s">
        <v>220</v>
      </c>
      <c r="M40" s="401" t="s">
        <v>217</v>
      </c>
      <c r="N40" s="398" t="s">
        <v>43</v>
      </c>
      <c r="O40" s="398" t="s">
        <v>238</v>
      </c>
      <c r="P40" s="109"/>
      <c r="Q40" s="398">
        <v>2.0</v>
      </c>
      <c r="R40" s="400" t="s">
        <v>59</v>
      </c>
      <c r="S40" s="401">
        <v>0.5</v>
      </c>
      <c r="T40" s="400" t="s">
        <v>70</v>
      </c>
      <c r="U40" s="400" t="s">
        <v>70</v>
      </c>
      <c r="V40" s="400" t="s">
        <v>70</v>
      </c>
      <c r="W40" s="401">
        <v>2.5</v>
      </c>
      <c r="X40" s="399">
        <f>K40/S40</f>
        <v>220055.04</v>
      </c>
      <c r="Y40" s="400" t="s">
        <v>70</v>
      </c>
      <c r="Z40" s="400" t="s">
        <v>70</v>
      </c>
      <c r="AA40" s="399">
        <f>K40/W40*1000</f>
        <v>44011008</v>
      </c>
      <c r="AB40" s="372"/>
      <c r="AC40" s="372"/>
      <c r="AD40" s="372"/>
      <c r="AE40" s="372"/>
      <c r="AF40" s="372"/>
      <c r="AG40" s="372"/>
      <c r="AH40" s="372"/>
      <c r="AI40" s="372"/>
      <c r="AJ40" s="372"/>
      <c r="AK40" s="388">
        <v>64612.0</v>
      </c>
      <c r="AO40" s="431">
        <f t="shared" si="3"/>
        <v>64612</v>
      </c>
    </row>
    <row r="41" ht="15.75" customHeight="1">
      <c r="A41" s="108"/>
      <c r="B41" s="111"/>
      <c r="C41" s="64"/>
      <c r="D41" s="64"/>
      <c r="E41" s="108"/>
      <c r="F41" s="191"/>
      <c r="G41" s="191"/>
      <c r="H41" s="191"/>
      <c r="I41" s="191"/>
      <c r="J41" s="191"/>
      <c r="K41" s="191"/>
      <c r="M41" s="191"/>
      <c r="N41" s="191"/>
      <c r="O41" s="191"/>
      <c r="P41" s="191"/>
      <c r="Q41" s="191"/>
      <c r="R41" s="191"/>
      <c r="S41" s="191"/>
      <c r="T41" s="191"/>
      <c r="U41" s="191"/>
      <c r="V41" s="191"/>
      <c r="W41" s="191"/>
      <c r="X41" s="191"/>
      <c r="Y41" s="191"/>
      <c r="Z41" s="191"/>
      <c r="AA41" s="191"/>
      <c r="AB41" s="372"/>
      <c r="AC41" s="372"/>
      <c r="AD41" s="372"/>
      <c r="AE41" s="372"/>
      <c r="AF41" s="372"/>
      <c r="AG41" s="372"/>
      <c r="AH41" s="372"/>
      <c r="AI41" s="372"/>
      <c r="AJ41" s="372"/>
      <c r="AO41" s="431">
        <f t="shared" si="3"/>
        <v>0</v>
      </c>
    </row>
    <row r="42" ht="15.75" customHeight="1">
      <c r="A42" s="108"/>
      <c r="B42" s="111"/>
      <c r="C42" s="64"/>
      <c r="D42" s="64"/>
      <c r="E42" s="108"/>
      <c r="F42" s="358" t="s">
        <v>239</v>
      </c>
      <c r="G42" s="359">
        <v>0.4</v>
      </c>
      <c r="H42" s="360">
        <f>E36*G42</f>
        <v>244505.6</v>
      </c>
      <c r="I42" s="361">
        <f>K42/H42</f>
        <v>0.59375</v>
      </c>
      <c r="J42" s="362" t="s">
        <v>234</v>
      </c>
      <c r="K42" s="363">
        <f>AC42</f>
        <v>145175.2</v>
      </c>
      <c r="L42" s="402" t="s">
        <v>216</v>
      </c>
      <c r="M42" s="403" t="s">
        <v>240</v>
      </c>
      <c r="N42" s="403" t="s">
        <v>43</v>
      </c>
      <c r="O42" s="403" t="s">
        <v>241</v>
      </c>
      <c r="P42" s="398" t="s">
        <v>242</v>
      </c>
      <c r="Q42" s="403">
        <v>1.0</v>
      </c>
      <c r="R42" s="403" t="s">
        <v>59</v>
      </c>
      <c r="S42" s="403" t="s">
        <v>70</v>
      </c>
      <c r="T42" s="403" t="s">
        <v>70</v>
      </c>
      <c r="U42" s="403" t="s">
        <v>70</v>
      </c>
      <c r="V42" s="403" t="s">
        <v>70</v>
      </c>
      <c r="W42" s="404">
        <v>2.5</v>
      </c>
      <c r="X42" s="403" t="s">
        <v>70</v>
      </c>
      <c r="Y42" s="403" t="s">
        <v>70</v>
      </c>
      <c r="Z42" s="403" t="s">
        <v>70</v>
      </c>
      <c r="AA42" s="405">
        <f t="shared" ref="AA42:AA44" si="4">K42/W42*1000</f>
        <v>58070080</v>
      </c>
      <c r="AB42" s="370"/>
      <c r="AC42" s="370">
        <v>145175.2</v>
      </c>
      <c r="AG42" s="372"/>
      <c r="AH42" s="372"/>
      <c r="AI42" s="372"/>
      <c r="AJ42" s="372"/>
      <c r="AK42" s="372"/>
      <c r="AL42" s="372"/>
      <c r="AM42" s="372"/>
      <c r="AN42" s="372"/>
      <c r="AO42" s="431">
        <f t="shared" si="3"/>
        <v>145175.2</v>
      </c>
    </row>
    <row r="43" ht="15.75" customHeight="1">
      <c r="A43" s="108"/>
      <c r="B43" s="111"/>
      <c r="C43" s="64"/>
      <c r="D43" s="64"/>
      <c r="E43" s="108"/>
      <c r="F43" s="191"/>
      <c r="G43" s="191"/>
      <c r="H43" s="191"/>
      <c r="I43" s="361">
        <f>K43/H42</f>
        <v>0.40625</v>
      </c>
      <c r="J43" s="362" t="s">
        <v>231</v>
      </c>
      <c r="K43" s="363">
        <f>H42-K42</f>
        <v>99330.4</v>
      </c>
      <c r="L43" s="406" t="s">
        <v>220</v>
      </c>
      <c r="M43" s="403" t="s">
        <v>240</v>
      </c>
      <c r="N43" s="403" t="s">
        <v>43</v>
      </c>
      <c r="O43" s="403" t="s">
        <v>241</v>
      </c>
      <c r="P43" s="191"/>
      <c r="Q43" s="403">
        <v>1.0</v>
      </c>
      <c r="R43" s="403" t="s">
        <v>59</v>
      </c>
      <c r="S43" s="403" t="s">
        <v>70</v>
      </c>
      <c r="T43" s="403" t="s">
        <v>70</v>
      </c>
      <c r="U43" s="403" t="s">
        <v>70</v>
      </c>
      <c r="V43" s="403" t="s">
        <v>70</v>
      </c>
      <c r="W43" s="404">
        <v>2.5</v>
      </c>
      <c r="X43" s="403" t="s">
        <v>70</v>
      </c>
      <c r="Y43" s="403" t="s">
        <v>70</v>
      </c>
      <c r="Z43" s="403" t="s">
        <v>70</v>
      </c>
      <c r="AA43" s="405">
        <f t="shared" si="4"/>
        <v>39732160</v>
      </c>
      <c r="AB43" s="372"/>
      <c r="AC43" s="372"/>
      <c r="AD43" s="372"/>
      <c r="AE43" s="372"/>
      <c r="AF43" s="446">
        <v>3487.0</v>
      </c>
      <c r="AG43" s="388">
        <v>47036.0</v>
      </c>
      <c r="AK43" s="388">
        <v>48808.0</v>
      </c>
      <c r="AO43" s="431">
        <f t="shared" si="3"/>
        <v>99331</v>
      </c>
    </row>
    <row r="44" ht="15.75" customHeight="1">
      <c r="A44" s="108"/>
      <c r="B44" s="111"/>
      <c r="C44" s="64"/>
      <c r="D44" s="64"/>
      <c r="E44" s="108"/>
      <c r="F44" s="387" t="s">
        <v>243</v>
      </c>
      <c r="G44" s="359">
        <v>0.3</v>
      </c>
      <c r="H44" s="360">
        <f>E36*G44</f>
        <v>183379.2</v>
      </c>
      <c r="I44" s="359">
        <v>0.4</v>
      </c>
      <c r="J44" s="358" t="s">
        <v>234</v>
      </c>
      <c r="K44" s="360">
        <f>H44*I44</f>
        <v>73351.68</v>
      </c>
      <c r="L44" s="402" t="s">
        <v>216</v>
      </c>
      <c r="M44" s="398" t="s">
        <v>104</v>
      </c>
      <c r="N44" s="398" t="s">
        <v>43</v>
      </c>
      <c r="O44" s="398" t="str">
        <f>M44</f>
        <v>BANNER</v>
      </c>
      <c r="P44" s="398" t="s">
        <v>103</v>
      </c>
      <c r="Q44" s="398">
        <v>2.0</v>
      </c>
      <c r="R44" s="398" t="s">
        <v>59</v>
      </c>
      <c r="S44" s="400" t="s">
        <v>70</v>
      </c>
      <c r="T44" s="400" t="s">
        <v>70</v>
      </c>
      <c r="U44" s="400" t="s">
        <v>70</v>
      </c>
      <c r="V44" s="400" t="s">
        <v>70</v>
      </c>
      <c r="W44" s="401">
        <v>5.8</v>
      </c>
      <c r="X44" s="400" t="s">
        <v>70</v>
      </c>
      <c r="Y44" s="400" t="s">
        <v>70</v>
      </c>
      <c r="Z44" s="400" t="s">
        <v>70</v>
      </c>
      <c r="AA44" s="399">
        <f t="shared" si="4"/>
        <v>12646841.38</v>
      </c>
      <c r="AB44" s="370"/>
      <c r="AC44" s="370">
        <f>K44</f>
        <v>73351.68</v>
      </c>
      <c r="AG44" s="372"/>
      <c r="AH44" s="372"/>
      <c r="AI44" s="372"/>
      <c r="AJ44" s="372"/>
      <c r="AK44" s="372"/>
      <c r="AL44" s="372"/>
      <c r="AM44" s="372"/>
      <c r="AN44" s="372"/>
      <c r="AO44" s="431">
        <f t="shared" si="3"/>
        <v>73351.68</v>
      </c>
    </row>
    <row r="45" ht="15.75" customHeight="1">
      <c r="A45" s="108"/>
      <c r="B45" s="111"/>
      <c r="C45" s="64"/>
      <c r="D45" s="64"/>
      <c r="E45" s="108"/>
      <c r="F45" s="109"/>
      <c r="G45" s="109"/>
      <c r="H45" s="109"/>
      <c r="I45" s="191"/>
      <c r="J45" s="191"/>
      <c r="K45" s="191"/>
      <c r="M45" s="191"/>
      <c r="N45" s="191"/>
      <c r="O45" s="191"/>
      <c r="P45" s="109"/>
      <c r="Q45" s="191"/>
      <c r="R45" s="191"/>
      <c r="S45" s="191"/>
      <c r="T45" s="191"/>
      <c r="U45" s="191"/>
      <c r="V45" s="191"/>
      <c r="W45" s="191"/>
      <c r="X45" s="191"/>
      <c r="Y45" s="191"/>
      <c r="Z45" s="191"/>
      <c r="AA45" s="191"/>
      <c r="AB45" s="370"/>
      <c r="AG45" s="372"/>
      <c r="AH45" s="372"/>
      <c r="AI45" s="372"/>
      <c r="AJ45" s="372"/>
      <c r="AK45" s="372"/>
      <c r="AL45" s="372"/>
      <c r="AM45" s="372"/>
      <c r="AN45" s="372"/>
      <c r="AO45" s="431">
        <f t="shared" si="3"/>
        <v>0</v>
      </c>
    </row>
    <row r="46" ht="15.75" customHeight="1">
      <c r="A46" s="108"/>
      <c r="B46" s="111"/>
      <c r="C46" s="64"/>
      <c r="D46" s="64"/>
      <c r="E46" s="108"/>
      <c r="F46" s="109"/>
      <c r="G46" s="109"/>
      <c r="H46" s="109"/>
      <c r="I46" s="359">
        <v>0.6</v>
      </c>
      <c r="J46" s="358" t="s">
        <v>231</v>
      </c>
      <c r="K46" s="360">
        <f>H44*I46</f>
        <v>110027.52</v>
      </c>
      <c r="L46" s="407" t="s">
        <v>220</v>
      </c>
      <c r="M46" s="398" t="s">
        <v>244</v>
      </c>
      <c r="N46" s="398" t="s">
        <v>40</v>
      </c>
      <c r="O46" s="398" t="str">
        <f>M46</f>
        <v>VIDEO BANNER</v>
      </c>
      <c r="P46" s="109"/>
      <c r="Q46" s="398" t="s">
        <v>245</v>
      </c>
      <c r="R46" s="398" t="s">
        <v>59</v>
      </c>
      <c r="S46" s="401">
        <v>0.07</v>
      </c>
      <c r="T46" s="400" t="s">
        <v>70</v>
      </c>
      <c r="U46" s="400" t="s">
        <v>70</v>
      </c>
      <c r="V46" s="400" t="s">
        <v>70</v>
      </c>
      <c r="W46" s="400" t="s">
        <v>70</v>
      </c>
      <c r="X46" s="399">
        <f>K46/S46</f>
        <v>1571821.714</v>
      </c>
      <c r="Y46" s="400" t="s">
        <v>70</v>
      </c>
      <c r="Z46" s="400" t="s">
        <v>70</v>
      </c>
      <c r="AA46" s="400" t="s">
        <v>70</v>
      </c>
      <c r="AB46" s="372"/>
      <c r="AC46" s="388">
        <f>K46</f>
        <v>110027.52</v>
      </c>
      <c r="AG46" s="408"/>
      <c r="AH46" s="372"/>
      <c r="AI46" s="372"/>
      <c r="AJ46" s="372"/>
      <c r="AO46" s="431">
        <f t="shared" si="3"/>
        <v>110027.52</v>
      </c>
    </row>
    <row r="47" ht="15.75" customHeight="1">
      <c r="A47" s="108"/>
      <c r="B47" s="111"/>
      <c r="C47" s="64"/>
      <c r="D47" s="64"/>
      <c r="E47" s="108"/>
      <c r="F47" s="191"/>
      <c r="G47" s="191"/>
      <c r="H47" s="191"/>
      <c r="I47" s="191"/>
      <c r="J47" s="191"/>
      <c r="K47" s="191"/>
      <c r="M47" s="191"/>
      <c r="N47" s="191"/>
      <c r="O47" s="191"/>
      <c r="P47" s="191"/>
      <c r="Q47" s="191"/>
      <c r="R47" s="191"/>
      <c r="S47" s="191"/>
      <c r="T47" s="191"/>
      <c r="U47" s="191"/>
      <c r="V47" s="191"/>
      <c r="W47" s="191"/>
      <c r="X47" s="191"/>
      <c r="Y47" s="191"/>
      <c r="Z47" s="191"/>
      <c r="AA47" s="191"/>
      <c r="AB47" s="372"/>
      <c r="AG47" s="408"/>
      <c r="AH47" s="372"/>
      <c r="AI47" s="372"/>
      <c r="AJ47" s="372"/>
      <c r="AO47" s="431">
        <f t="shared" si="3"/>
        <v>0</v>
      </c>
    </row>
    <row r="48" ht="15.75" customHeight="1">
      <c r="A48" s="108"/>
      <c r="B48" s="111"/>
      <c r="C48" s="64"/>
      <c r="D48" s="64"/>
      <c r="E48" s="108"/>
      <c r="F48" s="358"/>
      <c r="G48" s="359"/>
      <c r="H48" s="358"/>
      <c r="I48" s="359"/>
      <c r="J48" s="358"/>
      <c r="K48" s="360"/>
      <c r="L48" s="407"/>
      <c r="M48" s="398"/>
      <c r="N48" s="398"/>
      <c r="O48" s="398"/>
      <c r="P48" s="398"/>
      <c r="Q48" s="398"/>
      <c r="R48" s="398"/>
      <c r="S48" s="400"/>
      <c r="T48" s="400"/>
      <c r="U48" s="400"/>
      <c r="V48" s="401"/>
      <c r="W48" s="400"/>
      <c r="X48" s="400"/>
      <c r="Y48" s="400"/>
      <c r="Z48" s="399"/>
      <c r="AA48" s="400"/>
      <c r="AB48" s="372"/>
      <c r="AC48" s="388"/>
      <c r="AG48" s="388"/>
      <c r="AO48" s="431"/>
    </row>
    <row r="49" ht="15.75" customHeight="1">
      <c r="A49" s="108"/>
      <c r="B49" s="111"/>
      <c r="C49" s="64"/>
      <c r="D49" s="64"/>
      <c r="E49" s="108"/>
      <c r="F49" s="109"/>
      <c r="G49" s="109"/>
      <c r="H49" s="109"/>
      <c r="I49" s="109"/>
      <c r="J49" s="109"/>
      <c r="K49" s="109"/>
      <c r="M49" s="109"/>
      <c r="N49" s="109"/>
      <c r="O49" s="109"/>
      <c r="P49" s="109"/>
      <c r="Q49" s="109"/>
      <c r="R49" s="109"/>
      <c r="S49" s="191"/>
      <c r="T49" s="191"/>
      <c r="U49" s="191"/>
      <c r="V49" s="191"/>
      <c r="W49" s="191"/>
      <c r="X49" s="191"/>
      <c r="Y49" s="191"/>
      <c r="Z49" s="191"/>
      <c r="AA49" s="191"/>
      <c r="AB49" s="372"/>
      <c r="AO49" s="431"/>
    </row>
    <row r="50" ht="15.75" customHeight="1">
      <c r="A50" s="78"/>
      <c r="B50" s="240"/>
      <c r="C50" s="65"/>
      <c r="D50" s="65"/>
      <c r="E50" s="78"/>
      <c r="F50" s="191"/>
      <c r="G50" s="191"/>
      <c r="H50" s="191"/>
      <c r="I50" s="191"/>
      <c r="J50" s="191"/>
      <c r="K50" s="191"/>
      <c r="M50" s="191"/>
      <c r="N50" s="191"/>
      <c r="O50" s="191"/>
      <c r="P50" s="191"/>
      <c r="Q50" s="191"/>
      <c r="R50" s="191"/>
      <c r="S50" s="403"/>
      <c r="T50" s="403"/>
      <c r="U50" s="403"/>
      <c r="V50" s="403"/>
      <c r="W50" s="403"/>
      <c r="X50" s="403"/>
      <c r="Y50" s="403"/>
      <c r="Z50" s="403"/>
      <c r="AA50" s="403"/>
      <c r="AB50" s="372"/>
      <c r="AO50" s="431"/>
    </row>
    <row r="51" ht="15.75" customHeight="1">
      <c r="A51" s="196" t="s">
        <v>115</v>
      </c>
      <c r="B51" s="196"/>
      <c r="C51" s="196"/>
      <c r="D51" s="196"/>
      <c r="E51" s="197">
        <f>E36+E19+E17</f>
        <v>1818531</v>
      </c>
      <c r="F51" s="409"/>
      <c r="G51" s="409"/>
      <c r="H51" s="447">
        <f>H44+H42+H38+H31+H19+H17</f>
        <v>1818531</v>
      </c>
      <c r="I51" s="409"/>
      <c r="J51" s="409"/>
      <c r="K51" s="447">
        <f>SUM(K17:K50)</f>
        <v>1818531.35</v>
      </c>
      <c r="L51" s="410"/>
      <c r="M51" s="410"/>
      <c r="N51" s="410"/>
      <c r="O51" s="410"/>
      <c r="P51" s="410"/>
      <c r="Q51" s="410"/>
      <c r="R51" s="410"/>
      <c r="S51" s="410"/>
      <c r="T51" s="410"/>
      <c r="U51" s="410"/>
      <c r="V51" s="410"/>
      <c r="W51" s="410"/>
      <c r="X51" s="410"/>
      <c r="Y51" s="410"/>
      <c r="Z51" s="410"/>
      <c r="AA51" s="410"/>
      <c r="AB51" s="411">
        <f>sum(AB17:AB50)</f>
        <v>75174.75417</v>
      </c>
      <c r="AC51" s="411">
        <f>SUM(AC17:AF50)</f>
        <v>958688.3167</v>
      </c>
      <c r="AG51" s="411">
        <f>SUM(AG17:AJ50)</f>
        <v>564267.9917</v>
      </c>
      <c r="AK51" s="411">
        <f>SUM(AK17:AN50)</f>
        <v>220400.0813</v>
      </c>
      <c r="AO51" s="410"/>
      <c r="AP51" s="448">
        <f>SUM(AO17:AP50)</f>
        <v>1818531.144</v>
      </c>
      <c r="AQ51" s="410"/>
      <c r="AR51" s="410"/>
      <c r="AS51" s="410"/>
    </row>
    <row r="52" ht="46.5" customHeight="1">
      <c r="AB52" s="372"/>
      <c r="AC52" s="372"/>
      <c r="AD52" s="449">
        <f>N61-AC51</f>
        <v>-0.3166666667</v>
      </c>
      <c r="AF52" s="372"/>
      <c r="AG52" s="450">
        <f>AG51-O61</f>
        <v>-0.008333333302</v>
      </c>
      <c r="AK52" s="372"/>
      <c r="AL52" s="450">
        <f>AK51-P61</f>
        <v>0.08124999999</v>
      </c>
      <c r="AO52" s="412" t="s">
        <v>248</v>
      </c>
      <c r="AP52" s="413">
        <f>AB51+AC51+AG51+AK51</f>
        <v>1818531.144</v>
      </c>
    </row>
    <row r="53" ht="15.75" customHeight="1">
      <c r="T53" s="451">
        <f>AG33-3402</f>
        <v>230848</v>
      </c>
      <c r="Y53" s="157" t="s">
        <v>252</v>
      </c>
      <c r="AB53" s="372"/>
      <c r="AC53" s="372"/>
      <c r="AD53" s="372"/>
      <c r="AE53" s="372"/>
      <c r="AF53" s="372"/>
      <c r="AG53" s="372"/>
      <c r="AH53" s="372"/>
      <c r="AI53" s="372"/>
      <c r="AJ53" s="372"/>
      <c r="AK53" s="372"/>
      <c r="AL53" s="372"/>
      <c r="AM53" s="372"/>
    </row>
    <row r="54" ht="15.75" customHeight="1">
      <c r="Y54" s="414" t="s">
        <v>19</v>
      </c>
      <c r="Z54" s="415">
        <f>AB51</f>
        <v>75174.75417</v>
      </c>
      <c r="AH54" s="172"/>
    </row>
    <row r="55" ht="15.75" customHeight="1">
      <c r="E55" s="172"/>
      <c r="G55" s="450">
        <f>E36-H38-H42-H44</f>
        <v>0</v>
      </c>
      <c r="Y55" s="414" t="s">
        <v>249</v>
      </c>
      <c r="Z55" s="415">
        <f>AC51</f>
        <v>958688.3167</v>
      </c>
      <c r="AH55" s="452"/>
      <c r="AI55" s="453"/>
      <c r="AL55" s="158">
        <f>AK51-220400</f>
        <v>0.08124999999</v>
      </c>
    </row>
    <row r="56" ht="15.75" customHeight="1">
      <c r="Y56" s="414" t="s">
        <v>250</v>
      </c>
      <c r="Z56" s="415">
        <f>AG51</f>
        <v>564267.9917</v>
      </c>
    </row>
    <row r="57" ht="15.75" customHeight="1">
      <c r="Y57" s="414" t="s">
        <v>251</v>
      </c>
      <c r="Z57" s="415">
        <f>AK51</f>
        <v>220400.0813</v>
      </c>
    </row>
    <row r="58" ht="15.75" customHeight="1">
      <c r="B58" s="158">
        <f>E19-91669</f>
        <v>924578</v>
      </c>
      <c r="J58" s="157"/>
      <c r="K58" s="416" t="s">
        <v>196</v>
      </c>
      <c r="Q58" s="157"/>
      <c r="W58" s="172"/>
      <c r="AB58" s="158">
        <f>AG43-886</f>
        <v>46150</v>
      </c>
    </row>
    <row r="59" ht="15.75" customHeight="1">
      <c r="J59" s="157"/>
      <c r="Q59" s="157"/>
      <c r="T59" s="454">
        <f>O61-AG51</f>
        <v>0.008333333302</v>
      </c>
    </row>
    <row r="60" ht="15.75" customHeight="1">
      <c r="J60" s="417"/>
      <c r="K60" s="418" t="s">
        <v>169</v>
      </c>
      <c r="L60" s="419" t="s">
        <v>170</v>
      </c>
      <c r="M60" s="143"/>
      <c r="N60" s="418" t="s">
        <v>171</v>
      </c>
      <c r="O60" s="418" t="s">
        <v>172</v>
      </c>
      <c r="P60" s="418" t="s">
        <v>173</v>
      </c>
      <c r="Q60" s="157"/>
    </row>
    <row r="61" ht="15.75" customHeight="1">
      <c r="J61" s="420" t="s">
        <v>174</v>
      </c>
      <c r="K61" s="421"/>
      <c r="L61" s="422">
        <v>166844.0</v>
      </c>
      <c r="N61" s="423">
        <v>958688.0</v>
      </c>
      <c r="O61" s="424">
        <v>564268.0</v>
      </c>
      <c r="P61" s="425">
        <v>220400.0</v>
      </c>
      <c r="Q61" s="426">
        <f>L61+N61+O61+P61</f>
        <v>1910200</v>
      </c>
      <c r="Y61" s="157" t="s">
        <v>253</v>
      </c>
      <c r="AP61" s="455"/>
    </row>
    <row r="62" ht="15.75" customHeight="1">
      <c r="Y62" s="415" t="s">
        <v>19</v>
      </c>
      <c r="Z62" s="415">
        <v>75174.75416666667</v>
      </c>
      <c r="AN62" s="158">
        <f>AK51+29191</f>
        <v>249591.0813</v>
      </c>
      <c r="AP62" s="455" t="s">
        <v>254</v>
      </c>
    </row>
    <row r="63" ht="15.75" customHeight="1">
      <c r="Y63" s="415" t="s">
        <v>249</v>
      </c>
      <c r="Z63" s="415">
        <f>958687.804166667-R72-T72</f>
        <v>787298.8042</v>
      </c>
      <c r="AP63" s="456">
        <f>Q61-AP52</f>
        <v>91668.85625</v>
      </c>
    </row>
    <row r="64" ht="15.75" customHeight="1">
      <c r="G64" s="457" t="s">
        <v>255</v>
      </c>
      <c r="H64" s="458">
        <v>91669.0</v>
      </c>
      <c r="L64" s="454">
        <f>L61-AB51</f>
        <v>91669.24583</v>
      </c>
      <c r="Y64" s="415" t="s">
        <v>250</v>
      </c>
      <c r="Z64" s="415">
        <v>564267.9916666667</v>
      </c>
      <c r="AP64" s="455"/>
    </row>
    <row r="65" ht="15.75" customHeight="1">
      <c r="G65" s="191"/>
      <c r="H65" s="191"/>
      <c r="Y65" s="415" t="s">
        <v>251</v>
      </c>
      <c r="Z65" s="415">
        <v>312069.075</v>
      </c>
    </row>
    <row r="66" ht="15.75" customHeight="1"/>
    <row r="67" ht="15.75" customHeight="1"/>
    <row r="68" ht="15.75" customHeight="1"/>
    <row r="69" ht="15.75" customHeight="1"/>
    <row r="70" ht="15.75" customHeight="1"/>
    <row r="71" ht="15.75" customHeight="1">
      <c r="R71" s="157">
        <v>525000.0</v>
      </c>
      <c r="T71" s="157">
        <v>229000.0</v>
      </c>
    </row>
    <row r="72" ht="15.75" customHeight="1">
      <c r="R72" s="157">
        <v>95205.0</v>
      </c>
      <c r="T72" s="157">
        <v>76184.0</v>
      </c>
    </row>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39">
    <mergeCell ref="Z31:Z32"/>
    <mergeCell ref="AA31:AA32"/>
    <mergeCell ref="AC31:AD32"/>
    <mergeCell ref="AE31:AF32"/>
    <mergeCell ref="AO31:AP31"/>
    <mergeCell ref="AO32:AP32"/>
    <mergeCell ref="AO34:AP34"/>
    <mergeCell ref="I33:I34"/>
    <mergeCell ref="J33:J34"/>
    <mergeCell ref="K33:K34"/>
    <mergeCell ref="L33:L34"/>
    <mergeCell ref="M33:M34"/>
    <mergeCell ref="N33:N34"/>
    <mergeCell ref="O33:O34"/>
    <mergeCell ref="P33:P34"/>
    <mergeCell ref="AK33:AL34"/>
    <mergeCell ref="AO33:AP33"/>
    <mergeCell ref="V33:V34"/>
    <mergeCell ref="W33:W34"/>
    <mergeCell ref="X33:X34"/>
    <mergeCell ref="Y33:Y34"/>
    <mergeCell ref="Z33:Z34"/>
    <mergeCell ref="AA33:AA34"/>
    <mergeCell ref="AG33:AJ34"/>
    <mergeCell ref="E19:E34"/>
    <mergeCell ref="F19:F30"/>
    <mergeCell ref="AO16:AP16"/>
    <mergeCell ref="AO19:AP19"/>
    <mergeCell ref="Y21:Y22"/>
    <mergeCell ref="Z21:Z22"/>
    <mergeCell ref="AH19:AH20"/>
    <mergeCell ref="S21:S22"/>
    <mergeCell ref="T21:T22"/>
    <mergeCell ref="U21:U22"/>
    <mergeCell ref="V21:V22"/>
    <mergeCell ref="W21:W22"/>
    <mergeCell ref="X21:X22"/>
    <mergeCell ref="AH21:AH22"/>
    <mergeCell ref="AA21:AA22"/>
    <mergeCell ref="AG21:AG22"/>
    <mergeCell ref="AO20:AP20"/>
    <mergeCell ref="AO21:AP21"/>
    <mergeCell ref="V31:V32"/>
    <mergeCell ref="W31:W32"/>
    <mergeCell ref="Q33:Q34"/>
    <mergeCell ref="R33:R34"/>
    <mergeCell ref="S33:S34"/>
    <mergeCell ref="T33:T34"/>
    <mergeCell ref="U33:U34"/>
    <mergeCell ref="C19:C34"/>
    <mergeCell ref="D19:D34"/>
    <mergeCell ref="F31:F34"/>
    <mergeCell ref="G31:G34"/>
    <mergeCell ref="H31:H34"/>
    <mergeCell ref="I19:I20"/>
    <mergeCell ref="J19:J20"/>
    <mergeCell ref="K19:K20"/>
    <mergeCell ref="L19:L20"/>
    <mergeCell ref="L21:L22"/>
    <mergeCell ref="M19:M20"/>
    <mergeCell ref="N19:N20"/>
    <mergeCell ref="M21:M22"/>
    <mergeCell ref="N21:N22"/>
    <mergeCell ref="I21:I30"/>
    <mergeCell ref="I31:I32"/>
    <mergeCell ref="J31:J32"/>
    <mergeCell ref="K31:K32"/>
    <mergeCell ref="L31:L32"/>
    <mergeCell ref="M31:M32"/>
    <mergeCell ref="N31:N32"/>
    <mergeCell ref="G19:G30"/>
    <mergeCell ref="H19:H30"/>
    <mergeCell ref="J23:J30"/>
    <mergeCell ref="K23:K30"/>
    <mergeCell ref="L23:L30"/>
    <mergeCell ref="M23:M30"/>
    <mergeCell ref="N23:N30"/>
    <mergeCell ref="O31:O32"/>
    <mergeCell ref="P31:P32"/>
    <mergeCell ref="AI21:AI22"/>
    <mergeCell ref="S23:S30"/>
    <mergeCell ref="T23:T30"/>
    <mergeCell ref="U23:U30"/>
    <mergeCell ref="V23:V30"/>
    <mergeCell ref="W23:W30"/>
    <mergeCell ref="Y23:Y30"/>
    <mergeCell ref="AG24:AH24"/>
    <mergeCell ref="AC15:AF15"/>
    <mergeCell ref="AG15:AJ15"/>
    <mergeCell ref="AK15:AN15"/>
    <mergeCell ref="AO15:AP15"/>
    <mergeCell ref="A16:B16"/>
    <mergeCell ref="AO24:AP24"/>
    <mergeCell ref="AO35:AP35"/>
    <mergeCell ref="I36:I37"/>
    <mergeCell ref="J36:J37"/>
    <mergeCell ref="K36:K37"/>
    <mergeCell ref="L36:L37"/>
    <mergeCell ref="M36:M37"/>
    <mergeCell ref="N36:N37"/>
    <mergeCell ref="O36:O37"/>
    <mergeCell ref="W36:W37"/>
    <mergeCell ref="X36:X37"/>
    <mergeCell ref="Y36:Y37"/>
    <mergeCell ref="Z36:Z37"/>
    <mergeCell ref="AA36:AA37"/>
    <mergeCell ref="AC36:AF37"/>
    <mergeCell ref="AO36:AP36"/>
    <mergeCell ref="AO37:AP37"/>
    <mergeCell ref="P36:P37"/>
    <mergeCell ref="Q36:Q37"/>
    <mergeCell ref="R36:R37"/>
    <mergeCell ref="S36:S37"/>
    <mergeCell ref="T36:T37"/>
    <mergeCell ref="U36:U37"/>
    <mergeCell ref="V36:V37"/>
    <mergeCell ref="AK40:AN41"/>
    <mergeCell ref="AO40:AP40"/>
    <mergeCell ref="AO41:AP41"/>
    <mergeCell ref="AO42:AP42"/>
    <mergeCell ref="AK43:AN43"/>
    <mergeCell ref="AO43:AP43"/>
    <mergeCell ref="AO44:AP44"/>
    <mergeCell ref="AO45:AP45"/>
    <mergeCell ref="AA40:AA41"/>
    <mergeCell ref="AC42:AF42"/>
    <mergeCell ref="AG43:AJ43"/>
    <mergeCell ref="AC44:AF45"/>
    <mergeCell ref="U40:U41"/>
    <mergeCell ref="V40:V41"/>
    <mergeCell ref="W40:W41"/>
    <mergeCell ref="X40:X41"/>
    <mergeCell ref="Y40:Y41"/>
    <mergeCell ref="Z40:Z41"/>
    <mergeCell ref="P42:P43"/>
    <mergeCell ref="N46:N47"/>
    <mergeCell ref="O46:O47"/>
    <mergeCell ref="K58:P59"/>
    <mergeCell ref="L60:M60"/>
    <mergeCell ref="L61:M61"/>
    <mergeCell ref="G64:G65"/>
    <mergeCell ref="H64:H65"/>
    <mergeCell ref="Q46:Q47"/>
    <mergeCell ref="R46:R47"/>
    <mergeCell ref="N44:N45"/>
    <mergeCell ref="O44:O45"/>
    <mergeCell ref="P44:P47"/>
    <mergeCell ref="Q44:Q45"/>
    <mergeCell ref="R44:R45"/>
    <mergeCell ref="S44:S45"/>
    <mergeCell ref="T44:T45"/>
    <mergeCell ref="AO48:AP48"/>
    <mergeCell ref="AO49:AP49"/>
    <mergeCell ref="AO52:AO55"/>
    <mergeCell ref="AP52:AR55"/>
    <mergeCell ref="AC48:AF50"/>
    <mergeCell ref="AC51:AF51"/>
    <mergeCell ref="AG51:AJ51"/>
    <mergeCell ref="AK51:AN51"/>
    <mergeCell ref="AD52:AE52"/>
    <mergeCell ref="AG52:AJ52"/>
    <mergeCell ref="AL52:AM52"/>
    <mergeCell ref="S46:S47"/>
    <mergeCell ref="T46:T47"/>
    <mergeCell ref="AC46:AF47"/>
    <mergeCell ref="AO46:AP46"/>
    <mergeCell ref="AO47:AP47"/>
    <mergeCell ref="AG48:AJ50"/>
    <mergeCell ref="AO50:AP50"/>
    <mergeCell ref="E36:E50"/>
    <mergeCell ref="F48:F50"/>
    <mergeCell ref="A17:B50"/>
    <mergeCell ref="C36:C50"/>
    <mergeCell ref="D36:D50"/>
    <mergeCell ref="G36:G37"/>
    <mergeCell ref="H36:H37"/>
    <mergeCell ref="H38:H41"/>
    <mergeCell ref="H44:H47"/>
    <mergeCell ref="G48:G50"/>
    <mergeCell ref="H48:H50"/>
    <mergeCell ref="I48:I50"/>
    <mergeCell ref="J48:J50"/>
    <mergeCell ref="K48:K50"/>
    <mergeCell ref="L48:L50"/>
    <mergeCell ref="M48:M50"/>
    <mergeCell ref="U48:U49"/>
    <mergeCell ref="V48:V49"/>
    <mergeCell ref="W48:W49"/>
    <mergeCell ref="X48:X49"/>
    <mergeCell ref="Y48:Y49"/>
    <mergeCell ref="Z48:Z49"/>
    <mergeCell ref="AA48:AA49"/>
    <mergeCell ref="N48:N50"/>
    <mergeCell ref="O48:O50"/>
    <mergeCell ref="P48:P50"/>
    <mergeCell ref="Q48:Q50"/>
    <mergeCell ref="R48:R50"/>
    <mergeCell ref="S48:S49"/>
    <mergeCell ref="T48:T49"/>
    <mergeCell ref="F36:F37"/>
    <mergeCell ref="F42:F43"/>
    <mergeCell ref="G42:G43"/>
    <mergeCell ref="H42:H43"/>
    <mergeCell ref="I46:I47"/>
    <mergeCell ref="J46:J47"/>
    <mergeCell ref="K46:K47"/>
    <mergeCell ref="L46:L47"/>
    <mergeCell ref="F44:F47"/>
    <mergeCell ref="G44:G47"/>
    <mergeCell ref="I44:I45"/>
    <mergeCell ref="J44:J45"/>
    <mergeCell ref="K44:K45"/>
    <mergeCell ref="L44:L45"/>
    <mergeCell ref="M44:M45"/>
    <mergeCell ref="M46:M47"/>
    <mergeCell ref="U46:U47"/>
    <mergeCell ref="V46:V47"/>
    <mergeCell ref="W46:W47"/>
    <mergeCell ref="X46:X47"/>
    <mergeCell ref="Y46:Y47"/>
    <mergeCell ref="Z46:Z47"/>
    <mergeCell ref="AA46:AA47"/>
    <mergeCell ref="U44:U45"/>
    <mergeCell ref="V44:V45"/>
    <mergeCell ref="W44:W45"/>
    <mergeCell ref="X44:X45"/>
    <mergeCell ref="Y44:Y45"/>
    <mergeCell ref="Z44:Z45"/>
    <mergeCell ref="AA44:AA45"/>
    <mergeCell ref="A2:A3"/>
    <mergeCell ref="B2:B3"/>
    <mergeCell ref="E2:L8"/>
    <mergeCell ref="M2:O8"/>
    <mergeCell ref="P2:S8"/>
    <mergeCell ref="C7:D7"/>
    <mergeCell ref="AE9:AN9"/>
    <mergeCell ref="AK14:AN14"/>
    <mergeCell ref="AO14:AP14"/>
    <mergeCell ref="AC9:AD9"/>
    <mergeCell ref="AC10:AD10"/>
    <mergeCell ref="AE10:AN10"/>
    <mergeCell ref="AC13:AF13"/>
    <mergeCell ref="AG13:AN13"/>
    <mergeCell ref="AC14:AF14"/>
    <mergeCell ref="AG14:AJ14"/>
    <mergeCell ref="C17:C18"/>
    <mergeCell ref="D17:D18"/>
    <mergeCell ref="E17:E18"/>
    <mergeCell ref="F17:F18"/>
    <mergeCell ref="G17:G18"/>
    <mergeCell ref="H17:H18"/>
    <mergeCell ref="AO17:AP17"/>
    <mergeCell ref="AO18:AP18"/>
    <mergeCell ref="S19:S20"/>
    <mergeCell ref="T19:T20"/>
    <mergeCell ref="U19:U20"/>
    <mergeCell ref="V19:V20"/>
    <mergeCell ref="W19:W20"/>
    <mergeCell ref="X19:X20"/>
    <mergeCell ref="Y19:Y20"/>
    <mergeCell ref="Z19:Z20"/>
    <mergeCell ref="AA19:AA20"/>
    <mergeCell ref="AB19:AB20"/>
    <mergeCell ref="AC19:AC20"/>
    <mergeCell ref="AD19:AD20"/>
    <mergeCell ref="AE19:AE20"/>
    <mergeCell ref="AG19:AG20"/>
    <mergeCell ref="AO22:AP22"/>
    <mergeCell ref="AO23:AP23"/>
    <mergeCell ref="AG23:AH23"/>
    <mergeCell ref="AI25:AJ25"/>
    <mergeCell ref="AO25:AP25"/>
    <mergeCell ref="AI26:AJ26"/>
    <mergeCell ref="AO26:AP26"/>
    <mergeCell ref="AK27:AL27"/>
    <mergeCell ref="AO27:AP27"/>
    <mergeCell ref="AK28:AL28"/>
    <mergeCell ref="AO28:AP28"/>
    <mergeCell ref="AM29:AN29"/>
    <mergeCell ref="AO29:AP29"/>
    <mergeCell ref="AM30:AN30"/>
    <mergeCell ref="AO30:AP30"/>
    <mergeCell ref="Q19:Q20"/>
    <mergeCell ref="R19:R20"/>
    <mergeCell ref="Q21:Q22"/>
    <mergeCell ref="R21:R22"/>
    <mergeCell ref="O19:O20"/>
    <mergeCell ref="P19:P20"/>
    <mergeCell ref="O21:O22"/>
    <mergeCell ref="P21:P22"/>
    <mergeCell ref="P23:P30"/>
    <mergeCell ref="Q23:Q30"/>
    <mergeCell ref="R23:R30"/>
    <mergeCell ref="X31:X32"/>
    <mergeCell ref="Y31:Y32"/>
    <mergeCell ref="Z23:Z30"/>
    <mergeCell ref="AA23:AA30"/>
    <mergeCell ref="Q31:Q32"/>
    <mergeCell ref="R31:R32"/>
    <mergeCell ref="S31:S32"/>
    <mergeCell ref="T31:T32"/>
    <mergeCell ref="U31:U32"/>
    <mergeCell ref="I40:I41"/>
    <mergeCell ref="J40:J41"/>
    <mergeCell ref="K40:K41"/>
    <mergeCell ref="L40:L41"/>
    <mergeCell ref="F38:F41"/>
    <mergeCell ref="G38:G41"/>
    <mergeCell ref="I38:I39"/>
    <mergeCell ref="J38:J39"/>
    <mergeCell ref="K38:K39"/>
    <mergeCell ref="L38:L39"/>
    <mergeCell ref="M38:M39"/>
    <mergeCell ref="M40:M41"/>
    <mergeCell ref="N40:N41"/>
    <mergeCell ref="O40:O41"/>
    <mergeCell ref="Q40:Q41"/>
    <mergeCell ref="R40:R41"/>
    <mergeCell ref="S40:S41"/>
    <mergeCell ref="T40:T41"/>
    <mergeCell ref="N38:N39"/>
    <mergeCell ref="O38:O39"/>
    <mergeCell ref="P38:P41"/>
    <mergeCell ref="Q38:Q39"/>
    <mergeCell ref="R38:R39"/>
    <mergeCell ref="S38:S39"/>
    <mergeCell ref="T38:T39"/>
    <mergeCell ref="AE38:AE39"/>
    <mergeCell ref="AF38:AF39"/>
    <mergeCell ref="AG38:AJ39"/>
    <mergeCell ref="AO38:AP38"/>
    <mergeCell ref="AO39:AP39"/>
    <mergeCell ref="U38:U39"/>
    <mergeCell ref="V38:V39"/>
    <mergeCell ref="W38:W39"/>
    <mergeCell ref="X38:X39"/>
    <mergeCell ref="Y38:Y39"/>
    <mergeCell ref="Z38:Z39"/>
    <mergeCell ref="AA38:AA39"/>
  </mergeCells>
  <printOptions gridLines="1" horizontalCentered="1"/>
  <pageMargins bottom="0.75" footer="0.0" header="0.0" left="0.7" right="0.7" top="0.75"/>
  <pageSetup fitToHeight="0" paperSize="9" cellComments="atEnd" orientation="landscape" pageOrder="overThenDown"/>
  <drawing r:id="rId1"/>
</worksheet>
</file>