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ith\Documents\Classes\FISH505\TermProject\DLMTool\"/>
    </mc:Choice>
  </mc:AlternateContent>
  <bookViews>
    <workbookView xWindow="0" yWindow="0" windowWidth="17085" windowHeight="8565" tabRatio="736" activeTab="1"/>
  </bookViews>
  <sheets>
    <sheet name="Stock" sheetId="1" r:id="rId1"/>
    <sheet name="Fleet" sheetId="15" r:id="rId2"/>
    <sheet name="Obs" sheetId="16" r:id="rId3"/>
    <sheet name="Imp" sheetId="17" r:id="rId4"/>
    <sheet name="OM" sheetId="13" r:id="rId5"/>
    <sheet name="x.SR" sheetId="21" r:id="rId6"/>
    <sheet name="F D" sheetId="29" r:id="rId7"/>
    <sheet name="x.Growth" sheetId="22" r:id="rId8"/>
    <sheet name="x.SSB0" sheetId="19" r:id="rId9"/>
    <sheet name="x.Pregnancy" sheetId="28" r:id="rId10"/>
    <sheet name="Pup_estimates" sheetId="24" r:id="rId11"/>
    <sheet name="Model_output" sheetId="25" r:id="rId12"/>
  </sheets>
  <externalReferences>
    <externalReference r:id="rId13"/>
  </externalReferences>
  <definedNames>
    <definedName name="a50mat" localSheetId="5">#REF!</definedName>
    <definedName name="a50mat">#REF!</definedName>
    <definedName name="a50mat_04" localSheetId="5">#REF!</definedName>
    <definedName name="a50mat_04">#REF!</definedName>
    <definedName name="alw" localSheetId="5">#REF!</definedName>
    <definedName name="alw">#REF!</definedName>
    <definedName name="alw_co" localSheetId="5">#REF!</definedName>
    <definedName name="alw_co">#REF!</definedName>
    <definedName name="asdmat" localSheetId="5">#REF!</definedName>
    <definedName name="asdmat">#REF!</definedName>
    <definedName name="asdmat_04" localSheetId="5">#REF!</definedName>
    <definedName name="asdmat_04">#REF!</definedName>
    <definedName name="blw" localSheetId="5">#REF!</definedName>
    <definedName name="blw">#REF!</definedName>
    <definedName name="blw_co" localSheetId="5">#REF!</definedName>
    <definedName name="blw_co">#REF!</definedName>
    <definedName name="hs" localSheetId="5">x.SR!$E$4</definedName>
    <definedName name="hs">#REF!</definedName>
    <definedName name="k" localSheetId="5">#REF!</definedName>
    <definedName name="k">#REF!</definedName>
    <definedName name="linf" localSheetId="5">#REF!</definedName>
    <definedName name="linf">#REF!</definedName>
    <definedName name="lmat50" localSheetId="5">#REF!</definedName>
    <definedName name="lmat50">#REF!</definedName>
    <definedName name="lmatsd" localSheetId="5">#REF!</definedName>
    <definedName name="lmatsd">#REF!</definedName>
    <definedName name="solver_adj" localSheetId="7" hidden="1">x.Growth!$C$13:$E$13</definedName>
    <definedName name="solver_adj" localSheetId="9" hidden="1">x.Pregnancy!$F$1:$F$3</definedName>
    <definedName name="solver_adj" localSheetId="5" hidden="1">x.SR!$C$4,x.SR!$E$4</definedName>
    <definedName name="solver_cvg" localSheetId="7" hidden="1">0.0001</definedName>
    <definedName name="solver_cvg" localSheetId="9" hidden="1">0.0001</definedName>
    <definedName name="solver_cvg" localSheetId="5" hidden="1">0.0001</definedName>
    <definedName name="solver_drv" localSheetId="7" hidden="1">1</definedName>
    <definedName name="solver_drv" localSheetId="9" hidden="1">1</definedName>
    <definedName name="solver_drv" localSheetId="5" hidden="1">2</definedName>
    <definedName name="solver_eng" localSheetId="7" hidden="1">1</definedName>
    <definedName name="solver_eng" localSheetId="9" hidden="1">1</definedName>
    <definedName name="solver_eng" localSheetId="5" hidden="1">1</definedName>
    <definedName name="solver_est" localSheetId="7" hidden="1">1</definedName>
    <definedName name="solver_est" localSheetId="9" hidden="1">1</definedName>
    <definedName name="solver_est" localSheetId="5" hidden="1">1</definedName>
    <definedName name="solver_itr" localSheetId="7" hidden="1">2147483647</definedName>
    <definedName name="solver_itr" localSheetId="9" hidden="1">2147483647</definedName>
    <definedName name="solver_itr" localSheetId="5" hidden="1">2147483647</definedName>
    <definedName name="solver_lhs1" localSheetId="7" hidden="1">x.Growth!$C$13</definedName>
    <definedName name="solver_lhs1" localSheetId="9" hidden="1">x.Pregnancy!$F$1</definedName>
    <definedName name="solver_lhs1" localSheetId="5" hidden="1">x.SR!$C$4</definedName>
    <definedName name="solver_lhs2" localSheetId="7" hidden="1">x.Growth!$D$13</definedName>
    <definedName name="solver_lhs2" localSheetId="9" hidden="1">x.Pregnancy!$F$2</definedName>
    <definedName name="solver_lhs2" localSheetId="5" hidden="1">x.SR!$C$4</definedName>
    <definedName name="solver_lhs3" localSheetId="7" hidden="1">x.Growth!$E$13</definedName>
    <definedName name="solver_lhs3" localSheetId="9" hidden="1">x.Pregnancy!$F$3</definedName>
    <definedName name="solver_lhs3" localSheetId="5" hidden="1">x.SR!$D$4</definedName>
    <definedName name="solver_lhs4" localSheetId="7" hidden="1">x.Growth!$E$13</definedName>
    <definedName name="solver_lhs4" localSheetId="5" hidden="1">x.SR!$D$4</definedName>
    <definedName name="solver_lhs5" localSheetId="5" hidden="1">x.SR!$E$4</definedName>
    <definedName name="solver_lhs6" localSheetId="5" hidden="1">x.SR!$E$4</definedName>
    <definedName name="solver_mip" localSheetId="7" hidden="1">2147483647</definedName>
    <definedName name="solver_mip" localSheetId="9" hidden="1">2147483647</definedName>
    <definedName name="solver_mip" localSheetId="5" hidden="1">2147483647</definedName>
    <definedName name="solver_mni" localSheetId="7" hidden="1">30</definedName>
    <definedName name="solver_mni" localSheetId="9" hidden="1">30</definedName>
    <definedName name="solver_mni" localSheetId="5" hidden="1">30</definedName>
    <definedName name="solver_mrt" localSheetId="7" hidden="1">0.075</definedName>
    <definedName name="solver_mrt" localSheetId="9" hidden="1">0.075</definedName>
    <definedName name="solver_mrt" localSheetId="5" hidden="1">0.075</definedName>
    <definedName name="solver_msl" localSheetId="7" hidden="1">2</definedName>
    <definedName name="solver_msl" localSheetId="9" hidden="1">2</definedName>
    <definedName name="solver_msl" localSheetId="5" hidden="1">2</definedName>
    <definedName name="solver_neg" localSheetId="7" hidden="1">1</definedName>
    <definedName name="solver_neg" localSheetId="9" hidden="1">1</definedName>
    <definedName name="solver_neg" localSheetId="5" hidden="1">1</definedName>
    <definedName name="solver_nod" localSheetId="7" hidden="1">2147483647</definedName>
    <definedName name="solver_nod" localSheetId="9" hidden="1">2147483647</definedName>
    <definedName name="solver_nod" localSheetId="5" hidden="1">2147483647</definedName>
    <definedName name="solver_num" localSheetId="7" hidden="1">4</definedName>
    <definedName name="solver_num" localSheetId="9" hidden="1">3</definedName>
    <definedName name="solver_num" localSheetId="5" hidden="1">6</definedName>
    <definedName name="solver_nwt" localSheetId="7" hidden="1">1</definedName>
    <definedName name="solver_nwt" localSheetId="9" hidden="1">1</definedName>
    <definedName name="solver_nwt" localSheetId="5" hidden="1">1</definedName>
    <definedName name="solver_opt" localSheetId="7" hidden="1">x.Growth!$F$21</definedName>
    <definedName name="solver_opt" localSheetId="9" hidden="1">x.Pregnancy!$D$27</definedName>
    <definedName name="solver_opt" localSheetId="5" hidden="1">x.SR!$E$5</definedName>
    <definedName name="solver_pre" localSheetId="7" hidden="1">0.000001</definedName>
    <definedName name="solver_pre" localSheetId="9" hidden="1">0.000001</definedName>
    <definedName name="solver_pre" localSheetId="5" hidden="1">0.000001</definedName>
    <definedName name="solver_rbv" localSheetId="7" hidden="1">1</definedName>
    <definedName name="solver_rbv" localSheetId="9" hidden="1">1</definedName>
    <definedName name="solver_rbv" localSheetId="5" hidden="1">2</definedName>
    <definedName name="solver_rel1" localSheetId="7" hidden="1">1</definedName>
    <definedName name="solver_rel1" localSheetId="9" hidden="1">3</definedName>
    <definedName name="solver_rel1" localSheetId="5" hidden="1">1</definedName>
    <definedName name="solver_rel2" localSheetId="7" hidden="1">3</definedName>
    <definedName name="solver_rel2" localSheetId="9" hidden="1">3</definedName>
    <definedName name="solver_rel2" localSheetId="5" hidden="1">3</definedName>
    <definedName name="solver_rel3" localSheetId="7" hidden="1">1</definedName>
    <definedName name="solver_rel3" localSheetId="9" hidden="1">3</definedName>
    <definedName name="solver_rel3" localSheetId="5" hidden="1">1</definedName>
    <definedName name="solver_rel4" localSheetId="7" hidden="1">3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7" hidden="1">0</definedName>
    <definedName name="solver_rhs1" localSheetId="9" hidden="1">1</definedName>
    <definedName name="solver_rhs1" localSheetId="5" hidden="1">x.SR!$C$3</definedName>
    <definedName name="solver_rhs2" localSheetId="7" hidden="1">0.05</definedName>
    <definedName name="solver_rhs2" localSheetId="9" hidden="1">0.01</definedName>
    <definedName name="solver_rhs2" localSheetId="5" hidden="1">x.SR!$C$2</definedName>
    <definedName name="solver_rhs3" localSheetId="7" hidden="1">250</definedName>
    <definedName name="solver_rhs3" localSheetId="9" hidden="1">0.6</definedName>
    <definedName name="solver_rhs3" localSheetId="5" hidden="1">x.SR!$D$3</definedName>
    <definedName name="solver_rhs4" localSheetId="7" hidden="1">95</definedName>
    <definedName name="solver_rhs4" localSheetId="5" hidden="1">x.SR!$D$2</definedName>
    <definedName name="solver_rhs5" localSheetId="5" hidden="1">x.SR!$E$3</definedName>
    <definedName name="solver_rhs6" localSheetId="5" hidden="1">x.SR!$E$2</definedName>
    <definedName name="solver_rlx" localSheetId="7" hidden="1">2</definedName>
    <definedName name="solver_rlx" localSheetId="9" hidden="1">2</definedName>
    <definedName name="solver_rlx" localSheetId="5" hidden="1">2</definedName>
    <definedName name="solver_rsd" localSheetId="7" hidden="1">0</definedName>
    <definedName name="solver_rsd" localSheetId="9" hidden="1">0</definedName>
    <definedName name="solver_rsd" localSheetId="5" hidden="1">0</definedName>
    <definedName name="solver_scl" localSheetId="7" hidden="1">1</definedName>
    <definedName name="solver_scl" localSheetId="9" hidden="1">1</definedName>
    <definedName name="solver_scl" localSheetId="5" hidden="1">1</definedName>
    <definedName name="solver_sho" localSheetId="7" hidden="1">2</definedName>
    <definedName name="solver_sho" localSheetId="9" hidden="1">2</definedName>
    <definedName name="solver_sho" localSheetId="5" hidden="1">2</definedName>
    <definedName name="solver_ssz" localSheetId="7" hidden="1">100</definedName>
    <definedName name="solver_ssz" localSheetId="9" hidden="1">100</definedName>
    <definedName name="solver_ssz" localSheetId="5" hidden="1">100</definedName>
    <definedName name="solver_tim" localSheetId="7" hidden="1">2147483647</definedName>
    <definedName name="solver_tim" localSheetId="9" hidden="1">2147483647</definedName>
    <definedName name="solver_tim" localSheetId="5" hidden="1">2147483647</definedName>
    <definedName name="solver_tol" localSheetId="7" hidden="1">0.01</definedName>
    <definedName name="solver_tol" localSheetId="9" hidden="1">0.01</definedName>
    <definedName name="solver_tol" localSheetId="5" hidden="1">0.01</definedName>
    <definedName name="solver_typ" localSheetId="7" hidden="1">2</definedName>
    <definedName name="solver_typ" localSheetId="9" hidden="1">2</definedName>
    <definedName name="solver_typ" localSheetId="5" hidden="1">2</definedName>
    <definedName name="solver_val" localSheetId="7" hidden="1">0</definedName>
    <definedName name="solver_val" localSheetId="9" hidden="1">0</definedName>
    <definedName name="solver_val" localSheetId="5" hidden="1">0</definedName>
    <definedName name="solver_ver" localSheetId="7" hidden="1">3</definedName>
    <definedName name="solver_ver" localSheetId="9" hidden="1">3</definedName>
    <definedName name="solver_ver" localSheetId="5" hidden="1">3</definedName>
    <definedName name="t0" localSheetId="5">#REF!</definedName>
    <definedName name="t0">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I61" i="29"/>
  <c r="J61" i="29"/>
  <c r="J56" i="29"/>
  <c r="K56" i="29" s="1"/>
  <c r="J57" i="29"/>
  <c r="K57" i="29"/>
  <c r="J58" i="29"/>
  <c r="K58" i="29"/>
  <c r="H56" i="29"/>
  <c r="H57" i="29"/>
  <c r="H58" i="29"/>
  <c r="E7" i="21"/>
  <c r="C2" i="21"/>
  <c r="Q8" i="1"/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 l="1"/>
  <c r="B25" i="19" s="1"/>
  <c r="W17" i="19"/>
  <c r="AB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X25" i="19" l="1"/>
  <c r="W25" i="19"/>
  <c r="Y25" i="19"/>
  <c r="C18" i="19"/>
  <c r="C20" i="19" s="1"/>
  <c r="H18" i="19"/>
  <c r="H20" i="19" s="1"/>
  <c r="D18" i="19"/>
  <c r="D20" i="19" s="1"/>
  <c r="B18" i="19"/>
  <c r="B20" i="19" s="1"/>
  <c r="G18" i="19"/>
  <c r="G20" i="19" s="1"/>
  <c r="F18" i="19"/>
  <c r="F20" i="19" s="1"/>
  <c r="E18" i="19"/>
  <c r="E20" i="19" s="1"/>
  <c r="I18" i="19"/>
  <c r="I20" i="19" s="1"/>
  <c r="V18" i="19"/>
  <c r="V20" i="19" s="1"/>
  <c r="Q18" i="19"/>
  <c r="Q20" i="19" s="1"/>
  <c r="N18" i="19"/>
  <c r="N20" i="19" s="1"/>
  <c r="U18" i="19"/>
  <c r="U20" i="19" s="1"/>
  <c r="P18" i="19"/>
  <c r="P20" i="19" s="1"/>
  <c r="M18" i="19"/>
  <c r="M20" i="19" s="1"/>
  <c r="L18" i="19"/>
  <c r="L20" i="19" s="1"/>
  <c r="W18" i="19"/>
  <c r="W20" i="19" s="1"/>
  <c r="S18" i="19"/>
  <c r="S20" i="19" s="1"/>
  <c r="K18" i="19"/>
  <c r="K20" i="19" s="1"/>
  <c r="J18" i="19"/>
  <c r="J20" i="19" s="1"/>
  <c r="T18" i="19"/>
  <c r="T20" i="19" s="1"/>
  <c r="R18" i="19"/>
  <c r="R20" i="19" s="1"/>
  <c r="O18" i="19"/>
  <c r="O20" i="19" s="1"/>
  <c r="AB25" i="19"/>
  <c r="AC25" i="19"/>
  <c r="AD25" i="19"/>
  <c r="AE25" i="19"/>
  <c r="AF25" i="19"/>
  <c r="AG25" i="19"/>
  <c r="AH25" i="19"/>
  <c r="AI25" i="19"/>
  <c r="AJ25" i="19"/>
  <c r="AK25" i="19"/>
  <c r="AC17" i="19"/>
  <c r="AD17" i="19"/>
  <c r="AE17" i="19"/>
  <c r="AF17" i="19"/>
  <c r="AG17" i="19"/>
  <c r="AH17" i="19"/>
  <c r="AI17" i="19"/>
  <c r="AJ17" i="19"/>
  <c r="AK17" i="19"/>
  <c r="X17" i="19" l="1"/>
  <c r="X18" i="19" s="1"/>
  <c r="X20" i="19" s="1"/>
  <c r="AA25" i="19"/>
  <c r="Z25" i="19"/>
  <c r="Y17" i="19" l="1"/>
  <c r="H47" i="29"/>
  <c r="H48" i="29"/>
  <c r="H49" i="29"/>
  <c r="H50" i="29"/>
  <c r="H51" i="29"/>
  <c r="H52" i="29"/>
  <c r="H53" i="29"/>
  <c r="H54" i="29"/>
  <c r="H55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" i="28"/>
  <c r="C3" i="28"/>
  <c r="D3" i="28" s="1"/>
  <c r="C4" i="28"/>
  <c r="D4" i="28" s="1"/>
  <c r="C5" i="28"/>
  <c r="D5" i="28" s="1"/>
  <c r="C6" i="28"/>
  <c r="D6" i="28" s="1"/>
  <c r="C7" i="28"/>
  <c r="D7" i="28" s="1"/>
  <c r="C8" i="28"/>
  <c r="D8" i="28" s="1"/>
  <c r="C9" i="28"/>
  <c r="D9" i="28" s="1"/>
  <c r="C10" i="28"/>
  <c r="D10" i="28" s="1"/>
  <c r="C11" i="28"/>
  <c r="D11" i="28" s="1"/>
  <c r="C12" i="28"/>
  <c r="D12" i="28" s="1"/>
  <c r="C13" i="28"/>
  <c r="D13" i="28" s="1"/>
  <c r="C14" i="28"/>
  <c r="D14" i="28" s="1"/>
  <c r="C15" i="28"/>
  <c r="D15" i="28" s="1"/>
  <c r="C16" i="28"/>
  <c r="D16" i="28" s="1"/>
  <c r="C17" i="28"/>
  <c r="D17" i="28" s="1"/>
  <c r="C18" i="28"/>
  <c r="D18" i="28" s="1"/>
  <c r="C19" i="28"/>
  <c r="D19" i="28" s="1"/>
  <c r="C20" i="28"/>
  <c r="D20" i="28" s="1"/>
  <c r="C21" i="28"/>
  <c r="D21" i="28" s="1"/>
  <c r="C22" i="28"/>
  <c r="D22" i="28" s="1"/>
  <c r="C23" i="28"/>
  <c r="D23" i="28" s="1"/>
  <c r="C24" i="28"/>
  <c r="D24" i="28" s="1"/>
  <c r="C25" i="28"/>
  <c r="D25" i="28" s="1"/>
  <c r="C2" i="28"/>
  <c r="D2" i="28" s="1"/>
  <c r="D4" i="21"/>
  <c r="C3" i="21"/>
  <c r="D3" i="21"/>
  <c r="C8" i="19"/>
  <c r="C5" i="19"/>
  <c r="E10" i="19" s="1"/>
  <c r="C4" i="19"/>
  <c r="D10" i="19" s="1"/>
  <c r="E45" i="21"/>
  <c r="E46" i="21"/>
  <c r="E47" i="21"/>
  <c r="E48" i="21"/>
  <c r="E49" i="21"/>
  <c r="E50" i="21"/>
  <c r="E51" i="21"/>
  <c r="E52" i="21"/>
  <c r="F52" i="21" s="1"/>
  <c r="G52" i="21" s="1"/>
  <c r="E53" i="21"/>
  <c r="F53" i="21" s="1"/>
  <c r="E54" i="21"/>
  <c r="E55" i="21"/>
  <c r="E56" i="21"/>
  <c r="E57" i="21"/>
  <c r="E58" i="21"/>
  <c r="E59" i="21"/>
  <c r="E60" i="21"/>
  <c r="F60" i="21" s="1"/>
  <c r="G60" i="21" s="1"/>
  <c r="E61" i="21"/>
  <c r="E62" i="21"/>
  <c r="E63" i="21"/>
  <c r="L58" i="25"/>
  <c r="K58" i="25"/>
  <c r="L57" i="25"/>
  <c r="K57" i="25"/>
  <c r="L56" i="25"/>
  <c r="K56" i="25"/>
  <c r="L55" i="25"/>
  <c r="K55" i="25"/>
  <c r="L54" i="25"/>
  <c r="K54" i="25"/>
  <c r="L53" i="25"/>
  <c r="K53" i="25"/>
  <c r="L52" i="25"/>
  <c r="K52" i="25"/>
  <c r="L51" i="25"/>
  <c r="K51" i="25"/>
  <c r="L50" i="25"/>
  <c r="K50" i="25"/>
  <c r="L49" i="25"/>
  <c r="K49" i="25"/>
  <c r="L48" i="25"/>
  <c r="K48" i="25"/>
  <c r="L47" i="25"/>
  <c r="K47" i="25"/>
  <c r="L46" i="25"/>
  <c r="K46" i="25"/>
  <c r="L45" i="25"/>
  <c r="K45" i="25"/>
  <c r="L44" i="25"/>
  <c r="K44" i="25"/>
  <c r="L43" i="25"/>
  <c r="K43" i="25"/>
  <c r="L42" i="25"/>
  <c r="K42" i="25"/>
  <c r="L41" i="25"/>
  <c r="K41" i="25"/>
  <c r="L40" i="25"/>
  <c r="K40" i="25"/>
  <c r="L39" i="25"/>
  <c r="K39" i="25"/>
  <c r="L38" i="25"/>
  <c r="K38" i="25"/>
  <c r="L37" i="25"/>
  <c r="K37" i="25"/>
  <c r="L36" i="25"/>
  <c r="K36" i="25"/>
  <c r="L35" i="25"/>
  <c r="K35" i="25"/>
  <c r="L34" i="25"/>
  <c r="K34" i="25"/>
  <c r="L33" i="25"/>
  <c r="K33" i="25"/>
  <c r="L32" i="25"/>
  <c r="K32" i="25"/>
  <c r="L31" i="25"/>
  <c r="K31" i="25"/>
  <c r="L30" i="25"/>
  <c r="K30" i="25"/>
  <c r="L29" i="25"/>
  <c r="K29" i="25"/>
  <c r="L28" i="25"/>
  <c r="K28" i="25"/>
  <c r="L27" i="25"/>
  <c r="K27" i="25"/>
  <c r="L26" i="25"/>
  <c r="K26" i="25"/>
  <c r="L25" i="25"/>
  <c r="K25" i="25"/>
  <c r="L24" i="25"/>
  <c r="K24" i="25"/>
  <c r="L23" i="25"/>
  <c r="K23" i="25"/>
  <c r="L22" i="25"/>
  <c r="K22" i="25"/>
  <c r="L21" i="25"/>
  <c r="K21" i="25"/>
  <c r="L20" i="25"/>
  <c r="K20" i="25"/>
  <c r="L19" i="25"/>
  <c r="K19" i="25"/>
  <c r="L18" i="25"/>
  <c r="K18" i="25"/>
  <c r="L17" i="25"/>
  <c r="K17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K10" i="25"/>
  <c r="L9" i="25"/>
  <c r="K9" i="25"/>
  <c r="L8" i="25"/>
  <c r="K8" i="25"/>
  <c r="L7" i="25"/>
  <c r="K7" i="25"/>
  <c r="Z6" i="25"/>
  <c r="Y6" i="25"/>
  <c r="X6" i="25"/>
  <c r="W6" i="25"/>
  <c r="V6" i="25"/>
  <c r="U6" i="25"/>
  <c r="L6" i="25"/>
  <c r="K6" i="25"/>
  <c r="Z5" i="25"/>
  <c r="Y5" i="25"/>
  <c r="X5" i="25"/>
  <c r="W5" i="25"/>
  <c r="V5" i="25"/>
  <c r="U5" i="25"/>
  <c r="L5" i="25"/>
  <c r="K5" i="25"/>
  <c r="Z4" i="25"/>
  <c r="Y4" i="25"/>
  <c r="X4" i="25"/>
  <c r="W4" i="25"/>
  <c r="V4" i="25"/>
  <c r="U4" i="25"/>
  <c r="L4" i="25"/>
  <c r="K4" i="25"/>
  <c r="Z3" i="25"/>
  <c r="Y3" i="25"/>
  <c r="X3" i="25"/>
  <c r="W3" i="25"/>
  <c r="V3" i="25"/>
  <c r="U3" i="25"/>
  <c r="L3" i="25"/>
  <c r="K3" i="25"/>
  <c r="Z2" i="25"/>
  <c r="Y2" i="25"/>
  <c r="X2" i="25"/>
  <c r="W2" i="25"/>
  <c r="V2" i="25"/>
  <c r="U2" i="25"/>
  <c r="L2" i="25"/>
  <c r="K2" i="25"/>
  <c r="F61" i="21" l="1"/>
  <c r="H61" i="21" s="1"/>
  <c r="F45" i="21"/>
  <c r="G45" i="21" s="1"/>
  <c r="Y18" i="19"/>
  <c r="Y20" i="19" s="1"/>
  <c r="AA17" i="19"/>
  <c r="Z17" i="19"/>
  <c r="J60" i="25"/>
  <c r="I60" i="25"/>
  <c r="B26" i="19"/>
  <c r="B28" i="19" s="1"/>
  <c r="AI26" i="19"/>
  <c r="AI28" i="19" s="1"/>
  <c r="AH26" i="19"/>
  <c r="AH28" i="19" s="1"/>
  <c r="AF26" i="19"/>
  <c r="AF28" i="19" s="1"/>
  <c r="AC26" i="19"/>
  <c r="AC28" i="19" s="1"/>
  <c r="AJ26" i="19"/>
  <c r="AJ28" i="19" s="1"/>
  <c r="AK26" i="19"/>
  <c r="AK28" i="19" s="1"/>
  <c r="AG26" i="19"/>
  <c r="AG28" i="19" s="1"/>
  <c r="AB26" i="19"/>
  <c r="AB28" i="19" s="1"/>
  <c r="AE26" i="19"/>
  <c r="AE28" i="19" s="1"/>
  <c r="AD26" i="19"/>
  <c r="AD28" i="19" s="1"/>
  <c r="G26" i="19"/>
  <c r="G28" i="19" s="1"/>
  <c r="W26" i="19"/>
  <c r="W28" i="19" s="1"/>
  <c r="T26" i="19"/>
  <c r="T28" i="19" s="1"/>
  <c r="AA26" i="19"/>
  <c r="AA28" i="19" s="1"/>
  <c r="V26" i="19"/>
  <c r="V28" i="19" s="1"/>
  <c r="C26" i="19"/>
  <c r="C28" i="19" s="1"/>
  <c r="O26" i="19"/>
  <c r="O28" i="19" s="1"/>
  <c r="H26" i="19"/>
  <c r="H28" i="19" s="1"/>
  <c r="P26" i="19"/>
  <c r="P28" i="19" s="1"/>
  <c r="X26" i="19"/>
  <c r="X28" i="19" s="1"/>
  <c r="I26" i="19"/>
  <c r="I28" i="19" s="1"/>
  <c r="Q26" i="19"/>
  <c r="Q28" i="19" s="1"/>
  <c r="Y26" i="19"/>
  <c r="Y28" i="19" s="1"/>
  <c r="J26" i="19"/>
  <c r="J28" i="19" s="1"/>
  <c r="R26" i="19"/>
  <c r="R28" i="19" s="1"/>
  <c r="Z26" i="19"/>
  <c r="Z28" i="19" s="1"/>
  <c r="K26" i="19"/>
  <c r="K28" i="19" s="1"/>
  <c r="S26" i="19"/>
  <c r="S28" i="19" s="1"/>
  <c r="D26" i="19"/>
  <c r="D28" i="19" s="1"/>
  <c r="L26" i="19"/>
  <c r="L28" i="19" s="1"/>
  <c r="E26" i="19"/>
  <c r="E28" i="19" s="1"/>
  <c r="M26" i="19"/>
  <c r="M28" i="19" s="1"/>
  <c r="U26" i="19"/>
  <c r="U28" i="19" s="1"/>
  <c r="F26" i="19"/>
  <c r="F28" i="19" s="1"/>
  <c r="N26" i="19"/>
  <c r="N28" i="19" s="1"/>
  <c r="D27" i="28"/>
  <c r="F58" i="21"/>
  <c r="G58" i="21" s="1"/>
  <c r="F62" i="21"/>
  <c r="G62" i="21" s="1"/>
  <c r="F54" i="21"/>
  <c r="G54" i="21" s="1"/>
  <c r="F50" i="21"/>
  <c r="G50" i="21" s="1"/>
  <c r="F46" i="21"/>
  <c r="G46" i="21" s="1"/>
  <c r="F59" i="21"/>
  <c r="G59" i="21" s="1"/>
  <c r="F51" i="21"/>
  <c r="G51" i="21" s="1"/>
  <c r="F57" i="21"/>
  <c r="H57" i="21" s="1"/>
  <c r="F49" i="21"/>
  <c r="G49" i="21" s="1"/>
  <c r="F56" i="21"/>
  <c r="G56" i="21" s="1"/>
  <c r="F48" i="21"/>
  <c r="G48" i="21" s="1"/>
  <c r="F63" i="21"/>
  <c r="G63" i="21" s="1"/>
  <c r="F55" i="21"/>
  <c r="G55" i="21" s="1"/>
  <c r="F47" i="21"/>
  <c r="G47" i="21" s="1"/>
  <c r="G53" i="21"/>
  <c r="H53" i="21"/>
  <c r="H60" i="21"/>
  <c r="H52" i="21"/>
  <c r="H45" i="21" l="1"/>
  <c r="G61" i="21"/>
  <c r="H59" i="21"/>
  <c r="AI18" i="19"/>
  <c r="AI20" i="19" s="1"/>
  <c r="AE18" i="19"/>
  <c r="AE20" i="19" s="1"/>
  <c r="AC18" i="19"/>
  <c r="AC20" i="19" s="1"/>
  <c r="AF18" i="19"/>
  <c r="AF20" i="19" s="1"/>
  <c r="Z18" i="19"/>
  <c r="Z20" i="19" s="1"/>
  <c r="AA18" i="19"/>
  <c r="AA20" i="19" s="1"/>
  <c r="AH18" i="19"/>
  <c r="AH20" i="19" s="1"/>
  <c r="AG18" i="19"/>
  <c r="AG20" i="19" s="1"/>
  <c r="AJ18" i="19"/>
  <c r="AJ20" i="19" s="1"/>
  <c r="AD18" i="19"/>
  <c r="AD20" i="19" s="1"/>
  <c r="AK18" i="19"/>
  <c r="AK20" i="19" s="1"/>
  <c r="AB18" i="19"/>
  <c r="AB20" i="19" s="1"/>
  <c r="H47" i="21"/>
  <c r="B29" i="19"/>
  <c r="C12" i="19" s="1"/>
  <c r="E12" i="19" s="1"/>
  <c r="H54" i="21"/>
  <c r="H58" i="21"/>
  <c r="H62" i="21"/>
  <c r="G57" i="21"/>
  <c r="H50" i="21"/>
  <c r="H46" i="21"/>
  <c r="H56" i="21"/>
  <c r="H55" i="21"/>
  <c r="H48" i="21"/>
  <c r="H63" i="21"/>
  <c r="H51" i="21"/>
  <c r="H49" i="21"/>
  <c r="B21" i="19" l="1"/>
  <c r="C11" i="19" s="1"/>
  <c r="D12" i="19"/>
  <c r="D2" i="21"/>
  <c r="E34" i="21"/>
  <c r="F34" i="21" s="1"/>
  <c r="E35" i="21"/>
  <c r="F35" i="21" s="1"/>
  <c r="G35" i="21" s="1"/>
  <c r="E36" i="21"/>
  <c r="F36" i="21" s="1"/>
  <c r="G36" i="21" s="1"/>
  <c r="E37" i="21"/>
  <c r="F37" i="21" s="1"/>
  <c r="E38" i="21"/>
  <c r="F38" i="21" s="1"/>
  <c r="E39" i="21"/>
  <c r="F39" i="21" s="1"/>
  <c r="E40" i="21"/>
  <c r="F40" i="21" s="1"/>
  <c r="G40" i="21" s="1"/>
  <c r="E41" i="21"/>
  <c r="F41" i="21" s="1"/>
  <c r="G41" i="21" s="1"/>
  <c r="E42" i="21"/>
  <c r="F42" i="21" s="1"/>
  <c r="G42" i="21" s="1"/>
  <c r="E43" i="21"/>
  <c r="F43" i="21" s="1"/>
  <c r="G43" i="21" s="1"/>
  <c r="E44" i="21"/>
  <c r="F44" i="21" s="1"/>
  <c r="G44" i="21" s="1"/>
  <c r="E11" i="19" l="1"/>
  <c r="D11" i="19"/>
  <c r="I61" i="25" s="1"/>
  <c r="H37" i="21"/>
  <c r="G37" i="21"/>
  <c r="H38" i="21"/>
  <c r="G38" i="21"/>
  <c r="G34" i="21"/>
  <c r="H34" i="21"/>
  <c r="H39" i="21"/>
  <c r="G39" i="21"/>
  <c r="H44" i="21"/>
  <c r="H43" i="21"/>
  <c r="H40" i="21"/>
  <c r="H42" i="21"/>
  <c r="H41" i="21"/>
  <c r="H36" i="21"/>
  <c r="H35" i="21"/>
  <c r="I14" i="22"/>
  <c r="I3" i="22"/>
  <c r="B2" i="22"/>
  <c r="A2" i="22"/>
  <c r="B1" i="22"/>
  <c r="C4" i="22"/>
  <c r="D4" i="22" s="1"/>
  <c r="E4" i="22" s="1"/>
  <c r="C5" i="22"/>
  <c r="D5" i="22" s="1"/>
  <c r="E5" i="22" s="1"/>
  <c r="C6" i="22"/>
  <c r="D6" i="22" s="1"/>
  <c r="E6" i="22" s="1"/>
  <c r="C7" i="22"/>
  <c r="D7" i="22" s="1"/>
  <c r="E7" i="22" s="1"/>
  <c r="C8" i="22"/>
  <c r="D8" i="22" s="1"/>
  <c r="E8" i="22" s="1"/>
  <c r="C9" i="22"/>
  <c r="D9" i="22" s="1"/>
  <c r="E9" i="22" s="1"/>
  <c r="C10" i="22"/>
  <c r="D10" i="22" s="1"/>
  <c r="E10" i="22" s="1"/>
  <c r="C3" i="22"/>
  <c r="D3" i="22" s="1"/>
  <c r="E3" i="22" s="1"/>
  <c r="F10" i="22" l="1"/>
  <c r="E8" i="21"/>
  <c r="F8" i="21" s="1"/>
  <c r="H8" i="21" s="1"/>
  <c r="E11" i="21"/>
  <c r="F11" i="21" s="1"/>
  <c r="E13" i="21"/>
  <c r="F13" i="21" s="1"/>
  <c r="E16" i="21"/>
  <c r="F16" i="21" s="1"/>
  <c r="H16" i="21" s="1"/>
  <c r="E19" i="21"/>
  <c r="F19" i="21" s="1"/>
  <c r="E21" i="21"/>
  <c r="F21" i="21" s="1"/>
  <c r="E24" i="21"/>
  <c r="F24" i="21" s="1"/>
  <c r="H24" i="21" s="1"/>
  <c r="E27" i="21"/>
  <c r="F27" i="21" s="1"/>
  <c r="E29" i="21"/>
  <c r="F29" i="21" s="1"/>
  <c r="E32" i="21"/>
  <c r="F32" i="21" s="1"/>
  <c r="H32" i="21" s="1"/>
  <c r="F7" i="21"/>
  <c r="E33" i="21"/>
  <c r="F33" i="21" s="1"/>
  <c r="E31" i="21"/>
  <c r="F31" i="21" s="1"/>
  <c r="E30" i="21"/>
  <c r="F30" i="21" s="1"/>
  <c r="H30" i="21" s="1"/>
  <c r="E28" i="21"/>
  <c r="F28" i="21" s="1"/>
  <c r="H28" i="21" s="1"/>
  <c r="E26" i="21"/>
  <c r="F26" i="21" s="1"/>
  <c r="H26" i="21" s="1"/>
  <c r="E25" i="21"/>
  <c r="F25" i="21" s="1"/>
  <c r="E23" i="21"/>
  <c r="F23" i="21" s="1"/>
  <c r="E22" i="21"/>
  <c r="F22" i="21" s="1"/>
  <c r="H22" i="21" s="1"/>
  <c r="E20" i="21"/>
  <c r="F20" i="21" s="1"/>
  <c r="H20" i="21" s="1"/>
  <c r="E18" i="21"/>
  <c r="F18" i="21" s="1"/>
  <c r="H18" i="21" s="1"/>
  <c r="E17" i="21"/>
  <c r="F17" i="21" s="1"/>
  <c r="E15" i="21"/>
  <c r="F15" i="21" s="1"/>
  <c r="E14" i="21"/>
  <c r="F14" i="21" s="1"/>
  <c r="H14" i="21" s="1"/>
  <c r="E12" i="21"/>
  <c r="F12" i="21" s="1"/>
  <c r="H12" i="21" s="1"/>
  <c r="E10" i="21"/>
  <c r="F10" i="21" s="1"/>
  <c r="H10" i="21" s="1"/>
  <c r="E9" i="21"/>
  <c r="F9" i="21" s="1"/>
  <c r="H7" i="21" l="1"/>
  <c r="G7" i="21"/>
  <c r="H9" i="21"/>
  <c r="G9" i="21"/>
  <c r="H25" i="21"/>
  <c r="G25" i="21"/>
  <c r="H19" i="21"/>
  <c r="G19" i="21"/>
  <c r="H15" i="21"/>
  <c r="G15" i="21"/>
  <c r="H31" i="21"/>
  <c r="G31" i="21"/>
  <c r="H21" i="21"/>
  <c r="G21" i="21"/>
  <c r="H11" i="21"/>
  <c r="G11" i="21"/>
  <c r="H27" i="21"/>
  <c r="G27" i="21"/>
  <c r="H17" i="21"/>
  <c r="G17" i="21"/>
  <c r="H33" i="21"/>
  <c r="G33" i="21"/>
  <c r="H23" i="21"/>
  <c r="G23" i="21"/>
  <c r="H13" i="21"/>
  <c r="G13" i="21"/>
  <c r="H29" i="21"/>
  <c r="G29" i="21"/>
  <c r="G8" i="21"/>
  <c r="G10" i="21"/>
  <c r="G12" i="21"/>
  <c r="G14" i="21"/>
  <c r="G16" i="21"/>
  <c r="G18" i="21"/>
  <c r="G20" i="21"/>
  <c r="G22" i="21"/>
  <c r="G24" i="21"/>
  <c r="G26" i="21"/>
  <c r="G28" i="21"/>
  <c r="G30" i="21"/>
  <c r="G32" i="21"/>
  <c r="E5" i="21" l="1"/>
  <c r="H2" i="21"/>
  <c r="J44" i="29" l="1"/>
  <c r="K44" i="29" s="1"/>
  <c r="J46" i="29"/>
  <c r="K46" i="29" s="1"/>
  <c r="J47" i="29"/>
  <c r="K47" i="29" s="1"/>
  <c r="J45" i="29"/>
  <c r="K45" i="29" s="1"/>
  <c r="J48" i="29"/>
  <c r="K48" i="29" s="1"/>
  <c r="J52" i="29"/>
  <c r="K52" i="29" s="1"/>
  <c r="J51" i="29"/>
  <c r="K51" i="29" s="1"/>
  <c r="J55" i="29"/>
  <c r="K55" i="29" s="1"/>
  <c r="J50" i="29"/>
  <c r="K50" i="29" s="1"/>
  <c r="J53" i="29"/>
  <c r="K53" i="29" s="1"/>
  <c r="J54" i="29"/>
  <c r="K54" i="29" s="1"/>
  <c r="J49" i="29"/>
  <c r="K49" i="29" s="1"/>
  <c r="J27" i="29"/>
  <c r="K27" i="29" s="1"/>
  <c r="J40" i="29"/>
  <c r="K40" i="29" s="1"/>
  <c r="J42" i="29"/>
  <c r="K42" i="29" s="1"/>
  <c r="J17" i="29"/>
  <c r="K17" i="29" s="1"/>
  <c r="J18" i="29"/>
  <c r="K18" i="29" s="1"/>
  <c r="J35" i="29"/>
  <c r="K35" i="29" s="1"/>
  <c r="J37" i="29"/>
  <c r="K37" i="29" s="1"/>
  <c r="J20" i="29"/>
  <c r="K20" i="29" s="1"/>
  <c r="J33" i="29"/>
  <c r="K33" i="29" s="1"/>
  <c r="K34" i="29"/>
  <c r="J26" i="29"/>
  <c r="K26" i="29" s="1"/>
  <c r="J28" i="29"/>
  <c r="K28" i="29" s="1"/>
  <c r="J30" i="29"/>
  <c r="K30" i="29" s="1"/>
  <c r="J34" i="29"/>
  <c r="J36" i="29"/>
  <c r="K36" i="29"/>
  <c r="K31" i="29"/>
  <c r="J38" i="29"/>
  <c r="K38" i="29" s="1"/>
  <c r="J25" i="29"/>
  <c r="K25" i="29" s="1"/>
  <c r="J22" i="29"/>
  <c r="K22" i="29" s="1"/>
  <c r="J19" i="29"/>
  <c r="K19" i="29" s="1"/>
  <c r="J21" i="29"/>
  <c r="K21" i="29" s="1"/>
  <c r="J43" i="29"/>
  <c r="K43" i="29" s="1"/>
  <c r="J32" i="29"/>
  <c r="K32" i="29" s="1"/>
  <c r="J31" i="29"/>
  <c r="J29" i="29"/>
  <c r="K29" i="29" s="1"/>
  <c r="J23" i="29"/>
  <c r="K23" i="29" s="1"/>
  <c r="J24" i="29"/>
  <c r="K24" i="29" s="1"/>
  <c r="J39" i="29"/>
  <c r="K39" i="29" s="1"/>
  <c r="J41" i="29"/>
  <c r="K41" i="29" s="1"/>
</calcChain>
</file>

<file path=xl/comments1.xml><?xml version="1.0" encoding="utf-8"?>
<comments xmlns="http://schemas.openxmlformats.org/spreadsheetml/2006/main">
  <authors>
    <author>Deith, Mairin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From Bunnell's 2005 "Thinhorn Sheep"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From SRA (see SheepSRA_tablePriorQMSE_v10.xlsx)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Lorenzen M, not needed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Assumes moderate variability in natural mortality between years - unchanged (green)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No persistent trends in natural mortality included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Srel = 1, Beverton-Holt (rather than 2, Ricker)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This can be ignored - currently indicates very low interannual variabiltiy in recruitment, 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 recruits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Autocorrelation in recruitment deviates (rec(t) = Acrec(t-1)+(A-AC)sigma(t)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Largest recorded horns are 131.6 cm for Stone's sheep (Bunnell 2005), estimate from nls() is 934mm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95% confidence intervals for point estimate of K=0.375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95% confidence intervals for t0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Variation unknown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No persistent change in K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 xml:space="preserve">Deith, Mairin
</t>
        </r>
        <r>
          <rPr>
            <sz val="9"/>
            <color indexed="81"/>
            <rFont val="Tahoma"/>
            <family val="2"/>
          </rPr>
          <t>Interannual variation in max horn length - NA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persistent change in max horn length - could be modified to reflect concerns that hunters are reducing horn length maximum</t>
        </r>
      </text>
    </comment>
  </commentList>
</comments>
</file>

<file path=xl/comments2.xml><?xml version="1.0" encoding="utf-8"?>
<comments xmlns="http://schemas.openxmlformats.org/spreadsheetml/2006/main">
  <authors>
    <author>Deith, Mairin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inter-annual variability in harvest rate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Modified to be true - vulnerability comes from absolute size in cm, not provided in cpars like seal example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 discarding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Last year of catch data</t>
        </r>
      </text>
    </comment>
  </commentList>
</comments>
</file>

<file path=xl/comments3.xml><?xml version="1.0" encoding="utf-8"?>
<comments xmlns="http://schemas.openxmlformats.org/spreadsheetml/2006/main">
  <authors>
    <author>Deith, Mairin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Extractions known precisely without bias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Number of catch-at-age observations, assume catches around 50 per year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4.xml><?xml version="1.0" encoding="utf-8"?>
<comments xmlns="http://schemas.openxmlformats.org/spreadsheetml/2006/main">
  <authors>
    <author>Deith, Mairin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Deith, Mairin:</t>
        </r>
        <r>
          <rPr>
            <sz val="9"/>
            <color indexed="81"/>
            <rFont val="Tahoma"/>
            <charset val="1"/>
          </rPr>
          <t xml:space="preserve">
All TAC taken without SD in implementation</t>
        </r>
      </text>
    </comment>
  </commentList>
</comments>
</file>

<file path=xl/comments5.xml><?xml version="1.0" encoding="utf-8"?>
<comments xmlns="http://schemas.openxmlformats.org/spreadsheetml/2006/main">
  <authors>
    <author>Deith, Mairin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At least 10 generations</t>
        </r>
      </text>
    </comment>
  </commentList>
</comments>
</file>

<file path=xl/comments6.xml><?xml version="1.0" encoding="utf-8"?>
<comments xmlns="http://schemas.openxmlformats.org/spreadsheetml/2006/main">
  <authors>
    <author>Deith, Mairin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Deith, Mairin:</t>
        </r>
        <r>
          <rPr>
            <sz val="9"/>
            <color indexed="81"/>
            <rFont val="Tahoma"/>
            <family val="2"/>
          </rPr>
          <t xml:space="preserve">
From SRA</t>
        </r>
      </text>
    </comment>
  </commentList>
</comments>
</file>

<file path=xl/sharedStrings.xml><?xml version="1.0" encoding="utf-8"?>
<sst xmlns="http://schemas.openxmlformats.org/spreadsheetml/2006/main" count="341" uniqueCount="302">
  <si>
    <t>Name</t>
  </si>
  <si>
    <t>maxage</t>
  </si>
  <si>
    <t>R0</t>
  </si>
  <si>
    <t>M</t>
  </si>
  <si>
    <t>Msd</t>
  </si>
  <si>
    <t>Mgrad</t>
  </si>
  <si>
    <t>h</t>
  </si>
  <si>
    <t>SRrel</t>
  </si>
  <si>
    <t>Linf</t>
  </si>
  <si>
    <t>Linfsd</t>
  </si>
  <si>
    <t>Linfgrad</t>
  </si>
  <si>
    <t>K</t>
  </si>
  <si>
    <t>Ksd</t>
  </si>
  <si>
    <t>Kgrad</t>
  </si>
  <si>
    <t>t0</t>
  </si>
  <si>
    <t>AC</t>
  </si>
  <si>
    <t>a</t>
  </si>
  <si>
    <t>b</t>
  </si>
  <si>
    <t>L50</t>
  </si>
  <si>
    <t>L50_95</t>
  </si>
  <si>
    <t>D</t>
  </si>
  <si>
    <t>Perr</t>
  </si>
  <si>
    <t>Frac_area_1</t>
  </si>
  <si>
    <t>Prob_staying</t>
  </si>
  <si>
    <t>nyears</t>
  </si>
  <si>
    <t>Spat_targ</t>
  </si>
  <si>
    <t>SelYears</t>
  </si>
  <si>
    <t>AbsSelYears</t>
  </si>
  <si>
    <t>LFSLower</t>
  </si>
  <si>
    <t>LFSUpper</t>
  </si>
  <si>
    <t>L5Lower</t>
  </si>
  <si>
    <t>L5Upper</t>
  </si>
  <si>
    <t>VmaxLower</t>
  </si>
  <si>
    <t>VmaxUpper</t>
  </si>
  <si>
    <t>LFS</t>
  </si>
  <si>
    <t>L5</t>
  </si>
  <si>
    <t>Vmaxlen</t>
  </si>
  <si>
    <t>qinc</t>
  </si>
  <si>
    <t>qcv</t>
  </si>
  <si>
    <t>EffYears</t>
  </si>
  <si>
    <t>EffLower</t>
  </si>
  <si>
    <t>EffUpper</t>
  </si>
  <si>
    <t>isRel</t>
  </si>
  <si>
    <t>Cobs</t>
  </si>
  <si>
    <t>Cbiascv</t>
  </si>
  <si>
    <t>CAA_nsamp</t>
  </si>
  <si>
    <t>CAA_ESS</t>
  </si>
  <si>
    <t>CAL_nsamp</t>
  </si>
  <si>
    <t>CAL_ESS</t>
  </si>
  <si>
    <t>Iobs</t>
  </si>
  <si>
    <t>Dbiascv</t>
  </si>
  <si>
    <t>beta</t>
  </si>
  <si>
    <t>TACSD</t>
  </si>
  <si>
    <t>TACFrac</t>
  </si>
  <si>
    <t>SizeLimSD</t>
  </si>
  <si>
    <t>SizeLimFrac</t>
  </si>
  <si>
    <t>Source</t>
  </si>
  <si>
    <t>Period</t>
  </si>
  <si>
    <t>Amplitude</t>
  </si>
  <si>
    <t>Fdisc</t>
  </si>
  <si>
    <t>Esd</t>
  </si>
  <si>
    <t>LR5</t>
  </si>
  <si>
    <t>LFR</t>
  </si>
  <si>
    <t>Rmaxlen</t>
  </si>
  <si>
    <t>DR</t>
  </si>
  <si>
    <t>CurrentYr</t>
  </si>
  <si>
    <t>Slot</t>
  </si>
  <si>
    <t>nsim</t>
  </si>
  <si>
    <t>proyears</t>
  </si>
  <si>
    <t>interval</t>
  </si>
  <si>
    <t>pstar</t>
  </si>
  <si>
    <t>maxF</t>
  </si>
  <si>
    <t>reps</t>
  </si>
  <si>
    <t>Defaults</t>
  </si>
  <si>
    <t>M2</t>
  </si>
  <si>
    <t>Mexp</t>
  </si>
  <si>
    <t>LenCV</t>
  </si>
  <si>
    <t>Column1</t>
  </si>
  <si>
    <t>Column2</t>
  </si>
  <si>
    <t>Btbiascv</t>
  </si>
  <si>
    <t>Ibiascv</t>
  </si>
  <si>
    <t>Dobs</t>
  </si>
  <si>
    <t>Btobs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</si>
  <si>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</si>
  <si>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</si>
  <si>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</si>
  <si>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</si>
  <si>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</si>
  <si>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</si>
  <si>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</si>
  <si>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</si>
  <si>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</si>
  <si>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</si>
  <si>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Crefbiascv</t>
  </si>
  <si>
    <t>Brefbiascv</t>
  </si>
  <si>
    <t>hbiascv</t>
  </si>
  <si>
    <t>Recbiascv</t>
  </si>
  <si>
    <t>TAESD</t>
  </si>
  <si>
    <t>TAEFrac</t>
  </si>
  <si>
    <t>LenMbiascv</t>
  </si>
  <si>
    <t>Column3</t>
  </si>
  <si>
    <t>Species</t>
  </si>
  <si>
    <t>SSB0</t>
  </si>
  <si>
    <t>min</t>
  </si>
  <si>
    <t>Procsd</t>
  </si>
  <si>
    <t>max</t>
  </si>
  <si>
    <t>est</t>
  </si>
  <si>
    <t>obj</t>
  </si>
  <si>
    <t>Frac</t>
  </si>
  <si>
    <t>Pred</t>
  </si>
  <si>
    <t>sqerr</t>
  </si>
  <si>
    <t>recdev</t>
  </si>
  <si>
    <t>ACF</t>
  </si>
  <si>
    <t>From Figure 51</t>
  </si>
  <si>
    <t>4X West</t>
  </si>
  <si>
    <t>Upper bound</t>
  </si>
  <si>
    <t>Age at maturity</t>
  </si>
  <si>
    <t>Lower bound</t>
  </si>
  <si>
    <t>N</t>
  </si>
  <si>
    <t>Agency</t>
  </si>
  <si>
    <t>Region</t>
  </si>
  <si>
    <t>Latitude</t>
  </si>
  <si>
    <t>Longitude</t>
  </si>
  <si>
    <t>proportional to density</t>
  </si>
  <si>
    <t>SE</t>
  </si>
  <si>
    <t>Model y</t>
  </si>
  <si>
    <t>year</t>
  </si>
  <si>
    <t>Column4</t>
  </si>
  <si>
    <t>Size_area_1</t>
  </si>
  <si>
    <t>Year</t>
  </si>
  <si>
    <t>Pup_estimate</t>
  </si>
  <si>
    <t>Pu_SE</t>
  </si>
  <si>
    <t>Mean_pups</t>
  </si>
  <si>
    <t>Pus_SD</t>
  </si>
  <si>
    <t>Pups_LCI</t>
  </si>
  <si>
    <t>Pups_UCI</t>
  </si>
  <si>
    <t>Mean_POP</t>
  </si>
  <si>
    <t>Total_SD</t>
  </si>
  <si>
    <t>Total_LCI</t>
  </si>
  <si>
    <t>Total_UCI</t>
  </si>
  <si>
    <t>Mean_POP_ADJ</t>
  </si>
  <si>
    <t>Total_LCI_ADJ</t>
  </si>
  <si>
    <t>Total_UCI_ADJ</t>
  </si>
  <si>
    <t>CL are 95%</t>
  </si>
  <si>
    <t>PupMean</t>
  </si>
  <si>
    <t>PupLL</t>
  </si>
  <si>
    <t>PupUL</t>
  </si>
  <si>
    <t>PopMean</t>
  </si>
  <si>
    <t>PopLL</t>
  </si>
  <si>
    <t>PopUL</t>
  </si>
  <si>
    <t>CI=95% confidence intervals</t>
  </si>
  <si>
    <t>Mean_Pop_ADJ is ajusted for sex ration of 0.69 M:F</t>
  </si>
  <si>
    <t xml:space="preserve">Extremely low recruitment compensation - SR sheet 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</si>
  <si>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</si>
  <si>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</si>
  <si>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</si>
  <si>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</si>
  <si>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</si>
  <si>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</si>
  <si>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</si>
  <si>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</si>
  <si>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</si>
  <si>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</si>
  <si>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</si>
  <si>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</si>
  <si>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</si>
  <si>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</si>
  <si>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</si>
  <si>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</si>
  <si>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</si>
  <si>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</si>
  <si>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</si>
  <si>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</si>
  <si>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</si>
  <si>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</si>
  <si>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</si>
  <si>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</si>
  <si>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</si>
  <si>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</si>
  <si>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</si>
  <si>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</si>
  <si>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</si>
  <si>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</si>
  <si>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</si>
  <si>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</si>
  <si>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</si>
  <si>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</si>
  <si>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</si>
  <si>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</si>
  <si>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</si>
  <si>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</si>
  <si>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</si>
  <si>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</si>
  <si>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</si>
  <si>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</si>
  <si>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</si>
  <si>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</si>
  <si>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</si>
  <si>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</si>
  <si>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</si>
  <si>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</si>
  <si>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</si>
  <si>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</si>
  <si>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</si>
  <si>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</si>
  <si>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</si>
  <si>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</si>
  <si>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</si>
  <si>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</si>
  <si>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</si>
  <si>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</si>
  <si>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</si>
  <si>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</si>
  <si>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</si>
  <si>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</si>
  <si>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</si>
  <si>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</si>
  <si>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</si>
  <si>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</si>
  <si>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</si>
  <si>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</si>
  <si>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</si>
  <si>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</si>
  <si>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</si>
  <si>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</si>
  <si>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</si>
  <si>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</si>
  <si>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</si>
  <si>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</si>
  <si>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</si>
  <si>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</si>
  <si>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</si>
  <si>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</si>
  <si>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</si>
  <si>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</si>
  <si>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</si>
  <si>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</si>
  <si>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</si>
  <si>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</si>
  <si>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</si>
  <si>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</si>
  <si>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</si>
  <si>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</si>
  <si>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</si>
  <si>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</si>
  <si>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</si>
  <si>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</si>
  <si>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</si>
  <si>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</si>
  <si>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Hammill et al 2017</t>
  </si>
  <si>
    <t>Mean K</t>
  </si>
  <si>
    <t>LB</t>
  </si>
  <si>
    <t>UB</t>
  </si>
  <si>
    <t>female ratio</t>
  </si>
  <si>
    <t xml:space="preserve">R0 estimates </t>
  </si>
  <si>
    <t xml:space="preserve">N </t>
  </si>
  <si>
    <t>M1</t>
  </si>
  <si>
    <t>S1</t>
  </si>
  <si>
    <t>age</t>
  </si>
  <si>
    <t>pregnancy rate</t>
  </si>
  <si>
    <t>inf</t>
  </si>
  <si>
    <t>slope</t>
  </si>
  <si>
    <t>pred</t>
  </si>
  <si>
    <t>pseudo maturity</t>
  </si>
  <si>
    <t>F frac</t>
  </si>
  <si>
    <t>female spawning number per recruit</t>
  </si>
  <si>
    <t>Low M</t>
  </si>
  <si>
    <t>High M</t>
  </si>
  <si>
    <t>Low M (0.032)</t>
  </si>
  <si>
    <t>High M (0.039)</t>
  </si>
  <si>
    <t>Female pregnant number per recruit</t>
  </si>
  <si>
    <t>Preg rate</t>
  </si>
  <si>
    <t>Science</t>
  </si>
  <si>
    <t>YOY</t>
  </si>
  <si>
    <t>1plus</t>
  </si>
  <si>
    <t>Cull 1+</t>
  </si>
  <si>
    <t>Cull YOY</t>
  </si>
  <si>
    <t xml:space="preserve">Total </t>
  </si>
  <si>
    <t>U</t>
  </si>
  <si>
    <t>F</t>
  </si>
  <si>
    <t>unlinked</t>
  </si>
  <si>
    <t>numbers model</t>
  </si>
  <si>
    <t>Depletion given K estimates in sheet SSB0</t>
  </si>
  <si>
    <t>Common_Name</t>
  </si>
  <si>
    <t>Stone's sheep</t>
  </si>
  <si>
    <t>Ovis dalli stonei</t>
  </si>
  <si>
    <t>From the von Bertalaffy model - horn length</t>
  </si>
  <si>
    <t>Horn length at 50% maturity between 3/4 curl and full curl (avg. 90cm)</t>
  </si>
  <si>
    <t>"Most mature rams produce horns between 90 and 110cm in length" - Status in thinhorn sheep, Demarchi and Hartwig</t>
  </si>
  <si>
    <t>From SRA - current numbers 71% of unharvested</t>
  </si>
  <si>
    <t>numbers model, not a weight model</t>
  </si>
  <si>
    <t>Assume no discarding</t>
  </si>
  <si>
    <t>Stones.sheep.WMU742</t>
  </si>
  <si>
    <t>1975-2016</t>
  </si>
  <si>
    <t>Trophy</t>
  </si>
  <si>
    <t>Assume no change in efficiency</t>
  </si>
  <si>
    <t>From percentile distribution of catch at horn length</t>
  </si>
  <si>
    <t>At max length, vulnerability is 1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</si>
  <si>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values maintained from generic case, following numbers-based seal example</t>
    </r>
  </si>
  <si>
    <t>Not in use - values from SRA</t>
  </si>
  <si>
    <t>Peace Region (WMU 7-42)</t>
  </si>
  <si>
    <t>BC Ministry of Forests, Lands, Natural Resource Operations and Rural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</si>
</sst>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0" borderId="0"/>
    <xf numFmtId="0" fontId="3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4" fillId="0" borderId="0" xfId="0" applyFont="1"/>
    <xf numFmtId="1" fontId="4" fillId="0" borderId="0" xfId="1" applyNumberFormat="1" applyFont="1"/>
    <xf numFmtId="2" fontId="4" fillId="0" borderId="0" xfId="1" applyNumberFormat="1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19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/>
    <xf numFmtId="0" fontId="26" fillId="0" borderId="0" xfId="0" applyFont="1" applyBorder="1" applyAlignment="1">
      <alignment horizontal="center" vertical="center"/>
    </xf>
    <xf numFmtId="1" fontId="0" fillId="0" borderId="0" xfId="0" applyNumberFormat="1"/>
    <xf numFmtId="0" fontId="0" fillId="33" borderId="0" xfId="0" applyFill="1"/>
    <xf numFmtId="0" fontId="0" fillId="34" borderId="0" xfId="0" applyFill="1"/>
    <xf numFmtId="165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0" fillId="0" borderId="12" xfId="0" applyBorder="1"/>
    <xf numFmtId="2" fontId="0" fillId="0" borderId="0" xfId="0" applyNumberFormat="1"/>
    <xf numFmtId="1" fontId="19" fillId="0" borderId="0" xfId="0" applyNumberFormat="1" applyFont="1"/>
    <xf numFmtId="0" fontId="25" fillId="0" borderId="10" xfId="0" applyFont="1" applyBorder="1"/>
    <xf numFmtId="0" fontId="29" fillId="0" borderId="0" xfId="0" applyFont="1"/>
    <xf numFmtId="0" fontId="23" fillId="0" borderId="0" xfId="0" applyFont="1" applyAlignment="1">
      <alignment wrapText="1"/>
    </xf>
    <xf numFmtId="0" fontId="28" fillId="0" borderId="0" xfId="0" applyFont="1" applyAlignment="1">
      <alignment wrapText="1"/>
    </xf>
    <xf numFmtId="164" fontId="28" fillId="0" borderId="11" xfId="0" applyNumberFormat="1" applyFont="1" applyBorder="1"/>
    <xf numFmtId="0" fontId="0" fillId="0" borderId="0" xfId="0" applyAlignment="1"/>
    <xf numFmtId="0" fontId="30" fillId="0" borderId="0" xfId="44"/>
    <xf numFmtId="0" fontId="25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0" fillId="0" borderId="0" xfId="0" applyFill="1"/>
    <xf numFmtId="0" fontId="31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35" borderId="0" xfId="0" applyFill="1"/>
    <xf numFmtId="0" fontId="34" fillId="0" borderId="0" xfId="0" applyFont="1" applyFill="1"/>
    <xf numFmtId="0" fontId="1" fillId="0" borderId="0" xfId="0" applyFont="1" applyFill="1" applyAlignment="1">
      <alignment vertical="center"/>
    </xf>
    <xf numFmtId="3" fontId="0" fillId="0" borderId="0" xfId="0" applyNumberFormat="1" applyFill="1"/>
    <xf numFmtId="0" fontId="0" fillId="0" borderId="0" xfId="0" applyFill="1" applyBorder="1"/>
    <xf numFmtId="0" fontId="0" fillId="36" borderId="0" xfId="0" applyFill="1"/>
    <xf numFmtId="0" fontId="0" fillId="37" borderId="0" xfId="0" applyFill="1"/>
    <xf numFmtId="165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7" borderId="0" xfId="0" applyFill="1" applyAlignment="1"/>
    <xf numFmtId="1" fontId="0" fillId="36" borderId="0" xfId="0" applyNumberFormat="1" applyFill="1"/>
    <xf numFmtId="0" fontId="37" fillId="0" borderId="0" xfId="0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Pups</a:t>
            </a:r>
            <a:r>
              <a:rPr lang="en-US" sz="1200" baseline="0"/>
              <a:t> per population numbers (Sable Island)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58092738407699"/>
          <c:y val="0.12178257880298468"/>
          <c:w val="0.79575240594925645"/>
          <c:h val="0.6993362520383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x.SR!$D$6</c:f>
              <c:strCache>
                <c:ptCount val="1"/>
                <c:pt idx="0">
                  <c:v>Mean_pups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x.SR!$C$7:$C$63</c:f>
              <c:numCache>
                <c:formatCode>0</c:formatCode>
                <c:ptCount val="57"/>
                <c:pt idx="0">
                  <c:v>1601.222809601001</c:v>
                </c:pt>
                <c:pt idx="1">
                  <c:v>1765.4960613952546</c:v>
                </c:pt>
                <c:pt idx="2">
                  <c:v>1934.2472442092899</c:v>
                </c:pt>
                <c:pt idx="3">
                  <c:v>2127.4664284814826</c:v>
                </c:pt>
                <c:pt idx="4">
                  <c:v>2357.0279114934024</c:v>
                </c:pt>
                <c:pt idx="5">
                  <c:v>2626.1983757197345</c:v>
                </c:pt>
                <c:pt idx="6">
                  <c:v>2931.6152590760034</c:v>
                </c:pt>
                <c:pt idx="7">
                  <c:v>3267.0745929110694</c:v>
                </c:pt>
                <c:pt idx="8">
                  <c:v>3644.4121793108616</c:v>
                </c:pt>
                <c:pt idx="9">
                  <c:v>4060.2912795770185</c:v>
                </c:pt>
                <c:pt idx="10">
                  <c:v>4545.1722641223796</c:v>
                </c:pt>
                <c:pt idx="11">
                  <c:v>5037.2155945825843</c:v>
                </c:pt>
                <c:pt idx="12">
                  <c:v>5621.5525667390775</c:v>
                </c:pt>
                <c:pt idx="13">
                  <c:v>6292.1892013598599</c:v>
                </c:pt>
                <c:pt idx="14">
                  <c:v>7045.489715393639</c:v>
                </c:pt>
                <c:pt idx="15">
                  <c:v>7888.1570945656258</c:v>
                </c:pt>
                <c:pt idx="16">
                  <c:v>8809.4639068582346</c:v>
                </c:pt>
                <c:pt idx="17">
                  <c:v>9851.5702600599852</c:v>
                </c:pt>
                <c:pt idx="18">
                  <c:v>10940.62684373316</c:v>
                </c:pt>
                <c:pt idx="19">
                  <c:v>12246.00164555443</c:v>
                </c:pt>
                <c:pt idx="20">
                  <c:v>13704.053882554535</c:v>
                </c:pt>
                <c:pt idx="21">
                  <c:v>15333.276914908025</c:v>
                </c:pt>
                <c:pt idx="22">
                  <c:v>17031.16535414489</c:v>
                </c:pt>
                <c:pt idx="23">
                  <c:v>19063.252005908904</c:v>
                </c:pt>
                <c:pt idx="24">
                  <c:v>21047.573198315036</c:v>
                </c:pt>
                <c:pt idx="25">
                  <c:v>23509.373592262116</c:v>
                </c:pt>
                <c:pt idx="26">
                  <c:v>26408.803911159623</c:v>
                </c:pt>
                <c:pt idx="27">
                  <c:v>29094.558459227643</c:v>
                </c:pt>
                <c:pt idx="28">
                  <c:v>32875.995807039224</c:v>
                </c:pt>
                <c:pt idx="29">
                  <c:v>36584.694138559658</c:v>
                </c:pt>
                <c:pt idx="30">
                  <c:v>40278.841757924019</c:v>
                </c:pt>
                <c:pt idx="31">
                  <c:v>44727.582257146634</c:v>
                </c:pt>
                <c:pt idx="32">
                  <c:v>49892.553792111525</c:v>
                </c:pt>
                <c:pt idx="33">
                  <c:v>55705.882024379367</c:v>
                </c:pt>
                <c:pt idx="34">
                  <c:v>62166.991025442512</c:v>
                </c:pt>
                <c:pt idx="35">
                  <c:v>69353.894079878388</c:v>
                </c:pt>
                <c:pt idx="36">
                  <c:v>77327.122422510889</c:v>
                </c:pt>
                <c:pt idx="37">
                  <c:v>86115.118698471546</c:v>
                </c:pt>
                <c:pt idx="38">
                  <c:v>94389.445994023205</c:v>
                </c:pt>
                <c:pt idx="39">
                  <c:v>106864.82396771516</c:v>
                </c:pt>
                <c:pt idx="40">
                  <c:v>117423.54598709266</c:v>
                </c:pt>
                <c:pt idx="41">
                  <c:v>126325.08404799785</c:v>
                </c:pt>
                <c:pt idx="42">
                  <c:v>138351.0431056376</c:v>
                </c:pt>
                <c:pt idx="43">
                  <c:v>144796.36101794688</c:v>
                </c:pt>
                <c:pt idx="44">
                  <c:v>162488.229157572</c:v>
                </c:pt>
                <c:pt idx="45">
                  <c:v>173998.70256375259</c:v>
                </c:pt>
                <c:pt idx="46">
                  <c:v>186904.95200724844</c:v>
                </c:pt>
                <c:pt idx="47">
                  <c:v>200752.6914524259</c:v>
                </c:pt>
                <c:pt idx="48">
                  <c:v>210324.56745443845</c:v>
                </c:pt>
                <c:pt idx="49">
                  <c:v>225668.57895272307</c:v>
                </c:pt>
                <c:pt idx="50">
                  <c:v>240024.95297099391</c:v>
                </c:pt>
                <c:pt idx="51">
                  <c:v>246470.65507871917</c:v>
                </c:pt>
                <c:pt idx="52">
                  <c:v>267732.03309071437</c:v>
                </c:pt>
                <c:pt idx="53">
                  <c:v>273135.21516351576</c:v>
                </c:pt>
                <c:pt idx="54">
                  <c:v>292307.36113668553</c:v>
                </c:pt>
                <c:pt idx="55">
                  <c:v>301923.9181195859</c:v>
                </c:pt>
                <c:pt idx="56">
                  <c:v>313447.88058587024</c:v>
                </c:pt>
              </c:numCache>
            </c:numRef>
          </c:xVal>
          <c:yVal>
            <c:numRef>
              <c:f>x.SR!$D$7:$D$63</c:f>
              <c:numCache>
                <c:formatCode>0</c:formatCode>
                <c:ptCount val="57"/>
                <c:pt idx="0">
                  <c:v>607.76056888893697</c:v>
                </c:pt>
                <c:pt idx="1">
                  <c:v>627.10594695944803</c:v>
                </c:pt>
                <c:pt idx="2">
                  <c:v>644.43875468285296</c:v>
                </c:pt>
                <c:pt idx="3">
                  <c:v>701.71530093445904</c:v>
                </c:pt>
                <c:pt idx="4">
                  <c:v>804.41287510796201</c:v>
                </c:pt>
                <c:pt idx="5">
                  <c:v>903.00049537632901</c:v>
                </c:pt>
                <c:pt idx="6">
                  <c:v>1004.86031174708</c:v>
                </c:pt>
                <c:pt idx="7">
                  <c:v>1102.92313024076</c:v>
                </c:pt>
                <c:pt idx="8">
                  <c:v>1220.1916216956599</c:v>
                </c:pt>
                <c:pt idx="9">
                  <c:v>1360.09444461975</c:v>
                </c:pt>
                <c:pt idx="10">
                  <c:v>1499.24135338531</c:v>
                </c:pt>
                <c:pt idx="11">
                  <c:v>1651.1505406430499</c:v>
                </c:pt>
                <c:pt idx="12">
                  <c:v>1824.59206290059</c:v>
                </c:pt>
                <c:pt idx="13">
                  <c:v>2019.2499963360999</c:v>
                </c:pt>
                <c:pt idx="14">
                  <c:v>2239.0736130969099</c:v>
                </c:pt>
                <c:pt idx="15">
                  <c:v>2480.1177028903599</c:v>
                </c:pt>
                <c:pt idx="16">
                  <c:v>2736.7978298274302</c:v>
                </c:pt>
                <c:pt idx="17">
                  <c:v>3038.2965918393302</c:v>
                </c:pt>
                <c:pt idx="18">
                  <c:v>3337.4541883247898</c:v>
                </c:pt>
                <c:pt idx="19">
                  <c:v>3695.0611266384899</c:v>
                </c:pt>
                <c:pt idx="20">
                  <c:v>4073.5637824566402</c:v>
                </c:pt>
                <c:pt idx="21">
                  <c:v>4507.1624059710302</c:v>
                </c:pt>
                <c:pt idx="22">
                  <c:v>5001.2301263582904</c:v>
                </c:pt>
                <c:pt idx="23">
                  <c:v>5499.1380104083</c:v>
                </c:pt>
                <c:pt idx="24">
                  <c:v>6017.6876233061903</c:v>
                </c:pt>
                <c:pt idx="25">
                  <c:v>6663.0402109616398</c:v>
                </c:pt>
                <c:pt idx="26">
                  <c:v>7620.49158048965</c:v>
                </c:pt>
                <c:pt idx="27">
                  <c:v>8103.4222226948104</c:v>
                </c:pt>
                <c:pt idx="28">
                  <c:v>9588.8101687174494</c:v>
                </c:pt>
                <c:pt idx="29">
                  <c:v>10224.4817983787</c:v>
                </c:pt>
                <c:pt idx="30">
                  <c:v>11259.166044993301</c:v>
                </c:pt>
                <c:pt idx="31">
                  <c:v>12438.5713682068</c:v>
                </c:pt>
                <c:pt idx="32">
                  <c:v>13845.8735881336</c:v>
                </c:pt>
                <c:pt idx="33">
                  <c:v>15501.887127665501</c:v>
                </c:pt>
                <c:pt idx="34">
                  <c:v>17376.9402252734</c:v>
                </c:pt>
                <c:pt idx="35">
                  <c:v>19544.6003959724</c:v>
                </c:pt>
                <c:pt idx="36">
                  <c:v>21964.227496578598</c:v>
                </c:pt>
                <c:pt idx="37">
                  <c:v>24616.267972138099</c:v>
                </c:pt>
                <c:pt idx="38">
                  <c:v>26781.8183566925</c:v>
                </c:pt>
                <c:pt idx="39">
                  <c:v>32293.783923694798</c:v>
                </c:pt>
                <c:pt idx="40">
                  <c:v>35827.858559644497</c:v>
                </c:pt>
                <c:pt idx="41">
                  <c:v>37107.068715100897</c:v>
                </c:pt>
                <c:pt idx="42">
                  <c:v>41362.808258677898</c:v>
                </c:pt>
                <c:pt idx="43">
                  <c:v>40838.623361729398</c:v>
                </c:pt>
                <c:pt idx="44">
                  <c:v>51435.066269995797</c:v>
                </c:pt>
                <c:pt idx="45">
                  <c:v>51919.645341588403</c:v>
                </c:pt>
                <c:pt idx="46">
                  <c:v>55299.738542690699</c:v>
                </c:pt>
                <c:pt idx="47">
                  <c:v>59813.619228104501</c:v>
                </c:pt>
                <c:pt idx="48">
                  <c:v>61308.596721292102</c:v>
                </c:pt>
                <c:pt idx="49">
                  <c:v>66587.184908580501</c:v>
                </c:pt>
                <c:pt idx="50">
                  <c:v>72946.0068058467</c:v>
                </c:pt>
                <c:pt idx="51">
                  <c:v>65173.359838210898</c:v>
                </c:pt>
                <c:pt idx="52">
                  <c:v>81217.242308057102</c:v>
                </c:pt>
                <c:pt idx="53">
                  <c:v>83240.934008447104</c:v>
                </c:pt>
                <c:pt idx="54">
                  <c:v>93867.562911376604</c:v>
                </c:pt>
                <c:pt idx="55">
                  <c:v>96550.523837493005</c:v>
                </c:pt>
                <c:pt idx="56">
                  <c:v>100288.12296273401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1-4AF8-AA83-1F4BE612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0456"/>
        <c:axId val="762491240"/>
      </c:scatterChart>
      <c:valAx>
        <c:axId val="7624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predicted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1240"/>
        <c:crosses val="autoZero"/>
        <c:crossBetween val="midCat"/>
      </c:valAx>
      <c:valAx>
        <c:axId val="7624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Growth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7171296296296296"/>
          <c:w val="0.749112860892388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West 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x.Growth!$A$3:$A$10</c:f>
              <c:numCache>
                <c:formatCode>General</c:formatCode>
                <c:ptCount val="8"/>
                <c:pt idx="0">
                  <c:v>0.96111111111111103</c:v>
                </c:pt>
                <c:pt idx="1">
                  <c:v>1.9722222222222201</c:v>
                </c:pt>
                <c:pt idx="2">
                  <c:v>2.9638888888888801</c:v>
                </c:pt>
                <c:pt idx="3">
                  <c:v>3.9555555555555499</c:v>
                </c:pt>
                <c:pt idx="4">
                  <c:v>4.9666666666666597</c:v>
                </c:pt>
                <c:pt idx="5">
                  <c:v>5.9388888888888802</c:v>
                </c:pt>
                <c:pt idx="6">
                  <c:v>6.9694444444444397</c:v>
                </c:pt>
                <c:pt idx="7">
                  <c:v>7.9611111111111104</c:v>
                </c:pt>
              </c:numCache>
            </c:numRef>
          </c:xVal>
          <c:yVal>
            <c:numRef>
              <c:f>x.Growth!$B$3:$B$10</c:f>
              <c:numCache>
                <c:formatCode>General</c:formatCode>
                <c:ptCount val="8"/>
                <c:pt idx="0">
                  <c:v>24.676470588235201</c:v>
                </c:pt>
                <c:pt idx="1">
                  <c:v>42.259803921568597</c:v>
                </c:pt>
                <c:pt idx="2">
                  <c:v>55.873774509803901</c:v>
                </c:pt>
                <c:pt idx="3">
                  <c:v>69.046568627450895</c:v>
                </c:pt>
                <c:pt idx="4">
                  <c:v>79.129901960784295</c:v>
                </c:pt>
                <c:pt idx="5">
                  <c:v>87.450980392156794</c:v>
                </c:pt>
                <c:pt idx="6">
                  <c:v>93.5625</c:v>
                </c:pt>
                <c:pt idx="7">
                  <c:v>100.117647058823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2-409C-87C6-9D136B3D3628}"/>
            </c:ext>
          </c:extLst>
        </c:ser>
        <c:ser>
          <c:idx val="1"/>
          <c:order val="1"/>
          <c:tx>
            <c:v>West predicted</c:v>
          </c:tx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x.Growth!$A$3:$A$10</c:f>
              <c:numCache>
                <c:formatCode>General</c:formatCode>
                <c:ptCount val="8"/>
                <c:pt idx="0">
                  <c:v>0.96111111111111103</c:v>
                </c:pt>
                <c:pt idx="1">
                  <c:v>1.9722222222222201</c:v>
                </c:pt>
                <c:pt idx="2">
                  <c:v>2.9638888888888801</c:v>
                </c:pt>
                <c:pt idx="3">
                  <c:v>3.9555555555555499</c:v>
                </c:pt>
                <c:pt idx="4">
                  <c:v>4.9666666666666597</c:v>
                </c:pt>
                <c:pt idx="5">
                  <c:v>5.9388888888888802</c:v>
                </c:pt>
                <c:pt idx="6">
                  <c:v>6.9694444444444397</c:v>
                </c:pt>
                <c:pt idx="7">
                  <c:v>7.9611111111111104</c:v>
                </c:pt>
              </c:numCache>
            </c:numRef>
          </c:xVal>
          <c:yVal>
            <c:numRef>
              <c:f>x.Growth!$C$3:$C$10</c:f>
              <c:numCache>
                <c:formatCode>General</c:formatCode>
                <c:ptCount val="8"/>
                <c:pt idx="0">
                  <c:v>65.241854465817028</c:v>
                </c:pt>
                <c:pt idx="1">
                  <c:v>100.40652393834907</c:v>
                </c:pt>
                <c:pt idx="2">
                  <c:v>117.84759175453078</c:v>
                </c:pt>
                <c:pt idx="3">
                  <c:v>126.73280489319659</c:v>
                </c:pt>
                <c:pt idx="4">
                  <c:v>131.32106086085875</c:v>
                </c:pt>
                <c:pt idx="5">
                  <c:v>133.56529592827985</c:v>
                </c:pt>
                <c:pt idx="6">
                  <c:v>134.77190822305548</c:v>
                </c:pt>
                <c:pt idx="7">
                  <c:v>135.35476317200985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2-409C-87C6-9D136B3D3628}"/>
            </c:ext>
          </c:extLst>
        </c:ser>
        <c:ser>
          <c:idx val="2"/>
          <c:order val="2"/>
          <c:tx>
            <c:v>East 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x.Growth!$A$14:$A$21</c:f>
              <c:numCache>
                <c:formatCode>General</c:formatCode>
                <c:ptCount val="8"/>
              </c:numCache>
            </c:numRef>
          </c:xVal>
          <c:yVal>
            <c:numRef>
              <c:f>x.Growth!$B$14:$B$21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2-409C-87C6-9D136B3D3628}"/>
            </c:ext>
          </c:extLst>
        </c:ser>
        <c:ser>
          <c:idx val="3"/>
          <c:order val="3"/>
          <c:tx>
            <c:v>East Predicted</c:v>
          </c:tx>
          <c:spPr>
            <a:ln w="25400" cap="rnd">
              <a:solidFill>
                <a:srgbClr val="FF0000">
                  <a:alpha val="6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x.Growth!$A$14:$A$21</c:f>
              <c:numCache>
                <c:formatCode>General</c:formatCode>
                <c:ptCount val="8"/>
              </c:numCache>
            </c:numRef>
          </c:xVal>
          <c:yVal>
            <c:numRef>
              <c:f>x.Growth!$C$14:$C$21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2-409C-87C6-9D136B3D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1632"/>
        <c:axId val="762492416"/>
      </c:scatterChart>
      <c:valAx>
        <c:axId val="7624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2416"/>
        <c:crosses val="autoZero"/>
        <c:crossBetween val="midCat"/>
      </c:valAx>
      <c:valAx>
        <c:axId val="7624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80489938757652"/>
          <c:y val="0.51525335374744818"/>
          <c:w val="0.23952843394575679"/>
          <c:h val="0.31250218722659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x.Pregnancy!$C$1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x.Pregnancy!$A$2:$A$25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x.Pregnancy!$C$2:$C$25</c:f>
              <c:numCache>
                <c:formatCode>General</c:formatCode>
                <c:ptCount val="24"/>
                <c:pt idx="0">
                  <c:v>1.000449441700561E-2</c:v>
                </c:pt>
                <c:pt idx="1">
                  <c:v>0.17900740066563478</c:v>
                </c:pt>
                <c:pt idx="2">
                  <c:v>0.72276996126933812</c:v>
                </c:pt>
                <c:pt idx="3">
                  <c:v>0.83584725823944706</c:v>
                </c:pt>
                <c:pt idx="4">
                  <c:v>0.84171200175739114</c:v>
                </c:pt>
                <c:pt idx="5">
                  <c:v>0.8419751082314737</c:v>
                </c:pt>
                <c:pt idx="6">
                  <c:v>0.84198682973962102</c:v>
                </c:pt>
                <c:pt idx="7">
                  <c:v>0.84198735177506345</c:v>
                </c:pt>
                <c:pt idx="8">
                  <c:v>0.84198737502439402</c:v>
                </c:pt>
                <c:pt idx="9">
                  <c:v>0.84198737605982377</c:v>
                </c:pt>
                <c:pt idx="10">
                  <c:v>0.84198737610593744</c:v>
                </c:pt>
                <c:pt idx="11">
                  <c:v>0.84198737610799124</c:v>
                </c:pt>
                <c:pt idx="12">
                  <c:v>0.84198737610808261</c:v>
                </c:pt>
                <c:pt idx="13">
                  <c:v>0.84198737610808672</c:v>
                </c:pt>
                <c:pt idx="14">
                  <c:v>0.84198737610808694</c:v>
                </c:pt>
                <c:pt idx="15">
                  <c:v>0.84198737610808694</c:v>
                </c:pt>
                <c:pt idx="16">
                  <c:v>0.84198737610808694</c:v>
                </c:pt>
                <c:pt idx="17">
                  <c:v>0.84198737610808694</c:v>
                </c:pt>
                <c:pt idx="18">
                  <c:v>0.84198737610808694</c:v>
                </c:pt>
                <c:pt idx="19">
                  <c:v>0.84198737610808694</c:v>
                </c:pt>
                <c:pt idx="20">
                  <c:v>0.84198737610808694</c:v>
                </c:pt>
                <c:pt idx="21">
                  <c:v>0.84198737610808694</c:v>
                </c:pt>
                <c:pt idx="22">
                  <c:v>0.84198737610808694</c:v>
                </c:pt>
                <c:pt idx="23">
                  <c:v>0.84198737610808694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8-4708-9F34-12EB2947DFE7}"/>
            </c:ext>
          </c:extLst>
        </c:ser>
        <c:ser>
          <c:idx val="1"/>
          <c:order val="1"/>
          <c:tx>
            <c:v>obs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x.Pregnancy!$A$1:$A$25</c:f>
              <c:strCache>
                <c:ptCount val="25"/>
                <c:pt idx="0">
                  <c:v>age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xVal>
          <c:yVal>
            <c:numRef>
              <c:f>x.Pregnancy!$B$1:$B$25</c:f>
              <c:numCache>
                <c:formatCode>General</c:formatCode>
                <c:ptCount val="25"/>
                <c:pt idx="0">
                  <c:v>0</c:v>
                </c:pt>
                <c:pt idx="1">
                  <c:v>9.9524658348186801E-3</c:v>
                </c:pt>
                <c:pt idx="2">
                  <c:v>0.181372549019607</c:v>
                </c:pt>
                <c:pt idx="3">
                  <c:v>0.69622697563874003</c:v>
                </c:pt>
                <c:pt idx="4">
                  <c:v>0.84740790255496101</c:v>
                </c:pt>
                <c:pt idx="5">
                  <c:v>0.79660576351752799</c:v>
                </c:pt>
                <c:pt idx="6">
                  <c:v>0.94778669043374897</c:v>
                </c:pt>
                <c:pt idx="7">
                  <c:v>0.95755347593582796</c:v>
                </c:pt>
                <c:pt idx="8">
                  <c:v>0.85632055852643996</c:v>
                </c:pt>
                <c:pt idx="9">
                  <c:v>0.80548128342245895</c:v>
                </c:pt>
                <c:pt idx="10">
                  <c:v>0.80514705882352899</c:v>
                </c:pt>
                <c:pt idx="11">
                  <c:v>0.89575906120023696</c:v>
                </c:pt>
                <c:pt idx="12">
                  <c:v>0.99650920974450297</c:v>
                </c:pt>
                <c:pt idx="13">
                  <c:v>0.90526589423648196</c:v>
                </c:pt>
                <c:pt idx="14">
                  <c:v>0.99584076054664195</c:v>
                </c:pt>
                <c:pt idx="15">
                  <c:v>0.87436868686868596</c:v>
                </c:pt>
                <c:pt idx="16">
                  <c:v>0.84373143196672595</c:v>
                </c:pt>
                <c:pt idx="17">
                  <c:v>0.99498663101604201</c:v>
                </c:pt>
                <c:pt idx="18">
                  <c:v>0.28761883541295302</c:v>
                </c:pt>
                <c:pt idx="19">
                  <c:v>0.89334521687462798</c:v>
                </c:pt>
                <c:pt idx="20">
                  <c:v>0.98399435531788404</c:v>
                </c:pt>
                <c:pt idx="21">
                  <c:v>0.98366013071895397</c:v>
                </c:pt>
                <c:pt idx="22">
                  <c:v>0.74093879976232901</c:v>
                </c:pt>
                <c:pt idx="23">
                  <c:v>0.99312982768865099</c:v>
                </c:pt>
                <c:pt idx="24">
                  <c:v>0.75037136066547805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8-4708-9F34-12EB2947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5888"/>
        <c:axId val="750820200"/>
      </c:scatterChart>
      <c:valAx>
        <c:axId val="750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20200"/>
        <c:crosses val="autoZero"/>
        <c:crossBetween val="midCat"/>
      </c:valAx>
      <c:valAx>
        <c:axId val="7508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CA" sz="1200">
                <a:latin typeface="Arial" panose="020B0604020202020204" pitchFamily="34" charset="0"/>
                <a:cs typeface="Arial" panose="020B0604020202020204" pitchFamily="34" charset="0"/>
              </a:rPr>
              <a:t>Sable</a:t>
            </a:r>
            <a:r>
              <a:rPr lang="en-CA" sz="1200" baseline="0">
                <a:latin typeface="Arial" panose="020B0604020202020204" pitchFamily="34" charset="0"/>
                <a:cs typeface="Arial" panose="020B0604020202020204" pitchFamily="34" charset="0"/>
              </a:rPr>
              <a:t> Island Pup Production, gamma=15</a:t>
            </a:r>
            <a:endParaRPr lang="en-CA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Model_output!$B$2:$B$58</c:f>
              <c:numCache>
                <c:formatCode>0</c:formatCode>
                <c:ptCount val="57"/>
                <c:pt idx="0">
                  <c:v>414.70160402363501</c:v>
                </c:pt>
                <c:pt idx="1">
                  <c:v>436.98140654840603</c:v>
                </c:pt>
                <c:pt idx="2">
                  <c:v>458.650041385115</c:v>
                </c:pt>
                <c:pt idx="3">
                  <c:v>503.71058180493901</c:v>
                </c:pt>
                <c:pt idx="4">
                  <c:v>573.71887461565302</c:v>
                </c:pt>
                <c:pt idx="5">
                  <c:v>659.67066928157499</c:v>
                </c:pt>
                <c:pt idx="6">
                  <c:v>749.46612291013298</c:v>
                </c:pt>
                <c:pt idx="7">
                  <c:v>835.08285750666005</c:v>
                </c:pt>
                <c:pt idx="8">
                  <c:v>934.36798292655203</c:v>
                </c:pt>
                <c:pt idx="9">
                  <c:v>1037.24330213346</c:v>
                </c:pt>
                <c:pt idx="10">
                  <c:v>1179.6418730968501</c:v>
                </c:pt>
                <c:pt idx="11">
                  <c:v>1311.0799796952699</c:v>
                </c:pt>
                <c:pt idx="12">
                  <c:v>1466.3522503260499</c:v>
                </c:pt>
                <c:pt idx="13">
                  <c:v>1642.2181699534899</c:v>
                </c:pt>
                <c:pt idx="14">
                  <c:v>1841.2119921876799</c:v>
                </c:pt>
                <c:pt idx="15">
                  <c:v>2063.2913264157401</c:v>
                </c:pt>
                <c:pt idx="16">
                  <c:v>2302.7104387742202</c:v>
                </c:pt>
                <c:pt idx="17">
                  <c:v>2572.3915161577102</c:v>
                </c:pt>
                <c:pt idx="18">
                  <c:v>2853.4265227270498</c:v>
                </c:pt>
                <c:pt idx="19">
                  <c:v>3189.9984073302498</c:v>
                </c:pt>
                <c:pt idx="20">
                  <c:v>3564.0818913859898</c:v>
                </c:pt>
                <c:pt idx="21">
                  <c:v>3981.7036861220599</c:v>
                </c:pt>
                <c:pt idx="22">
                  <c:v>4384.2991697390698</c:v>
                </c:pt>
                <c:pt idx="23">
                  <c:v>4939.17141326825</c:v>
                </c:pt>
                <c:pt idx="24">
                  <c:v>5443.2935327647301</c:v>
                </c:pt>
                <c:pt idx="25">
                  <c:v>6070.6568711712598</c:v>
                </c:pt>
                <c:pt idx="26">
                  <c:v>6925.1709773475204</c:v>
                </c:pt>
                <c:pt idx="27">
                  <c:v>7154.8722396146004</c:v>
                </c:pt>
                <c:pt idx="28">
                  <c:v>8665.4865280128506</c:v>
                </c:pt>
                <c:pt idx="29">
                  <c:v>9416.9261551124291</c:v>
                </c:pt>
                <c:pt idx="30">
                  <c:v>10357.861073992901</c:v>
                </c:pt>
                <c:pt idx="31">
                  <c:v>11468.487622801</c:v>
                </c:pt>
                <c:pt idx="32">
                  <c:v>12738.364846722599</c:v>
                </c:pt>
                <c:pt idx="33">
                  <c:v>14282.011366844499</c:v>
                </c:pt>
                <c:pt idx="34">
                  <c:v>15929.9946561011</c:v>
                </c:pt>
                <c:pt idx="35">
                  <c:v>17772.357977052099</c:v>
                </c:pt>
                <c:pt idx="36">
                  <c:v>19815.1336187612</c:v>
                </c:pt>
                <c:pt idx="37">
                  <c:v>22061.918258525599</c:v>
                </c:pt>
                <c:pt idx="38">
                  <c:v>22854.534930073602</c:v>
                </c:pt>
                <c:pt idx="39">
                  <c:v>28659.893985557901</c:v>
                </c:pt>
                <c:pt idx="40">
                  <c:v>31184.695915804201</c:v>
                </c:pt>
                <c:pt idx="41">
                  <c:v>31179.251549907101</c:v>
                </c:pt>
                <c:pt idx="42">
                  <c:v>35594.558742394103</c:v>
                </c:pt>
                <c:pt idx="43">
                  <c:v>32023.0871924282</c:v>
                </c:pt>
                <c:pt idx="44">
                  <c:v>44310.709733490701</c:v>
                </c:pt>
                <c:pt idx="45">
                  <c:v>44798.552119637701</c:v>
                </c:pt>
                <c:pt idx="46">
                  <c:v>47851.478625652802</c:v>
                </c:pt>
                <c:pt idx="47">
                  <c:v>52059.9816076071</c:v>
                </c:pt>
                <c:pt idx="48">
                  <c:v>50689.703039637599</c:v>
                </c:pt>
                <c:pt idx="49">
                  <c:v>57809.446885684003</c:v>
                </c:pt>
                <c:pt idx="50">
                  <c:v>64314.7649138165</c:v>
                </c:pt>
                <c:pt idx="51">
                  <c:v>57253.8485613187</c:v>
                </c:pt>
                <c:pt idx="52">
                  <c:v>70997.959644568502</c:v>
                </c:pt>
                <c:pt idx="53">
                  <c:v>67182.938989191302</c:v>
                </c:pt>
                <c:pt idx="54">
                  <c:v>79888.7803287758</c:v>
                </c:pt>
                <c:pt idx="55">
                  <c:v>79514.205601053996</c:v>
                </c:pt>
                <c:pt idx="56">
                  <c:v>82705.246118508905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D-4501-A092-DDDE73CFF32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[1]Pup_estimates!$B$3:$BF$3</c:f>
                <c:numCache>
                  <c:formatCode>General</c:formatCode>
                  <c:ptCount val="57"/>
                  <c:pt idx="3">
                    <c:v>400</c:v>
                  </c:pt>
                  <c:pt idx="4">
                    <c:v>550</c:v>
                  </c:pt>
                  <c:pt idx="5">
                    <c:v>660</c:v>
                  </c:pt>
                  <c:pt idx="7">
                    <c:v>580</c:v>
                  </c:pt>
                  <c:pt idx="8">
                    <c:v>700</c:v>
                  </c:pt>
                  <c:pt idx="9">
                    <c:v>800</c:v>
                  </c:pt>
                  <c:pt idx="10">
                    <c:v>800</c:v>
                  </c:pt>
                  <c:pt idx="11">
                    <c:v>1000</c:v>
                  </c:pt>
                  <c:pt idx="12">
                    <c:v>950</c:v>
                  </c:pt>
                  <c:pt idx="13">
                    <c:v>1200</c:v>
                  </c:pt>
                  <c:pt idx="14">
                    <c:v>1250</c:v>
                  </c:pt>
                  <c:pt idx="16">
                    <c:v>2000</c:v>
                  </c:pt>
                  <c:pt idx="17">
                    <c:v>173</c:v>
                  </c:pt>
                  <c:pt idx="18">
                    <c:v>192</c:v>
                  </c:pt>
                  <c:pt idx="19">
                    <c:v>201</c:v>
                  </c:pt>
                  <c:pt idx="20">
                    <c:v>214</c:v>
                  </c:pt>
                  <c:pt idx="21">
                    <c:v>208</c:v>
                  </c:pt>
                  <c:pt idx="22">
                    <c:v>248</c:v>
                  </c:pt>
                  <c:pt idx="23">
                    <c:v>273</c:v>
                  </c:pt>
                  <c:pt idx="24">
                    <c:v>283</c:v>
                  </c:pt>
                  <c:pt idx="25">
                    <c:v>277</c:v>
                  </c:pt>
                  <c:pt idx="26">
                    <c:v>294</c:v>
                  </c:pt>
                  <c:pt idx="27">
                    <c:v>318</c:v>
                  </c:pt>
                  <c:pt idx="28">
                    <c:v>343</c:v>
                  </c:pt>
                  <c:pt idx="29">
                    <c:v>365</c:v>
                  </c:pt>
                  <c:pt idx="30">
                    <c:v>575</c:v>
                  </c:pt>
                  <c:pt idx="33">
                    <c:v>463</c:v>
                  </c:pt>
                  <c:pt idx="37">
                    <c:v>750</c:v>
                  </c:pt>
                  <c:pt idx="44">
                    <c:v>4381</c:v>
                  </c:pt>
                  <c:pt idx="47">
                    <c:v>8909</c:v>
                  </c:pt>
                  <c:pt idx="50">
                    <c:v>4973</c:v>
                  </c:pt>
                  <c:pt idx="56">
                    <c:v>10170</c:v>
                  </c:pt>
                </c:numCache>
              </c:numRef>
            </c:plus>
            <c:minus>
              <c:numRef>
                <c:f>[1]Pup_estimates!$B$3:$BF$3</c:f>
                <c:numCache>
                  <c:formatCode>General</c:formatCode>
                  <c:ptCount val="57"/>
                  <c:pt idx="3">
                    <c:v>400</c:v>
                  </c:pt>
                  <c:pt idx="4">
                    <c:v>550</c:v>
                  </c:pt>
                  <c:pt idx="5">
                    <c:v>660</c:v>
                  </c:pt>
                  <c:pt idx="7">
                    <c:v>580</c:v>
                  </c:pt>
                  <c:pt idx="8">
                    <c:v>700</c:v>
                  </c:pt>
                  <c:pt idx="9">
                    <c:v>800</c:v>
                  </c:pt>
                  <c:pt idx="10">
                    <c:v>800</c:v>
                  </c:pt>
                  <c:pt idx="11">
                    <c:v>1000</c:v>
                  </c:pt>
                  <c:pt idx="12">
                    <c:v>950</c:v>
                  </c:pt>
                  <c:pt idx="13">
                    <c:v>1200</c:v>
                  </c:pt>
                  <c:pt idx="14">
                    <c:v>1250</c:v>
                  </c:pt>
                  <c:pt idx="16">
                    <c:v>2000</c:v>
                  </c:pt>
                  <c:pt idx="17">
                    <c:v>173</c:v>
                  </c:pt>
                  <c:pt idx="18">
                    <c:v>192</c:v>
                  </c:pt>
                  <c:pt idx="19">
                    <c:v>201</c:v>
                  </c:pt>
                  <c:pt idx="20">
                    <c:v>214</c:v>
                  </c:pt>
                  <c:pt idx="21">
                    <c:v>208</c:v>
                  </c:pt>
                  <c:pt idx="22">
                    <c:v>248</c:v>
                  </c:pt>
                  <c:pt idx="23">
                    <c:v>273</c:v>
                  </c:pt>
                  <c:pt idx="24">
                    <c:v>283</c:v>
                  </c:pt>
                  <c:pt idx="25">
                    <c:v>277</c:v>
                  </c:pt>
                  <c:pt idx="26">
                    <c:v>294</c:v>
                  </c:pt>
                  <c:pt idx="27">
                    <c:v>318</c:v>
                  </c:pt>
                  <c:pt idx="28">
                    <c:v>343</c:v>
                  </c:pt>
                  <c:pt idx="29">
                    <c:v>365</c:v>
                  </c:pt>
                  <c:pt idx="30">
                    <c:v>575</c:v>
                  </c:pt>
                  <c:pt idx="33">
                    <c:v>463</c:v>
                  </c:pt>
                  <c:pt idx="37">
                    <c:v>750</c:v>
                  </c:pt>
                  <c:pt idx="44">
                    <c:v>4381</c:v>
                  </c:pt>
                  <c:pt idx="47">
                    <c:v>8909</c:v>
                  </c:pt>
                  <c:pt idx="50">
                    <c:v>4973</c:v>
                  </c:pt>
                  <c:pt idx="56">
                    <c:v>10170</c:v>
                  </c:pt>
                </c:numCache>
              </c:numRef>
            </c:minus>
            <c:spPr>
              <a:ln w="15875"/>
            </c:spPr>
          </c:errBars>
          <c:xVal>
            <c:numRef>
              <c:f>[1]Pup_estimates!$B$1:$BF$1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[1]Pup_estimates!$B$2:$BF$2</c:f>
              <c:numCache>
                <c:formatCode>General</c:formatCode>
                <c:ptCount val="57"/>
                <c:pt idx="3">
                  <c:v>400</c:v>
                </c:pt>
                <c:pt idx="4">
                  <c:v>550</c:v>
                </c:pt>
                <c:pt idx="5">
                  <c:v>660</c:v>
                </c:pt>
                <c:pt idx="7">
                  <c:v>580</c:v>
                </c:pt>
                <c:pt idx="8">
                  <c:v>700</c:v>
                </c:pt>
                <c:pt idx="9">
                  <c:v>800</c:v>
                </c:pt>
                <c:pt idx="10">
                  <c:v>800</c:v>
                </c:pt>
                <c:pt idx="11">
                  <c:v>1000</c:v>
                </c:pt>
                <c:pt idx="12">
                  <c:v>950</c:v>
                </c:pt>
                <c:pt idx="13">
                  <c:v>1200</c:v>
                </c:pt>
                <c:pt idx="14">
                  <c:v>1250</c:v>
                </c:pt>
                <c:pt idx="16">
                  <c:v>2000</c:v>
                </c:pt>
                <c:pt idx="17">
                  <c:v>2181</c:v>
                </c:pt>
                <c:pt idx="18">
                  <c:v>2687</c:v>
                </c:pt>
                <c:pt idx="19">
                  <c:v>2933</c:v>
                </c:pt>
                <c:pt idx="20">
                  <c:v>3344</c:v>
                </c:pt>
                <c:pt idx="21">
                  <c:v>3143</c:v>
                </c:pt>
                <c:pt idx="22">
                  <c:v>4489</c:v>
                </c:pt>
                <c:pt idx="23">
                  <c:v>5435</c:v>
                </c:pt>
                <c:pt idx="24">
                  <c:v>5856</c:v>
                </c:pt>
                <c:pt idx="25">
                  <c:v>5606</c:v>
                </c:pt>
                <c:pt idx="26">
                  <c:v>6301</c:v>
                </c:pt>
                <c:pt idx="27">
                  <c:v>7391</c:v>
                </c:pt>
                <c:pt idx="28">
                  <c:v>8593</c:v>
                </c:pt>
                <c:pt idx="29">
                  <c:v>9712</c:v>
                </c:pt>
                <c:pt idx="30">
                  <c:v>10451</c:v>
                </c:pt>
                <c:pt idx="33">
                  <c:v>15500</c:v>
                </c:pt>
                <c:pt idx="37">
                  <c:v>25400</c:v>
                </c:pt>
                <c:pt idx="44">
                  <c:v>41500</c:v>
                </c:pt>
                <c:pt idx="47">
                  <c:v>54482</c:v>
                </c:pt>
                <c:pt idx="50">
                  <c:v>62054</c:v>
                </c:pt>
                <c:pt idx="56">
                  <c:v>83594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D-4501-A092-DDDE73CFF320}"/>
            </c:ext>
          </c:extLst>
        </c:ser>
        <c:ser>
          <c:idx val="2"/>
          <c:order val="2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Model_output!$E$2:$E$58</c:f>
              <c:numCache>
                <c:formatCode>0</c:formatCode>
                <c:ptCount val="57"/>
                <c:pt idx="0">
                  <c:v>607.76056888893697</c:v>
                </c:pt>
                <c:pt idx="1">
                  <c:v>627.10594695944803</c:v>
                </c:pt>
                <c:pt idx="2">
                  <c:v>644.43875468285296</c:v>
                </c:pt>
                <c:pt idx="3">
                  <c:v>701.71530093445904</c:v>
                </c:pt>
                <c:pt idx="4">
                  <c:v>804.41287510796201</c:v>
                </c:pt>
                <c:pt idx="5">
                  <c:v>903.00049537632901</c:v>
                </c:pt>
                <c:pt idx="6">
                  <c:v>1004.86031174708</c:v>
                </c:pt>
                <c:pt idx="7">
                  <c:v>1102.92313024076</c:v>
                </c:pt>
                <c:pt idx="8">
                  <c:v>1220.1916216956599</c:v>
                </c:pt>
                <c:pt idx="9">
                  <c:v>1360.09444461975</c:v>
                </c:pt>
                <c:pt idx="10">
                  <c:v>1499.24135338531</c:v>
                </c:pt>
                <c:pt idx="11">
                  <c:v>1651.1505406430499</c:v>
                </c:pt>
                <c:pt idx="12">
                  <c:v>1824.59206290059</c:v>
                </c:pt>
                <c:pt idx="13">
                  <c:v>2019.2499963360999</c:v>
                </c:pt>
                <c:pt idx="14">
                  <c:v>2239.0736130969099</c:v>
                </c:pt>
                <c:pt idx="15">
                  <c:v>2480.1177028903599</c:v>
                </c:pt>
                <c:pt idx="16">
                  <c:v>2736.7978298274302</c:v>
                </c:pt>
                <c:pt idx="17">
                  <c:v>3038.2965918393302</c:v>
                </c:pt>
                <c:pt idx="18">
                  <c:v>3337.4541883247898</c:v>
                </c:pt>
                <c:pt idx="19">
                  <c:v>3695.0611266384899</c:v>
                </c:pt>
                <c:pt idx="20">
                  <c:v>4073.5637824566402</c:v>
                </c:pt>
                <c:pt idx="21">
                  <c:v>4507.1624059710302</c:v>
                </c:pt>
                <c:pt idx="22">
                  <c:v>5001.2301263582904</c:v>
                </c:pt>
                <c:pt idx="23">
                  <c:v>5499.1380104083</c:v>
                </c:pt>
                <c:pt idx="24">
                  <c:v>6017.6876233061903</c:v>
                </c:pt>
                <c:pt idx="25">
                  <c:v>6663.0402109616398</c:v>
                </c:pt>
                <c:pt idx="26">
                  <c:v>7620.49158048965</c:v>
                </c:pt>
                <c:pt idx="27">
                  <c:v>8103.4222226948104</c:v>
                </c:pt>
                <c:pt idx="28">
                  <c:v>9588.8101687174494</c:v>
                </c:pt>
                <c:pt idx="29">
                  <c:v>10224.4817983787</c:v>
                </c:pt>
                <c:pt idx="30">
                  <c:v>11259.166044993301</c:v>
                </c:pt>
                <c:pt idx="31">
                  <c:v>12438.5713682068</c:v>
                </c:pt>
                <c:pt idx="32">
                  <c:v>13845.8735881336</c:v>
                </c:pt>
                <c:pt idx="33">
                  <c:v>15501.887127665501</c:v>
                </c:pt>
                <c:pt idx="34">
                  <c:v>17376.9402252734</c:v>
                </c:pt>
                <c:pt idx="35">
                  <c:v>19544.6003959724</c:v>
                </c:pt>
                <c:pt idx="36">
                  <c:v>21964.227496578598</c:v>
                </c:pt>
                <c:pt idx="37">
                  <c:v>24616.267972138099</c:v>
                </c:pt>
                <c:pt idx="38">
                  <c:v>26781.8183566925</c:v>
                </c:pt>
                <c:pt idx="39">
                  <c:v>32293.783923694798</c:v>
                </c:pt>
                <c:pt idx="40">
                  <c:v>35827.858559644497</c:v>
                </c:pt>
                <c:pt idx="41">
                  <c:v>37107.068715100897</c:v>
                </c:pt>
                <c:pt idx="42">
                  <c:v>41362.808258677898</c:v>
                </c:pt>
                <c:pt idx="43">
                  <c:v>40838.623361729398</c:v>
                </c:pt>
                <c:pt idx="44">
                  <c:v>51435.066269995797</c:v>
                </c:pt>
                <c:pt idx="45">
                  <c:v>51919.645341588403</c:v>
                </c:pt>
                <c:pt idx="46">
                  <c:v>55299.738542690699</c:v>
                </c:pt>
                <c:pt idx="47">
                  <c:v>59813.619228104501</c:v>
                </c:pt>
                <c:pt idx="48">
                  <c:v>61308.596721292102</c:v>
                </c:pt>
                <c:pt idx="49">
                  <c:v>66587.184908580501</c:v>
                </c:pt>
                <c:pt idx="50">
                  <c:v>72946.0068058467</c:v>
                </c:pt>
                <c:pt idx="51">
                  <c:v>65173.359838210898</c:v>
                </c:pt>
                <c:pt idx="52">
                  <c:v>81217.242308057102</c:v>
                </c:pt>
                <c:pt idx="53">
                  <c:v>83240.934008447104</c:v>
                </c:pt>
                <c:pt idx="54">
                  <c:v>93867.562911376604</c:v>
                </c:pt>
                <c:pt idx="55">
                  <c:v>96550.523837493005</c:v>
                </c:pt>
                <c:pt idx="56">
                  <c:v>100288.12296273401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6D-4501-A092-DDDE73CFF320}"/>
            </c:ext>
          </c:extLst>
        </c:ser>
        <c:ser>
          <c:idx val="3"/>
          <c:order val="3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Model_output!$D$2:$D$58</c:f>
              <c:numCache>
                <c:formatCode>0</c:formatCode>
                <c:ptCount val="57"/>
                <c:pt idx="0">
                  <c:v>216.00520374195</c:v>
                </c:pt>
                <c:pt idx="1">
                  <c:v>238.93168353355</c:v>
                </c:pt>
                <c:pt idx="2">
                  <c:v>263.28166312574098</c:v>
                </c:pt>
                <c:pt idx="3">
                  <c:v>293.71922098811399</c:v>
                </c:pt>
                <c:pt idx="4">
                  <c:v>333.97407045265197</c:v>
                </c:pt>
                <c:pt idx="5">
                  <c:v>399.91314205604601</c:v>
                </c:pt>
                <c:pt idx="6">
                  <c:v>464.88755789856401</c:v>
                </c:pt>
                <c:pt idx="7">
                  <c:v>532.19374909669102</c:v>
                </c:pt>
                <c:pt idx="8">
                  <c:v>602.79301132933597</c:v>
                </c:pt>
                <c:pt idx="9">
                  <c:v>669.34273989079395</c:v>
                </c:pt>
                <c:pt idx="10">
                  <c:v>790.83921630500595</c:v>
                </c:pt>
                <c:pt idx="11">
                  <c:v>888.24058016157005</c:v>
                </c:pt>
                <c:pt idx="12">
                  <c:v>1010.75116662339</c:v>
                </c:pt>
                <c:pt idx="13">
                  <c:v>1135.4238781572799</c:v>
                </c:pt>
                <c:pt idx="14">
                  <c:v>1302.24937479197</c:v>
                </c:pt>
                <c:pt idx="15">
                  <c:v>1486.2546646358701</c:v>
                </c:pt>
                <c:pt idx="16">
                  <c:v>1695.1927447627299</c:v>
                </c:pt>
                <c:pt idx="17">
                  <c:v>1936.507232894</c:v>
                </c:pt>
                <c:pt idx="18">
                  <c:v>2183.8931065011602</c:v>
                </c:pt>
                <c:pt idx="19">
                  <c:v>2479.1239631776498</c:v>
                </c:pt>
                <c:pt idx="20">
                  <c:v>2811.89453530232</c:v>
                </c:pt>
                <c:pt idx="21">
                  <c:v>3194.2234043072599</c:v>
                </c:pt>
                <c:pt idx="22">
                  <c:v>3473.75064229687</c:v>
                </c:pt>
                <c:pt idx="23">
                  <c:v>4040.3450075760702</c:v>
                </c:pt>
                <c:pt idx="24">
                  <c:v>4489.2818880928999</c:v>
                </c:pt>
                <c:pt idx="25">
                  <c:v>5060.7318221425803</c:v>
                </c:pt>
                <c:pt idx="26">
                  <c:v>5736.4075971573702</c:v>
                </c:pt>
                <c:pt idx="27">
                  <c:v>5816.1790758224897</c:v>
                </c:pt>
                <c:pt idx="28">
                  <c:v>7187.1984988586701</c:v>
                </c:pt>
                <c:pt idx="29">
                  <c:v>8095.9219250555097</c:v>
                </c:pt>
                <c:pt idx="30">
                  <c:v>8922.2869548289309</c:v>
                </c:pt>
                <c:pt idx="31">
                  <c:v>9868.7546637876803</c:v>
                </c:pt>
                <c:pt idx="32">
                  <c:v>10912.0987231606</c:v>
                </c:pt>
                <c:pt idx="33">
                  <c:v>12356.8848486447</c:v>
                </c:pt>
                <c:pt idx="34">
                  <c:v>13844.5766805315</c:v>
                </c:pt>
                <c:pt idx="35">
                  <c:v>15474.9865379151</c:v>
                </c:pt>
                <c:pt idx="36">
                  <c:v>17295.097467143401</c:v>
                </c:pt>
                <c:pt idx="37">
                  <c:v>19335.3212618293</c:v>
                </c:pt>
                <c:pt idx="38">
                  <c:v>18553.325126717398</c:v>
                </c:pt>
                <c:pt idx="39">
                  <c:v>25208.443757718102</c:v>
                </c:pt>
                <c:pt idx="40">
                  <c:v>27110.1189758158</c:v>
                </c:pt>
                <c:pt idx="41">
                  <c:v>24599.883412149899</c:v>
                </c:pt>
                <c:pt idx="42">
                  <c:v>31050.616991463601</c:v>
                </c:pt>
                <c:pt idx="43">
                  <c:v>22920.0104502701</c:v>
                </c:pt>
                <c:pt idx="44">
                  <c:v>38564.006810344399</c:v>
                </c:pt>
                <c:pt idx="45">
                  <c:v>39107.991427638597</c:v>
                </c:pt>
                <c:pt idx="46">
                  <c:v>41816.946693511898</c:v>
                </c:pt>
                <c:pt idx="47">
                  <c:v>45292.378051435997</c:v>
                </c:pt>
                <c:pt idx="48">
                  <c:v>38363.242488507203</c:v>
                </c:pt>
                <c:pt idx="49">
                  <c:v>50258.116006700198</c:v>
                </c:pt>
                <c:pt idx="50">
                  <c:v>56078.258573537401</c:v>
                </c:pt>
                <c:pt idx="51">
                  <c:v>49791.058391026898</c:v>
                </c:pt>
                <c:pt idx="52">
                  <c:v>61034.672976362599</c:v>
                </c:pt>
                <c:pt idx="53">
                  <c:v>46849.698218584897</c:v>
                </c:pt>
                <c:pt idx="54">
                  <c:v>65915.825777581194</c:v>
                </c:pt>
                <c:pt idx="55">
                  <c:v>62469.539511310897</c:v>
                </c:pt>
                <c:pt idx="56">
                  <c:v>64383.518869084503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6D-4501-A092-DDDE73CF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7064"/>
        <c:axId val="750819024"/>
      </c:scatterChart>
      <c:valAx>
        <c:axId val="75081706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819024"/>
        <c:crosses val="autoZero"/>
        <c:crossBetween val="midCat"/>
        <c:majorUnit val="5"/>
      </c:valAx>
      <c:valAx>
        <c:axId val="7508190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CA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en-CA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pups, thousands</a:t>
                </a:r>
                <a:endParaRPr lang="en-CA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50817064"/>
        <c:crosses val="autoZero"/>
        <c:crossBetween val="midCat"/>
        <c:dispUnits>
          <c:builtInUnit val="thousands"/>
        </c:dispUnits>
      </c:valAx>
    </c:plotArea>
    <c:plotVisOnly val="0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CA" sz="1200">
                <a:latin typeface="Arial" panose="020B0604020202020204" pitchFamily="34" charset="0"/>
                <a:cs typeface="Arial" panose="020B0604020202020204" pitchFamily="34" charset="0"/>
              </a:rPr>
              <a:t>Sable</a:t>
            </a:r>
            <a:r>
              <a:rPr lang="en-CA" sz="1200" baseline="0">
                <a:latin typeface="Arial" panose="020B0604020202020204" pitchFamily="34" charset="0"/>
                <a:cs typeface="Arial" panose="020B0604020202020204" pitchFamily="34" charset="0"/>
              </a:rPr>
              <a:t> Island Total Population, gamma=15</a:t>
            </a:r>
            <a:endParaRPr lang="en-CA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Model_output!$H$2:$H$58</c:f>
              <c:numCache>
                <c:formatCode>0</c:formatCode>
                <c:ptCount val="57"/>
                <c:pt idx="0">
                  <c:v>1195.2274870164299</c:v>
                </c:pt>
                <c:pt idx="1">
                  <c:v>1336.00044285026</c:v>
                </c:pt>
                <c:pt idx="2">
                  <c:v>1479.24924560933</c:v>
                </c:pt>
                <c:pt idx="3">
                  <c:v>1647.06588170232</c:v>
                </c:pt>
                <c:pt idx="4">
                  <c:v>1855.61863183329</c:v>
                </c:pt>
                <c:pt idx="5">
                  <c:v>2092.95832055449</c:v>
                </c:pt>
                <c:pt idx="6">
                  <c:v>2371.7665469961298</c:v>
                </c:pt>
                <c:pt idx="7">
                  <c:v>2685.5834122803499</c:v>
                </c:pt>
                <c:pt idx="8">
                  <c:v>3037.2965938810999</c:v>
                </c:pt>
                <c:pt idx="9">
                  <c:v>3416.10495913146</c:v>
                </c:pt>
                <c:pt idx="10">
                  <c:v>3887.1907670782698</c:v>
                </c:pt>
                <c:pt idx="11">
                  <c:v>4360.1941292764996</c:v>
                </c:pt>
                <c:pt idx="12">
                  <c:v>4919.7720045501801</c:v>
                </c:pt>
                <c:pt idx="13">
                  <c:v>5572.5880983627403</c:v>
                </c:pt>
                <c:pt idx="14">
                  <c:v>6319.1318667343803</c:v>
                </c:pt>
                <c:pt idx="15">
                  <c:v>7143.32423028014</c:v>
                </c:pt>
                <c:pt idx="16">
                  <c:v>8082.8081498114298</c:v>
                </c:pt>
                <c:pt idx="17">
                  <c:v>9136.0064284961609</c:v>
                </c:pt>
                <c:pt idx="18">
                  <c:v>10261.206402306099</c:v>
                </c:pt>
                <c:pt idx="19">
                  <c:v>11616.280614818401</c:v>
                </c:pt>
                <c:pt idx="20">
                  <c:v>13148.5540395028</c:v>
                </c:pt>
                <c:pt idx="21">
                  <c:v>14872.9435106482</c:v>
                </c:pt>
                <c:pt idx="22">
                  <c:v>16673.153227580398</c:v>
                </c:pt>
                <c:pt idx="23">
                  <c:v>18833.070538833701</c:v>
                </c:pt>
                <c:pt idx="24">
                  <c:v>20850.4552236052</c:v>
                </c:pt>
                <c:pt idx="25">
                  <c:v>23412.828526174198</c:v>
                </c:pt>
                <c:pt idx="26">
                  <c:v>26347.4765336419</c:v>
                </c:pt>
                <c:pt idx="27">
                  <c:v>29228.407898340101</c:v>
                </c:pt>
                <c:pt idx="28">
                  <c:v>33211.625350381597</c:v>
                </c:pt>
                <c:pt idx="29">
                  <c:v>36861.630776703103</c:v>
                </c:pt>
                <c:pt idx="30">
                  <c:v>40575.513133996203</c:v>
                </c:pt>
                <c:pt idx="31">
                  <c:v>45080.214077525699</c:v>
                </c:pt>
                <c:pt idx="32">
                  <c:v>50420.980114211801</c:v>
                </c:pt>
                <c:pt idx="33">
                  <c:v>56146.977619612197</c:v>
                </c:pt>
                <c:pt idx="34">
                  <c:v>62453.147907657803</c:v>
                </c:pt>
                <c:pt idx="35">
                  <c:v>69441.414010477907</c:v>
                </c:pt>
                <c:pt idx="36">
                  <c:v>77095.673864126598</c:v>
                </c:pt>
                <c:pt idx="37">
                  <c:v>85523.252294293896</c:v>
                </c:pt>
                <c:pt idx="38">
                  <c:v>95011.1948797769</c:v>
                </c:pt>
                <c:pt idx="39">
                  <c:v>106533.648939889</c:v>
                </c:pt>
                <c:pt idx="40">
                  <c:v>117838.591677993</c:v>
                </c:pt>
                <c:pt idx="41">
                  <c:v>127432.09169551601</c:v>
                </c:pt>
                <c:pt idx="42">
                  <c:v>139489.60823212401</c:v>
                </c:pt>
                <c:pt idx="43">
                  <c:v>147697.31588372399</c:v>
                </c:pt>
                <c:pt idx="44">
                  <c:v>162552.599336899</c:v>
                </c:pt>
                <c:pt idx="45">
                  <c:v>173165.52431295501</c:v>
                </c:pt>
                <c:pt idx="46">
                  <c:v>185265.28894470099</c:v>
                </c:pt>
                <c:pt idx="47">
                  <c:v>199820.81560690299</c:v>
                </c:pt>
                <c:pt idx="48">
                  <c:v>209781.56231051701</c:v>
                </c:pt>
                <c:pt idx="49">
                  <c:v>218327.38561043699</c:v>
                </c:pt>
                <c:pt idx="50">
                  <c:v>227285.66431434301</c:v>
                </c:pt>
                <c:pt idx="51">
                  <c:v>226955.26093114301</c:v>
                </c:pt>
                <c:pt idx="52">
                  <c:v>242821.77152467001</c:v>
                </c:pt>
                <c:pt idx="53">
                  <c:v>240728.73866502001</c:v>
                </c:pt>
                <c:pt idx="54">
                  <c:v>246338.78891900601</c:v>
                </c:pt>
                <c:pt idx="55">
                  <c:v>246561.925821482</c:v>
                </c:pt>
                <c:pt idx="56">
                  <c:v>247171.86649589101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5-4F93-9301-8658AA520864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Model_output!$I$2:$I$58</c:f>
              <c:numCache>
                <c:formatCode>0</c:formatCode>
                <c:ptCount val="57"/>
                <c:pt idx="0">
                  <c:v>2466.50477955014</c:v>
                </c:pt>
                <c:pt idx="1">
                  <c:v>2705.2395469079902</c:v>
                </c:pt>
                <c:pt idx="2">
                  <c:v>2940.8799739459</c:v>
                </c:pt>
                <c:pt idx="3">
                  <c:v>3214.23010068537</c:v>
                </c:pt>
                <c:pt idx="4">
                  <c:v>3537.26239894833</c:v>
                </c:pt>
                <c:pt idx="5">
                  <c:v>3918.0684843824401</c:v>
                </c:pt>
                <c:pt idx="6">
                  <c:v>4334.3631620720198</c:v>
                </c:pt>
                <c:pt idx="7">
                  <c:v>4795.0018166715099</c:v>
                </c:pt>
                <c:pt idx="8">
                  <c:v>5299.9015388384596</c:v>
                </c:pt>
                <c:pt idx="9">
                  <c:v>5869.9452821262203</c:v>
                </c:pt>
                <c:pt idx="10">
                  <c:v>6489.6680754844201</c:v>
                </c:pt>
                <c:pt idx="11">
                  <c:v>7144.1545584712803</c:v>
                </c:pt>
                <c:pt idx="12">
                  <c:v>7900.9417621824596</c:v>
                </c:pt>
                <c:pt idx="13">
                  <c:v>8778.1899899586897</c:v>
                </c:pt>
                <c:pt idx="14">
                  <c:v>9741.6220335909402</c:v>
                </c:pt>
                <c:pt idx="15">
                  <c:v>10812.4470686849</c:v>
                </c:pt>
                <c:pt idx="16">
                  <c:v>11986.739211169401</c:v>
                </c:pt>
                <c:pt idx="17">
                  <c:v>13307.875130071399</c:v>
                </c:pt>
                <c:pt idx="18">
                  <c:v>14687.5721149892</c:v>
                </c:pt>
                <c:pt idx="19">
                  <c:v>16348.868954911401</c:v>
                </c:pt>
                <c:pt idx="20">
                  <c:v>18201.221076663802</c:v>
                </c:pt>
                <c:pt idx="21">
                  <c:v>20295.117242922901</c:v>
                </c:pt>
                <c:pt idx="22">
                  <c:v>22420.386259132101</c:v>
                </c:pt>
                <c:pt idx="23">
                  <c:v>25089.667117056</c:v>
                </c:pt>
                <c:pt idx="24">
                  <c:v>27754.077160024299</c:v>
                </c:pt>
                <c:pt idx="25">
                  <c:v>31124.029161415201</c:v>
                </c:pt>
                <c:pt idx="26">
                  <c:v>34811.952709486097</c:v>
                </c:pt>
                <c:pt idx="27">
                  <c:v>38110.893304328398</c:v>
                </c:pt>
                <c:pt idx="28">
                  <c:v>42916.149841512699</c:v>
                </c:pt>
                <c:pt idx="29">
                  <c:v>48683.093904118497</c:v>
                </c:pt>
                <c:pt idx="30">
                  <c:v>54328.412136886502</c:v>
                </c:pt>
                <c:pt idx="31">
                  <c:v>61102.250001949098</c:v>
                </c:pt>
                <c:pt idx="32">
                  <c:v>67857.629723208607</c:v>
                </c:pt>
                <c:pt idx="33">
                  <c:v>76767.156341462294</c:v>
                </c:pt>
                <c:pt idx="34">
                  <c:v>86721.826265605298</c:v>
                </c:pt>
                <c:pt idx="35">
                  <c:v>97715.267675927098</c:v>
                </c:pt>
                <c:pt idx="36">
                  <c:v>110055.224486971</c:v>
                </c:pt>
                <c:pt idx="37">
                  <c:v>123565.202798003</c:v>
                </c:pt>
                <c:pt idx="38">
                  <c:v>132781.086362142</c:v>
                </c:pt>
                <c:pt idx="39">
                  <c:v>151703.64731043699</c:v>
                </c:pt>
                <c:pt idx="40">
                  <c:v>165504.18933118801</c:v>
                </c:pt>
                <c:pt idx="41">
                  <c:v>175569.90287885201</c:v>
                </c:pt>
                <c:pt idx="42">
                  <c:v>193512.28454953199</c:v>
                </c:pt>
                <c:pt idx="43">
                  <c:v>198176.08388949101</c:v>
                </c:pt>
                <c:pt idx="44">
                  <c:v>227387.61109558601</c:v>
                </c:pt>
                <c:pt idx="45">
                  <c:v>245604.41987551001</c:v>
                </c:pt>
                <c:pt idx="46">
                  <c:v>265292.26957499498</c:v>
                </c:pt>
                <c:pt idx="47">
                  <c:v>282000.78911120899</c:v>
                </c:pt>
                <c:pt idx="48">
                  <c:v>292166.02245779999</c:v>
                </c:pt>
                <c:pt idx="49">
                  <c:v>323881.36598494003</c:v>
                </c:pt>
                <c:pt idx="50">
                  <c:v>347425.66215872602</c:v>
                </c:pt>
                <c:pt idx="51">
                  <c:v>365621.07820387202</c:v>
                </c:pt>
                <c:pt idx="52">
                  <c:v>399105.86527147802</c:v>
                </c:pt>
                <c:pt idx="53">
                  <c:v>409482.91023001401</c:v>
                </c:pt>
                <c:pt idx="54">
                  <c:v>452018.65494408098</c:v>
                </c:pt>
                <c:pt idx="55">
                  <c:v>474916.558342929</c:v>
                </c:pt>
                <c:pt idx="56">
                  <c:v>504475.82989982603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C5-4F93-9301-8658AA520864}"/>
            </c:ext>
          </c:extLst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Model_output!$F$2:$F$58</c:f>
              <c:numCache>
                <c:formatCode>0</c:formatCode>
                <c:ptCount val="57"/>
                <c:pt idx="0">
                  <c:v>1883.79154070706</c:v>
                </c:pt>
                <c:pt idx="1">
                  <c:v>2077.0541898767701</c:v>
                </c:pt>
                <c:pt idx="2">
                  <c:v>2275.5849931874</c:v>
                </c:pt>
                <c:pt idx="3">
                  <c:v>2502.9016805664501</c:v>
                </c:pt>
                <c:pt idx="4">
                  <c:v>2772.9740135216498</c:v>
                </c:pt>
                <c:pt idx="5">
                  <c:v>3089.64514790557</c:v>
                </c:pt>
                <c:pt idx="6">
                  <c:v>3448.95912832471</c:v>
                </c:pt>
                <c:pt idx="7">
                  <c:v>3843.6171681306701</c:v>
                </c:pt>
                <c:pt idx="8">
                  <c:v>4287.5437403657197</c:v>
                </c:pt>
                <c:pt idx="9">
                  <c:v>4776.8132700906099</c:v>
                </c:pt>
                <c:pt idx="10">
                  <c:v>5347.2614872027998</c:v>
                </c:pt>
                <c:pt idx="11">
                  <c:v>5926.1359936265699</c:v>
                </c:pt>
                <c:pt idx="12">
                  <c:v>6613.59125498715</c:v>
                </c:pt>
                <c:pt idx="13">
                  <c:v>7402.5755310116001</c:v>
                </c:pt>
                <c:pt idx="14">
                  <c:v>8288.8114298748696</c:v>
                </c:pt>
                <c:pt idx="15">
                  <c:v>9280.1848171360307</c:v>
                </c:pt>
                <c:pt idx="16">
                  <c:v>10364.075184539101</c:v>
                </c:pt>
                <c:pt idx="17">
                  <c:v>11590.0826588941</c:v>
                </c:pt>
                <c:pt idx="18">
                  <c:v>12871.3256985096</c:v>
                </c:pt>
                <c:pt idx="19">
                  <c:v>14407.0607594758</c:v>
                </c:pt>
                <c:pt idx="20">
                  <c:v>16122.4163324171</c:v>
                </c:pt>
                <c:pt idx="21">
                  <c:v>18039.1493116565</c:v>
                </c:pt>
                <c:pt idx="22">
                  <c:v>20036.665122523402</c:v>
                </c:pt>
                <c:pt idx="23">
                  <c:v>22427.355301069299</c:v>
                </c:pt>
                <c:pt idx="24">
                  <c:v>24761.850821547101</c:v>
                </c:pt>
                <c:pt idx="25">
                  <c:v>27658.086579131901</c:v>
                </c:pt>
                <c:pt idx="26">
                  <c:v>31069.181071952498</c:v>
                </c:pt>
                <c:pt idx="27">
                  <c:v>34228.892304973699</c:v>
                </c:pt>
                <c:pt idx="28">
                  <c:v>38677.642125928498</c:v>
                </c:pt>
                <c:pt idx="29">
                  <c:v>43040.816633599599</c:v>
                </c:pt>
                <c:pt idx="30">
                  <c:v>47386.872656381202</c:v>
                </c:pt>
                <c:pt idx="31">
                  <c:v>52620.685008407803</c:v>
                </c:pt>
                <c:pt idx="32">
                  <c:v>58697.1221083665</c:v>
                </c:pt>
                <c:pt idx="33">
                  <c:v>65536.331793387493</c:v>
                </c:pt>
                <c:pt idx="34">
                  <c:v>73137.636500520603</c:v>
                </c:pt>
                <c:pt idx="35">
                  <c:v>81592.816564562803</c:v>
                </c:pt>
                <c:pt idx="36">
                  <c:v>90973.085202953996</c:v>
                </c:pt>
                <c:pt idx="37">
                  <c:v>101311.90435114301</c:v>
                </c:pt>
                <c:pt idx="38">
                  <c:v>111046.407051792</c:v>
                </c:pt>
                <c:pt idx="39">
                  <c:v>125723.322314959</c:v>
                </c:pt>
                <c:pt idx="40">
                  <c:v>138145.34822010901</c:v>
                </c:pt>
                <c:pt idx="41">
                  <c:v>148617.745938821</c:v>
                </c:pt>
                <c:pt idx="42">
                  <c:v>162765.93306545599</c:v>
                </c:pt>
                <c:pt idx="43">
                  <c:v>170348.66002111399</c:v>
                </c:pt>
                <c:pt idx="44">
                  <c:v>191162.62253831999</c:v>
                </c:pt>
                <c:pt idx="45">
                  <c:v>204704.35595735599</c:v>
                </c:pt>
                <c:pt idx="46">
                  <c:v>219888.17883205699</c:v>
                </c:pt>
                <c:pt idx="47">
                  <c:v>236179.637002854</c:v>
                </c:pt>
                <c:pt idx="48">
                  <c:v>247440.66759345701</c:v>
                </c:pt>
                <c:pt idx="49">
                  <c:v>265492.44582673302</c:v>
                </c:pt>
                <c:pt idx="50">
                  <c:v>282382.29761293402</c:v>
                </c:pt>
                <c:pt idx="51">
                  <c:v>289965.47656319902</c:v>
                </c:pt>
                <c:pt idx="52">
                  <c:v>314978.862459664</c:v>
                </c:pt>
                <c:pt idx="53">
                  <c:v>321335.54725119501</c:v>
                </c:pt>
                <c:pt idx="54">
                  <c:v>343891.013101983</c:v>
                </c:pt>
                <c:pt idx="55">
                  <c:v>355204.60955245403</c:v>
                </c:pt>
                <c:pt idx="56">
                  <c:v>368762.21245396498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C5-4F93-9301-8658AA520864}"/>
            </c:ext>
          </c:extLst>
        </c:ser>
        <c:ser>
          <c:idx val="3"/>
          <c:order val="3"/>
          <c:tx>
            <c:v>Adjusted Total Pop</c:v>
          </c:tx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Model_output!$J$2:$J$58</c:f>
              <c:numCache>
                <c:formatCode>0</c:formatCode>
                <c:ptCount val="57"/>
                <c:pt idx="0">
                  <c:v>1601.222809601001</c:v>
                </c:pt>
                <c:pt idx="1">
                  <c:v>1765.4960613952546</c:v>
                </c:pt>
                <c:pt idx="2">
                  <c:v>1934.2472442092899</c:v>
                </c:pt>
                <c:pt idx="3">
                  <c:v>2127.4664284814826</c:v>
                </c:pt>
                <c:pt idx="4">
                  <c:v>2357.0279114934024</c:v>
                </c:pt>
                <c:pt idx="5">
                  <c:v>2626.1983757197345</c:v>
                </c:pt>
                <c:pt idx="6">
                  <c:v>2931.6152590760034</c:v>
                </c:pt>
                <c:pt idx="7">
                  <c:v>3267.0745929110694</c:v>
                </c:pt>
                <c:pt idx="8">
                  <c:v>3644.4121793108616</c:v>
                </c:pt>
                <c:pt idx="9">
                  <c:v>4060.2912795770185</c:v>
                </c:pt>
                <c:pt idx="10">
                  <c:v>4545.1722641223796</c:v>
                </c:pt>
                <c:pt idx="11">
                  <c:v>5037.2155945825843</c:v>
                </c:pt>
                <c:pt idx="12">
                  <c:v>5621.5525667390775</c:v>
                </c:pt>
                <c:pt idx="13">
                  <c:v>6292.1892013598599</c:v>
                </c:pt>
                <c:pt idx="14">
                  <c:v>7045.489715393639</c:v>
                </c:pt>
                <c:pt idx="15">
                  <c:v>7888.1570945656258</c:v>
                </c:pt>
                <c:pt idx="16">
                  <c:v>8809.4639068582346</c:v>
                </c:pt>
                <c:pt idx="17">
                  <c:v>9851.5702600599852</c:v>
                </c:pt>
                <c:pt idx="18">
                  <c:v>10940.62684373316</c:v>
                </c:pt>
                <c:pt idx="19">
                  <c:v>12246.00164555443</c:v>
                </c:pt>
                <c:pt idx="20">
                  <c:v>13704.053882554535</c:v>
                </c:pt>
                <c:pt idx="21">
                  <c:v>15333.276914908025</c:v>
                </c:pt>
                <c:pt idx="22">
                  <c:v>17031.16535414489</c:v>
                </c:pt>
                <c:pt idx="23">
                  <c:v>19063.252005908904</c:v>
                </c:pt>
                <c:pt idx="24">
                  <c:v>21047.573198315036</c:v>
                </c:pt>
                <c:pt idx="25">
                  <c:v>23509.373592262116</c:v>
                </c:pt>
                <c:pt idx="26">
                  <c:v>26408.803911159623</c:v>
                </c:pt>
                <c:pt idx="27">
                  <c:v>29094.558459227643</c:v>
                </c:pt>
                <c:pt idx="28">
                  <c:v>32875.995807039224</c:v>
                </c:pt>
                <c:pt idx="29">
                  <c:v>36584.694138559658</c:v>
                </c:pt>
                <c:pt idx="30">
                  <c:v>40278.841757924019</c:v>
                </c:pt>
                <c:pt idx="31">
                  <c:v>44727.582257146634</c:v>
                </c:pt>
                <c:pt idx="32">
                  <c:v>49892.553792111525</c:v>
                </c:pt>
                <c:pt idx="33">
                  <c:v>55705.882024379367</c:v>
                </c:pt>
                <c:pt idx="34">
                  <c:v>62166.991025442512</c:v>
                </c:pt>
                <c:pt idx="35">
                  <c:v>69353.894079878388</c:v>
                </c:pt>
                <c:pt idx="36">
                  <c:v>77327.122422510889</c:v>
                </c:pt>
                <c:pt idx="37">
                  <c:v>86115.118698471546</c:v>
                </c:pt>
                <c:pt idx="38">
                  <c:v>94389.445994023205</c:v>
                </c:pt>
                <c:pt idx="39">
                  <c:v>106864.82396771516</c:v>
                </c:pt>
                <c:pt idx="40">
                  <c:v>117423.54598709266</c:v>
                </c:pt>
                <c:pt idx="41">
                  <c:v>126325.08404799785</c:v>
                </c:pt>
                <c:pt idx="42">
                  <c:v>138351.0431056376</c:v>
                </c:pt>
                <c:pt idx="43">
                  <c:v>144796.36101794688</c:v>
                </c:pt>
                <c:pt idx="44">
                  <c:v>162488.229157572</c:v>
                </c:pt>
                <c:pt idx="45">
                  <c:v>173998.70256375259</c:v>
                </c:pt>
                <c:pt idx="46">
                  <c:v>186904.95200724844</c:v>
                </c:pt>
                <c:pt idx="47">
                  <c:v>200752.6914524259</c:v>
                </c:pt>
                <c:pt idx="48">
                  <c:v>210324.56745443845</c:v>
                </c:pt>
                <c:pt idx="49">
                  <c:v>225668.57895272307</c:v>
                </c:pt>
                <c:pt idx="50">
                  <c:v>240024.95297099391</c:v>
                </c:pt>
                <c:pt idx="51">
                  <c:v>246470.65507871917</c:v>
                </c:pt>
                <c:pt idx="52">
                  <c:v>267732.03309071437</c:v>
                </c:pt>
                <c:pt idx="53">
                  <c:v>273135.21516351576</c:v>
                </c:pt>
                <c:pt idx="54">
                  <c:v>292307.36113668553</c:v>
                </c:pt>
                <c:pt idx="55">
                  <c:v>301923.9181195859</c:v>
                </c:pt>
                <c:pt idx="56">
                  <c:v>313447.88058587024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C5-4F93-9301-8658AA52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2752"/>
        <c:axId val="750815104"/>
      </c:scatterChart>
      <c:valAx>
        <c:axId val="75081275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815104"/>
        <c:crosses val="autoZero"/>
        <c:crossBetween val="midCat"/>
        <c:majorUnit val="5"/>
      </c:valAx>
      <c:valAx>
        <c:axId val="75081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Number, thousands</a:t>
                </a:r>
                <a:r>
                  <a:rPr lang="en-CA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CA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50812752"/>
        <c:crosses val="autoZero"/>
        <c:crossBetween val="midCat"/>
        <c:dispUnits>
          <c:builtInUnit val="thousands"/>
        </c:dispUnits>
      </c:valAx>
    </c:plotArea>
    <c:plotVisOnly val="0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Model_output!$J$2:$J$58</c:f>
              <c:numCache>
                <c:formatCode>0</c:formatCode>
                <c:ptCount val="57"/>
                <c:pt idx="0">
                  <c:v>1601.222809601001</c:v>
                </c:pt>
                <c:pt idx="1">
                  <c:v>1765.4960613952546</c:v>
                </c:pt>
                <c:pt idx="2">
                  <c:v>1934.2472442092899</c:v>
                </c:pt>
                <c:pt idx="3">
                  <c:v>2127.4664284814826</c:v>
                </c:pt>
                <c:pt idx="4">
                  <c:v>2357.0279114934024</c:v>
                </c:pt>
                <c:pt idx="5">
                  <c:v>2626.1983757197345</c:v>
                </c:pt>
                <c:pt idx="6">
                  <c:v>2931.6152590760034</c:v>
                </c:pt>
                <c:pt idx="7">
                  <c:v>3267.0745929110694</c:v>
                </c:pt>
                <c:pt idx="8">
                  <c:v>3644.4121793108616</c:v>
                </c:pt>
                <c:pt idx="9">
                  <c:v>4060.2912795770185</c:v>
                </c:pt>
                <c:pt idx="10">
                  <c:v>4545.1722641223796</c:v>
                </c:pt>
                <c:pt idx="11">
                  <c:v>5037.2155945825843</c:v>
                </c:pt>
                <c:pt idx="12">
                  <c:v>5621.5525667390775</c:v>
                </c:pt>
                <c:pt idx="13">
                  <c:v>6292.1892013598599</c:v>
                </c:pt>
                <c:pt idx="14">
                  <c:v>7045.489715393639</c:v>
                </c:pt>
                <c:pt idx="15">
                  <c:v>7888.1570945656258</c:v>
                </c:pt>
                <c:pt idx="16">
                  <c:v>8809.4639068582346</c:v>
                </c:pt>
                <c:pt idx="17">
                  <c:v>9851.5702600599852</c:v>
                </c:pt>
                <c:pt idx="18">
                  <c:v>10940.62684373316</c:v>
                </c:pt>
                <c:pt idx="19">
                  <c:v>12246.00164555443</c:v>
                </c:pt>
                <c:pt idx="20">
                  <c:v>13704.053882554535</c:v>
                </c:pt>
                <c:pt idx="21">
                  <c:v>15333.276914908025</c:v>
                </c:pt>
                <c:pt idx="22">
                  <c:v>17031.16535414489</c:v>
                </c:pt>
                <c:pt idx="23">
                  <c:v>19063.252005908904</c:v>
                </c:pt>
                <c:pt idx="24">
                  <c:v>21047.573198315036</c:v>
                </c:pt>
                <c:pt idx="25">
                  <c:v>23509.373592262116</c:v>
                </c:pt>
                <c:pt idx="26">
                  <c:v>26408.803911159623</c:v>
                </c:pt>
                <c:pt idx="27">
                  <c:v>29094.558459227643</c:v>
                </c:pt>
                <c:pt idx="28">
                  <c:v>32875.995807039224</c:v>
                </c:pt>
                <c:pt idx="29">
                  <c:v>36584.694138559658</c:v>
                </c:pt>
                <c:pt idx="30">
                  <c:v>40278.841757924019</c:v>
                </c:pt>
                <c:pt idx="31">
                  <c:v>44727.582257146634</c:v>
                </c:pt>
                <c:pt idx="32">
                  <c:v>49892.553792111525</c:v>
                </c:pt>
                <c:pt idx="33">
                  <c:v>55705.882024379367</c:v>
                </c:pt>
                <c:pt idx="34">
                  <c:v>62166.991025442512</c:v>
                </c:pt>
                <c:pt idx="35">
                  <c:v>69353.894079878388</c:v>
                </c:pt>
                <c:pt idx="36">
                  <c:v>77327.122422510889</c:v>
                </c:pt>
                <c:pt idx="37">
                  <c:v>86115.118698471546</c:v>
                </c:pt>
                <c:pt idx="38">
                  <c:v>94389.445994023205</c:v>
                </c:pt>
                <c:pt idx="39">
                  <c:v>106864.82396771516</c:v>
                </c:pt>
                <c:pt idx="40">
                  <c:v>117423.54598709266</c:v>
                </c:pt>
                <c:pt idx="41">
                  <c:v>126325.08404799785</c:v>
                </c:pt>
                <c:pt idx="42">
                  <c:v>138351.0431056376</c:v>
                </c:pt>
                <c:pt idx="43">
                  <c:v>144796.36101794688</c:v>
                </c:pt>
                <c:pt idx="44">
                  <c:v>162488.229157572</c:v>
                </c:pt>
                <c:pt idx="45">
                  <c:v>173998.70256375259</c:v>
                </c:pt>
                <c:pt idx="46">
                  <c:v>186904.95200724844</c:v>
                </c:pt>
                <c:pt idx="47">
                  <c:v>200752.6914524259</c:v>
                </c:pt>
                <c:pt idx="48">
                  <c:v>210324.56745443845</c:v>
                </c:pt>
                <c:pt idx="49">
                  <c:v>225668.57895272307</c:v>
                </c:pt>
                <c:pt idx="50">
                  <c:v>240024.95297099391</c:v>
                </c:pt>
                <c:pt idx="51">
                  <c:v>246470.65507871917</c:v>
                </c:pt>
                <c:pt idx="52">
                  <c:v>267732.03309071437</c:v>
                </c:pt>
                <c:pt idx="53">
                  <c:v>273135.21516351576</c:v>
                </c:pt>
                <c:pt idx="54">
                  <c:v>292307.36113668553</c:v>
                </c:pt>
                <c:pt idx="55">
                  <c:v>301923.9181195859</c:v>
                </c:pt>
                <c:pt idx="56">
                  <c:v>313447.88058587024</c:v>
                </c:pt>
              </c:numCache>
            </c:numRef>
          </c:xVal>
          <c:yVal>
            <c:numRef>
              <c:f>Model_output!$E$2:$E$58</c:f>
              <c:numCache>
                <c:formatCode>0</c:formatCode>
                <c:ptCount val="57"/>
                <c:pt idx="0">
                  <c:v>607.76056888893697</c:v>
                </c:pt>
                <c:pt idx="1">
                  <c:v>627.10594695944803</c:v>
                </c:pt>
                <c:pt idx="2">
                  <c:v>644.43875468285296</c:v>
                </c:pt>
                <c:pt idx="3">
                  <c:v>701.71530093445904</c:v>
                </c:pt>
                <c:pt idx="4">
                  <c:v>804.41287510796201</c:v>
                </c:pt>
                <c:pt idx="5">
                  <c:v>903.00049537632901</c:v>
                </c:pt>
                <c:pt idx="6">
                  <c:v>1004.86031174708</c:v>
                </c:pt>
                <c:pt idx="7">
                  <c:v>1102.92313024076</c:v>
                </c:pt>
                <c:pt idx="8">
                  <c:v>1220.1916216956599</c:v>
                </c:pt>
                <c:pt idx="9">
                  <c:v>1360.09444461975</c:v>
                </c:pt>
                <c:pt idx="10">
                  <c:v>1499.24135338531</c:v>
                </c:pt>
                <c:pt idx="11">
                  <c:v>1651.1505406430499</c:v>
                </c:pt>
                <c:pt idx="12">
                  <c:v>1824.59206290059</c:v>
                </c:pt>
                <c:pt idx="13">
                  <c:v>2019.2499963360999</c:v>
                </c:pt>
                <c:pt idx="14">
                  <c:v>2239.0736130969099</c:v>
                </c:pt>
                <c:pt idx="15">
                  <c:v>2480.1177028903599</c:v>
                </c:pt>
                <c:pt idx="16">
                  <c:v>2736.7978298274302</c:v>
                </c:pt>
                <c:pt idx="17">
                  <c:v>3038.2965918393302</c:v>
                </c:pt>
                <c:pt idx="18">
                  <c:v>3337.4541883247898</c:v>
                </c:pt>
                <c:pt idx="19">
                  <c:v>3695.0611266384899</c:v>
                </c:pt>
                <c:pt idx="20">
                  <c:v>4073.5637824566402</c:v>
                </c:pt>
                <c:pt idx="21">
                  <c:v>4507.1624059710302</c:v>
                </c:pt>
                <c:pt idx="22">
                  <c:v>5001.2301263582904</c:v>
                </c:pt>
                <c:pt idx="23">
                  <c:v>5499.1380104083</c:v>
                </c:pt>
                <c:pt idx="24">
                  <c:v>6017.6876233061903</c:v>
                </c:pt>
                <c:pt idx="25">
                  <c:v>6663.0402109616398</c:v>
                </c:pt>
                <c:pt idx="26">
                  <c:v>7620.49158048965</c:v>
                </c:pt>
                <c:pt idx="27">
                  <c:v>8103.4222226948104</c:v>
                </c:pt>
                <c:pt idx="28">
                  <c:v>9588.8101687174494</c:v>
                </c:pt>
                <c:pt idx="29">
                  <c:v>10224.4817983787</c:v>
                </c:pt>
                <c:pt idx="30">
                  <c:v>11259.166044993301</c:v>
                </c:pt>
                <c:pt idx="31">
                  <c:v>12438.5713682068</c:v>
                </c:pt>
                <c:pt idx="32">
                  <c:v>13845.8735881336</c:v>
                </c:pt>
                <c:pt idx="33">
                  <c:v>15501.887127665501</c:v>
                </c:pt>
                <c:pt idx="34">
                  <c:v>17376.9402252734</c:v>
                </c:pt>
                <c:pt idx="35">
                  <c:v>19544.6003959724</c:v>
                </c:pt>
                <c:pt idx="36">
                  <c:v>21964.227496578598</c:v>
                </c:pt>
                <c:pt idx="37">
                  <c:v>24616.267972138099</c:v>
                </c:pt>
                <c:pt idx="38">
                  <c:v>26781.8183566925</c:v>
                </c:pt>
                <c:pt idx="39">
                  <c:v>32293.783923694798</c:v>
                </c:pt>
                <c:pt idx="40">
                  <c:v>35827.858559644497</c:v>
                </c:pt>
                <c:pt idx="41">
                  <c:v>37107.068715100897</c:v>
                </c:pt>
                <c:pt idx="42">
                  <c:v>41362.808258677898</c:v>
                </c:pt>
                <c:pt idx="43">
                  <c:v>40838.623361729398</c:v>
                </c:pt>
                <c:pt idx="44">
                  <c:v>51435.066269995797</c:v>
                </c:pt>
                <c:pt idx="45">
                  <c:v>51919.645341588403</c:v>
                </c:pt>
                <c:pt idx="46">
                  <c:v>55299.738542690699</c:v>
                </c:pt>
                <c:pt idx="47">
                  <c:v>59813.619228104501</c:v>
                </c:pt>
                <c:pt idx="48">
                  <c:v>61308.596721292102</c:v>
                </c:pt>
                <c:pt idx="49">
                  <c:v>66587.184908580501</c:v>
                </c:pt>
                <c:pt idx="50">
                  <c:v>72946.0068058467</c:v>
                </c:pt>
                <c:pt idx="51">
                  <c:v>65173.359838210898</c:v>
                </c:pt>
                <c:pt idx="52">
                  <c:v>81217.242308057102</c:v>
                </c:pt>
                <c:pt idx="53">
                  <c:v>83240.934008447104</c:v>
                </c:pt>
                <c:pt idx="54">
                  <c:v>93867.562911376604</c:v>
                </c:pt>
                <c:pt idx="55">
                  <c:v>96550.523837493005</c:v>
                </c:pt>
                <c:pt idx="56">
                  <c:v>100288.12296273401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0-43B5-B6D6-94165DF2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7456"/>
        <c:axId val="756396840"/>
      </c:scatterChart>
      <c:valAx>
        <c:axId val="7508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6840"/>
        <c:crosses val="autoZero"/>
        <c:crossBetween val="midCat"/>
      </c:valAx>
      <c:valAx>
        <c:axId val="7563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53008</xdr:rowOff>
    </xdr:from>
    <xdr:to>
      <xdr:col>16</xdr:col>
      <xdr:colOff>228600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91604-EE0D-4752-8362-D330C19C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598170</xdr:colOff>
      <xdr:row>8</xdr:row>
      <xdr:rowOff>57150</xdr:rowOff>
    </xdr:from>
    <xdr:to>
      <xdr:col>17</xdr:col>
      <xdr:colOff>293370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5A002-2F6D-48BA-94C7-03CB3040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</xdr:row>
      <xdr:rowOff>72390</xdr:rowOff>
    </xdr:from>
    <xdr:to>
      <xdr:col>16</xdr:col>
      <xdr:colOff>518160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7E5EB-7690-4F4C-BC75-8B178544D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325120</xdr:colOff>
      <xdr:row>10</xdr:row>
      <xdr:rowOff>33020</xdr:rowOff>
    </xdr:from>
    <xdr:to>
      <xdr:col>15</xdr:col>
      <xdr:colOff>568960</xdr:colOff>
      <xdr:row>27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0D46-1BF4-486E-AA60-F45E1562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10</xdr:row>
      <xdr:rowOff>12699</xdr:rowOff>
    </xdr:from>
    <xdr:to>
      <xdr:col>24</xdr:col>
      <xdr:colOff>365760</xdr:colOff>
      <xdr:row>27</xdr:row>
      <xdr:rowOff>104139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60E7C-A048-4495-8F13-F635276C0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286327</xdr:colOff>
      <xdr:row>29</xdr:row>
      <xdr:rowOff>172719</xdr:rowOff>
    </xdr:from>
    <xdr:to>
      <xdr:col>22</xdr:col>
      <xdr:colOff>197658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F98155-CF12-4AC2-ADBA-37CBA691B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DLMDev/Case_Studies/Grey_Seal_5ZJM_DFO/data/Sable_Pop_mode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output"/>
      <sheetName val="Pup_estimates"/>
    </sheetNames>
    <sheetDataSet>
      <sheetData sheetId="0"/>
      <sheetData sheetId="1">
        <row r="1">
          <cell r="B1">
            <v>1960</v>
          </cell>
          <cell r="C1">
            <v>1961</v>
          </cell>
          <cell r="D1">
            <v>1962</v>
          </cell>
          <cell r="E1">
            <v>1963</v>
          </cell>
          <cell r="F1">
            <v>1964</v>
          </cell>
          <cell r="G1">
            <v>1965</v>
          </cell>
          <cell r="H1">
            <v>1966</v>
          </cell>
          <cell r="I1">
            <v>1967</v>
          </cell>
          <cell r="J1">
            <v>1968</v>
          </cell>
          <cell r="K1">
            <v>1969</v>
          </cell>
          <cell r="L1">
            <v>1970</v>
          </cell>
          <cell r="M1">
            <v>1971</v>
          </cell>
          <cell r="N1">
            <v>1972</v>
          </cell>
          <cell r="O1">
            <v>1973</v>
          </cell>
          <cell r="P1">
            <v>1974</v>
          </cell>
          <cell r="Q1">
            <v>1975</v>
          </cell>
          <cell r="R1">
            <v>1976</v>
          </cell>
          <cell r="S1">
            <v>1977</v>
          </cell>
          <cell r="T1">
            <v>1978</v>
          </cell>
          <cell r="U1">
            <v>1979</v>
          </cell>
          <cell r="V1">
            <v>1980</v>
          </cell>
          <cell r="W1">
            <v>1981</v>
          </cell>
          <cell r="X1">
            <v>1982</v>
          </cell>
          <cell r="Y1">
            <v>1983</v>
          </cell>
          <cell r="Z1">
            <v>1984</v>
          </cell>
          <cell r="AA1">
            <v>1985</v>
          </cell>
          <cell r="AB1">
            <v>1986</v>
          </cell>
          <cell r="AC1">
            <v>1987</v>
          </cell>
          <cell r="AD1">
            <v>1988</v>
          </cell>
          <cell r="AE1">
            <v>1989</v>
          </cell>
          <cell r="AF1">
            <v>1990</v>
          </cell>
          <cell r="AG1">
            <v>1991</v>
          </cell>
          <cell r="AH1">
            <v>1992</v>
          </cell>
          <cell r="AI1">
            <v>1993</v>
          </cell>
          <cell r="AJ1">
            <v>1994</v>
          </cell>
          <cell r="AK1">
            <v>1995</v>
          </cell>
          <cell r="AL1">
            <v>1996</v>
          </cell>
          <cell r="AM1">
            <v>1997</v>
          </cell>
          <cell r="AN1">
            <v>1998</v>
          </cell>
          <cell r="AO1">
            <v>1999</v>
          </cell>
          <cell r="AP1">
            <v>2000</v>
          </cell>
          <cell r="AQ1">
            <v>2001</v>
          </cell>
          <cell r="AR1">
            <v>2002</v>
          </cell>
          <cell r="AS1">
            <v>2003</v>
          </cell>
          <cell r="AT1">
            <v>2004</v>
          </cell>
          <cell r="AU1">
            <v>2005</v>
          </cell>
          <cell r="AV1">
            <v>2006</v>
          </cell>
          <cell r="AW1">
            <v>2007</v>
          </cell>
          <cell r="AX1">
            <v>2008</v>
          </cell>
          <cell r="AY1">
            <v>2009</v>
          </cell>
          <cell r="AZ1">
            <v>2010</v>
          </cell>
          <cell r="BA1">
            <v>2011</v>
          </cell>
          <cell r="BB1">
            <v>2012</v>
          </cell>
          <cell r="BC1">
            <v>2013</v>
          </cell>
          <cell r="BD1">
            <v>2014</v>
          </cell>
          <cell r="BE1">
            <v>2015</v>
          </cell>
          <cell r="BF1">
            <v>2016</v>
          </cell>
        </row>
        <row r="2">
          <cell r="E2">
            <v>400</v>
          </cell>
          <cell r="F2">
            <v>550</v>
          </cell>
          <cell r="G2">
            <v>660</v>
          </cell>
          <cell r="I2">
            <v>580</v>
          </cell>
          <cell r="J2">
            <v>700</v>
          </cell>
          <cell r="K2">
            <v>800</v>
          </cell>
          <cell r="L2">
            <v>800</v>
          </cell>
          <cell r="M2">
            <v>1000</v>
          </cell>
          <cell r="N2">
            <v>950</v>
          </cell>
          <cell r="O2">
            <v>1200</v>
          </cell>
          <cell r="P2">
            <v>1250</v>
          </cell>
          <cell r="R2">
            <v>2000</v>
          </cell>
          <cell r="S2">
            <v>2181</v>
          </cell>
          <cell r="T2">
            <v>2687</v>
          </cell>
          <cell r="U2">
            <v>2933</v>
          </cell>
          <cell r="V2">
            <v>3344</v>
          </cell>
          <cell r="W2">
            <v>3143</v>
          </cell>
          <cell r="X2">
            <v>4489</v>
          </cell>
          <cell r="Y2">
            <v>5435</v>
          </cell>
          <cell r="Z2">
            <v>5856</v>
          </cell>
          <cell r="AA2">
            <v>5606</v>
          </cell>
          <cell r="AB2">
            <v>6301</v>
          </cell>
          <cell r="AC2">
            <v>7391</v>
          </cell>
          <cell r="AD2">
            <v>8593</v>
          </cell>
          <cell r="AE2">
            <v>9712</v>
          </cell>
          <cell r="AF2">
            <v>10451</v>
          </cell>
          <cell r="AI2">
            <v>15500</v>
          </cell>
          <cell r="AM2">
            <v>25400</v>
          </cell>
          <cell r="AT2">
            <v>41500</v>
          </cell>
          <cell r="AW2">
            <v>54482</v>
          </cell>
          <cell r="AZ2">
            <v>62054</v>
          </cell>
          <cell r="BF2">
            <v>83594</v>
          </cell>
        </row>
        <row r="3">
          <cell r="E3">
            <v>400</v>
          </cell>
          <cell r="F3">
            <v>550</v>
          </cell>
          <cell r="G3">
            <v>660</v>
          </cell>
          <cell r="I3">
            <v>580</v>
          </cell>
          <cell r="J3">
            <v>700</v>
          </cell>
          <cell r="K3">
            <v>800</v>
          </cell>
          <cell r="L3">
            <v>800</v>
          </cell>
          <cell r="M3">
            <v>1000</v>
          </cell>
          <cell r="N3">
            <v>950</v>
          </cell>
          <cell r="O3">
            <v>1200</v>
          </cell>
          <cell r="P3">
            <v>1250</v>
          </cell>
          <cell r="R3">
            <v>2000</v>
          </cell>
          <cell r="S3">
            <v>173</v>
          </cell>
          <cell r="T3">
            <v>192</v>
          </cell>
          <cell r="U3">
            <v>201</v>
          </cell>
          <cell r="V3">
            <v>214</v>
          </cell>
          <cell r="W3">
            <v>208</v>
          </cell>
          <cell r="X3">
            <v>248</v>
          </cell>
          <cell r="Y3">
            <v>273</v>
          </cell>
          <cell r="Z3">
            <v>283</v>
          </cell>
          <cell r="AA3">
            <v>277</v>
          </cell>
          <cell r="AB3">
            <v>294</v>
          </cell>
          <cell r="AC3">
            <v>318</v>
          </cell>
          <cell r="AD3">
            <v>343</v>
          </cell>
          <cell r="AE3">
            <v>365</v>
          </cell>
          <cell r="AF3">
            <v>575</v>
          </cell>
          <cell r="AI3">
            <v>463</v>
          </cell>
          <cell r="AM3">
            <v>750</v>
          </cell>
          <cell r="AT3">
            <v>4381</v>
          </cell>
          <cell r="AW3">
            <v>8909</v>
          </cell>
          <cell r="AZ3">
            <v>4973</v>
          </cell>
          <cell r="BF3">
            <v>10170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3" displayName="Table3" ref="A1:CW35" totalsRowShown="0" dataDxfId="0">
  <tableColumns count="101">
    <tableColumn id="1" name="Slot" dataDxfId="101"/>
    <tableColumn id="2" name="Column1" dataDxfId="100"/>
    <tableColumn id="3" name="Column2" dataDxfId="99"/>
    <tableColumn id="4" name="Column3" dataDxfId="98"/>
    <tableColumn id="5" name="Column4" dataDxfId="97"/>
    <tableColumn id="6" name="Column5" dataDxfId="96"/>
    <tableColumn id="7" name="Column6" dataDxfId="95"/>
    <tableColumn id="8" name="Column7" dataDxfId="94"/>
    <tableColumn id="9" name="Column8" dataDxfId="93"/>
    <tableColumn id="10" name="Column9" dataDxfId="92"/>
    <tableColumn id="11" name="Column10" dataDxfId="91"/>
    <tableColumn id="12" name="Column11" dataDxfId="90"/>
    <tableColumn id="13" name="Column12" dataDxfId="89"/>
    <tableColumn id="14" name="Column13" dataDxfId="88"/>
    <tableColumn id="15" name="Column14" dataDxfId="87"/>
    <tableColumn id="16" name="Column15" dataDxfId="86"/>
    <tableColumn id="17" name="Column16" dataDxfId="85"/>
    <tableColumn id="18" name="Column17" dataDxfId="84"/>
    <tableColumn id="19" name="Column18" dataDxfId="83"/>
    <tableColumn id="20" name="Column19" dataDxfId="82"/>
    <tableColumn id="21" name="Column20" dataDxfId="81"/>
    <tableColumn id="22" name="Column21" dataDxfId="80"/>
    <tableColumn id="23" name="Column22" dataDxfId="79"/>
    <tableColumn id="24" name="Column23" dataDxfId="78"/>
    <tableColumn id="25" name="Column24" dataDxfId="77"/>
    <tableColumn id="26" name="Column25" dataDxfId="76"/>
    <tableColumn id="27" name="Column26" dataDxfId="75"/>
    <tableColumn id="28" name="Column27" dataDxfId="74"/>
    <tableColumn id="29" name="Column28" dataDxfId="73"/>
    <tableColumn id="30" name="Column29" dataDxfId="72"/>
    <tableColumn id="31" name="Column30" dataDxfId="71"/>
    <tableColumn id="32" name="Column31" dataDxfId="70"/>
    <tableColumn id="33" name="Column32" dataDxfId="69"/>
    <tableColumn id="34" name="Column33" dataDxfId="68"/>
    <tableColumn id="35" name="Column34" dataDxfId="67"/>
    <tableColumn id="36" name="Column35" dataDxfId="66"/>
    <tableColumn id="37" name="Column36" dataDxfId="65"/>
    <tableColumn id="38" name="Column37" dataDxfId="64"/>
    <tableColumn id="39" name="Column38" dataDxfId="63"/>
    <tableColumn id="40" name="Column39" dataDxfId="62"/>
    <tableColumn id="41" name="Column40" dataDxfId="61"/>
    <tableColumn id="42" name="Column41" dataDxfId="60"/>
    <tableColumn id="43" name="Column42" dataDxfId="59"/>
    <tableColumn id="44" name="Column43" dataDxfId="58"/>
    <tableColumn id="45" name="Column44" dataDxfId="57"/>
    <tableColumn id="46" name="Column45" dataDxfId="56"/>
    <tableColumn id="47" name="Column46" dataDxfId="55"/>
    <tableColumn id="48" name="Column47" dataDxfId="54"/>
    <tableColumn id="49" name="Column48" dataDxfId="53"/>
    <tableColumn id="50" name="Column49" dataDxfId="52"/>
    <tableColumn id="51" name="Column50" dataDxfId="51"/>
    <tableColumn id="52" name="Column51" dataDxfId="50"/>
    <tableColumn id="53" name="Column52" dataDxfId="49"/>
    <tableColumn id="54" name="Column53" dataDxfId="48"/>
    <tableColumn id="55" name="Column54" dataDxfId="47"/>
    <tableColumn id="56" name="Column55" dataDxfId="46"/>
    <tableColumn id="57" name="Column56" dataDxfId="45"/>
    <tableColumn id="58" name="Column57" dataDxfId="44"/>
    <tableColumn id="59" name="Column58" dataDxfId="43"/>
    <tableColumn id="60" name="Column59" dataDxfId="42"/>
    <tableColumn id="61" name="Column60" dataDxfId="41"/>
    <tableColumn id="62" name="Column61" dataDxfId="40"/>
    <tableColumn id="63" name="Column62" dataDxfId="39"/>
    <tableColumn id="64" name="Column63" dataDxfId="38"/>
    <tableColumn id="65" name="Column64" dataDxfId="37"/>
    <tableColumn id="66" name="Column65" dataDxfId="36"/>
    <tableColumn id="67" name="Column66" dataDxfId="35"/>
    <tableColumn id="68" name="Column67" dataDxfId="34"/>
    <tableColumn id="69" name="Column68" dataDxfId="33"/>
    <tableColumn id="70" name="Column69" dataDxfId="32"/>
    <tableColumn id="71" name="Column70" dataDxfId="31"/>
    <tableColumn id="72" name="Column71" dataDxfId="30"/>
    <tableColumn id="73" name="Column72" dataDxfId="29"/>
    <tableColumn id="74" name="Column73" dataDxfId="28"/>
    <tableColumn id="75" name="Column74" dataDxfId="27"/>
    <tableColumn id="76" name="Column75" dataDxfId="26"/>
    <tableColumn id="77" name="Column76" dataDxfId="25"/>
    <tableColumn id="78" name="Column77" dataDxfId="24"/>
    <tableColumn id="79" name="Column78" dataDxfId="23"/>
    <tableColumn id="80" name="Column79" dataDxfId="22"/>
    <tableColumn id="81" name="Column80" dataDxfId="21"/>
    <tableColumn id="82" name="Column81" dataDxfId="20"/>
    <tableColumn id="83" name="Column82" dataDxfId="19"/>
    <tableColumn id="84" name="Column83" dataDxfId="18"/>
    <tableColumn id="85" name="Column84" dataDxfId="17"/>
    <tableColumn id="86" name="Column85" dataDxfId="16"/>
    <tableColumn id="87" name="Column86" dataDxfId="15"/>
    <tableColumn id="88" name="Column87" dataDxfId="14"/>
    <tableColumn id="89" name="Column88" dataDxfId="13"/>
    <tableColumn id="90" name="Column89" dataDxfId="12"/>
    <tableColumn id="91" name="Column90" dataDxfId="11"/>
    <tableColumn id="92" name="Column91" dataDxfId="10"/>
    <tableColumn id="93" name="Column92" dataDxfId="9"/>
    <tableColumn id="94" name="Column93" dataDxfId="8"/>
    <tableColumn id="95" name="Column94" dataDxfId="7"/>
    <tableColumn id="96" name="Column95" dataDxfId="6"/>
    <tableColumn id="97" name="Column96" dataDxfId="5"/>
    <tableColumn id="98" name="Column97" dataDxfId="4"/>
    <tableColumn id="99" name="Column98" dataDxfId="3"/>
    <tableColumn id="100" name="Column99" dataDxfId="2"/>
    <tableColumn id="101" name="Column100" dataDxfId="1"/>
  </tableColumns>
  <tableStyleInfo name="non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35"/>
  <sheetViews>
    <sheetView topLeftCell="A5" workbookViewId="0">
      <selection activeCell="A27" sqref="A27"/>
    </sheetView>
  </sheetViews>
  <sheetFormatPr defaultRowHeight="15" x14ac:dyDescent="0.25"/>
  <cols>
    <col min="1" max="1" width="13.42578125" customWidth="1"/>
    <col min="2" max="3" width="10.42578125" customWidth="1"/>
    <col min="4" max="4" width="7.140625" customWidth="1"/>
    <col min="5" max="5" width="6.5703125" customWidth="1"/>
    <col min="6" max="61" width="6" customWidth="1"/>
    <col min="62" max="368" width="3.85546875" customWidth="1"/>
  </cols>
  <sheetData>
    <row r="1" spans="1:101" x14ac:dyDescent="0.25">
      <c r="A1" t="s">
        <v>66</v>
      </c>
      <c r="B1" t="s">
        <v>77</v>
      </c>
      <c r="C1" t="s">
        <v>78</v>
      </c>
      <c r="D1" t="s">
        <v>100</v>
      </c>
      <c r="E1" s="1" t="s">
        <v>127</v>
      </c>
      <c r="F1" s="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</row>
    <row r="2" spans="1:101" s="37" customFormat="1" x14ac:dyDescent="0.25">
      <c r="A2" s="37" t="s">
        <v>0</v>
      </c>
      <c r="B2" s="37" t="s">
        <v>292</v>
      </c>
    </row>
    <row r="3" spans="1:101" s="37" customFormat="1" x14ac:dyDescent="0.25">
      <c r="A3" s="37" t="s">
        <v>283</v>
      </c>
      <c r="B3" s="37" t="s">
        <v>284</v>
      </c>
      <c r="E3" s="38"/>
    </row>
    <row r="4" spans="1:101" s="37" customFormat="1" x14ac:dyDescent="0.25">
      <c r="A4" s="37" t="s">
        <v>101</v>
      </c>
      <c r="B4" s="37" t="s">
        <v>285</v>
      </c>
    </row>
    <row r="5" spans="1:101" s="37" customFormat="1" x14ac:dyDescent="0.25">
      <c r="A5" s="37" t="s">
        <v>1</v>
      </c>
      <c r="B5" s="37">
        <v>16</v>
      </c>
    </row>
    <row r="6" spans="1:101" x14ac:dyDescent="0.25">
      <c r="A6" s="37" t="s">
        <v>2</v>
      </c>
      <c r="B6" s="37">
        <v>294.04635373120163</v>
      </c>
      <c r="C6" s="37"/>
      <c r="D6" s="37"/>
      <c r="E6" s="37">
        <v>4</v>
      </c>
      <c r="F6" s="37">
        <v>5</v>
      </c>
      <c r="G6" s="37">
        <v>6</v>
      </c>
      <c r="H6" s="37">
        <v>7</v>
      </c>
      <c r="I6" s="37">
        <v>8</v>
      </c>
      <c r="J6" s="37">
        <v>9</v>
      </c>
      <c r="K6" s="37">
        <v>10</v>
      </c>
      <c r="L6" s="37">
        <v>11</v>
      </c>
      <c r="M6" s="37">
        <v>12</v>
      </c>
      <c r="N6" s="37">
        <v>13</v>
      </c>
      <c r="O6" s="37">
        <v>14</v>
      </c>
      <c r="P6" s="37">
        <v>15</v>
      </c>
      <c r="Q6" s="37">
        <v>16</v>
      </c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</row>
    <row r="7" spans="1:101" s="37" customFormat="1" x14ac:dyDescent="0.25">
      <c r="A7" s="37" t="s">
        <v>3</v>
      </c>
      <c r="B7" s="39">
        <v>0.54300452213022588</v>
      </c>
      <c r="C7" s="39">
        <v>7.3646540168298483E-2</v>
      </c>
      <c r="D7" s="39">
        <v>3.1490667091370848E-2</v>
      </c>
      <c r="E7" s="39">
        <v>4.0821994520255166E-2</v>
      </c>
      <c r="F7" s="39">
        <v>5.1293294387550578E-2</v>
      </c>
      <c r="G7" s="39">
        <v>6.2939799773874081E-2</v>
      </c>
      <c r="H7" s="39">
        <v>9.7612828867000415E-2</v>
      </c>
      <c r="I7" s="39">
        <v>0.15431736038435728</v>
      </c>
      <c r="J7" s="39">
        <v>0.25618340539240991</v>
      </c>
      <c r="K7" s="39">
        <v>0.41248972304512882</v>
      </c>
      <c r="L7" s="39">
        <v>0.76571787339478081</v>
      </c>
      <c r="M7" s="39">
        <v>1.2039728043259359</v>
      </c>
      <c r="N7" s="39">
        <v>1.2039728043259359</v>
      </c>
      <c r="O7" s="39">
        <v>1.2039728043259359</v>
      </c>
      <c r="P7" s="39">
        <v>1.2039728043259359</v>
      </c>
      <c r="Q7" s="39">
        <v>1.2039728043259359</v>
      </c>
    </row>
    <row r="8" spans="1:101" s="37" customFormat="1" x14ac:dyDescent="0.25">
      <c r="A8" s="37" t="s">
        <v>74</v>
      </c>
      <c r="B8" s="37">
        <f>B7+0.01</f>
        <v>0.55300452213022588</v>
      </c>
      <c r="C8" s="37">
        <f t="shared" ref="C8:Q8" si="0">C7+0.01</f>
        <v>8.3646540168298478E-2</v>
      </c>
      <c r="D8" s="37">
        <f t="shared" si="0"/>
        <v>4.149066709137085E-2</v>
      </c>
      <c r="E8" s="37">
        <f t="shared" si="0"/>
        <v>5.0821994520255168E-2</v>
      </c>
      <c r="F8" s="37">
        <f t="shared" si="0"/>
        <v>6.129329438755058E-2</v>
      </c>
      <c r="G8" s="37">
        <f t="shared" si="0"/>
        <v>7.2939799773874076E-2</v>
      </c>
      <c r="H8" s="37">
        <f t="shared" si="0"/>
        <v>0.10761282886700041</v>
      </c>
      <c r="I8" s="37">
        <f t="shared" si="0"/>
        <v>0.16431736038435729</v>
      </c>
      <c r="J8" s="37">
        <f t="shared" si="0"/>
        <v>0.26618340539240992</v>
      </c>
      <c r="K8" s="37">
        <f t="shared" si="0"/>
        <v>0.42248972304512883</v>
      </c>
      <c r="L8" s="37">
        <f t="shared" si="0"/>
        <v>0.77571787339478082</v>
      </c>
      <c r="M8" s="37">
        <f t="shared" si="0"/>
        <v>1.2139728043259359</v>
      </c>
      <c r="N8" s="37">
        <f t="shared" si="0"/>
        <v>1.2139728043259359</v>
      </c>
      <c r="O8" s="37">
        <f t="shared" si="0"/>
        <v>1.2139728043259359</v>
      </c>
      <c r="P8" s="37">
        <f t="shared" si="0"/>
        <v>1.2139728043259359</v>
      </c>
      <c r="Q8" s="37">
        <f t="shared" si="0"/>
        <v>1.2139728043259359</v>
      </c>
    </row>
    <row r="9" spans="1:101" s="37" customFormat="1" x14ac:dyDescent="0.25">
      <c r="A9" s="37" t="s">
        <v>75</v>
      </c>
    </row>
    <row r="10" spans="1:101" x14ac:dyDescent="0.25">
      <c r="A10" s="41" t="s">
        <v>4</v>
      </c>
      <c r="B10" s="40">
        <v>0.05</v>
      </c>
      <c r="C10" s="40">
        <v>0.15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</row>
    <row r="11" spans="1:101" x14ac:dyDescent="0.25">
      <c r="A11" s="41" t="s">
        <v>5</v>
      </c>
      <c r="B11" s="40">
        <v>0</v>
      </c>
      <c r="C11" s="40">
        <v>0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</row>
    <row r="12" spans="1:101" s="37" customFormat="1" x14ac:dyDescent="0.25">
      <c r="A12" s="41" t="s">
        <v>6</v>
      </c>
      <c r="B12" s="37">
        <v>0.75</v>
      </c>
      <c r="C12" s="37">
        <v>0.9</v>
      </c>
      <c r="D12" s="37" t="s">
        <v>152</v>
      </c>
    </row>
    <row r="13" spans="1:101" s="37" customFormat="1" x14ac:dyDescent="0.25">
      <c r="A13" s="37" t="s">
        <v>7</v>
      </c>
      <c r="B13" s="40">
        <v>1</v>
      </c>
      <c r="D13" s="37">
        <v>3</v>
      </c>
      <c r="E13" s="42"/>
    </row>
    <row r="14" spans="1:101" s="37" customFormat="1" x14ac:dyDescent="0.25">
      <c r="A14" s="37" t="s">
        <v>21</v>
      </c>
      <c r="B14" s="37">
        <v>0.01</v>
      </c>
      <c r="C14" s="37">
        <v>0.02</v>
      </c>
    </row>
    <row r="15" spans="1:101" s="37" customFormat="1" x14ac:dyDescent="0.25">
      <c r="A15" s="37" t="s">
        <v>15</v>
      </c>
      <c r="B15" s="37">
        <v>0.25</v>
      </c>
      <c r="C15" s="37">
        <v>0.65</v>
      </c>
    </row>
    <row r="16" spans="1:101" s="37" customFormat="1" x14ac:dyDescent="0.25">
      <c r="A16" s="37" t="s">
        <v>57</v>
      </c>
    </row>
    <row r="17" spans="1:101" s="37" customFormat="1" x14ac:dyDescent="0.25">
      <c r="A17" s="37" t="s">
        <v>58</v>
      </c>
    </row>
    <row r="18" spans="1:101" s="37" customFormat="1" x14ac:dyDescent="0.25">
      <c r="A18" s="37" t="s">
        <v>8</v>
      </c>
      <c r="B18" s="37">
        <v>100</v>
      </c>
      <c r="C18" s="37">
        <v>135</v>
      </c>
      <c r="D18" s="37" t="s">
        <v>286</v>
      </c>
    </row>
    <row r="19" spans="1:101" s="37" customFormat="1" x14ac:dyDescent="0.25">
      <c r="A19" s="37" t="s">
        <v>11</v>
      </c>
      <c r="B19" s="37">
        <v>0.32</v>
      </c>
      <c r="C19" s="37">
        <v>0.42</v>
      </c>
      <c r="D19" s="37" t="s">
        <v>286</v>
      </c>
    </row>
    <row r="20" spans="1:101" s="37" customFormat="1" x14ac:dyDescent="0.25">
      <c r="A20" s="37" t="s">
        <v>14</v>
      </c>
      <c r="B20" s="37">
        <v>-0.1</v>
      </c>
      <c r="C20" s="37">
        <v>0.47</v>
      </c>
      <c r="D20" s="37" t="s">
        <v>286</v>
      </c>
    </row>
    <row r="21" spans="1:101" s="37" customFormat="1" x14ac:dyDescent="0.25">
      <c r="A21" s="37" t="s">
        <v>76</v>
      </c>
      <c r="B21" s="37">
        <v>0.1</v>
      </c>
      <c r="C21" s="37">
        <v>0.12</v>
      </c>
      <c r="D21" s="37" t="s">
        <v>286</v>
      </c>
      <c r="F21" s="42"/>
    </row>
    <row r="22" spans="1:101" s="37" customFormat="1" x14ac:dyDescent="0.25">
      <c r="A22" s="37" t="s">
        <v>12</v>
      </c>
      <c r="B22" s="37">
        <v>0</v>
      </c>
      <c r="C22" s="37">
        <v>0</v>
      </c>
      <c r="D22" s="37" t="s">
        <v>281</v>
      </c>
    </row>
    <row r="23" spans="1:101" s="37" customFormat="1" x14ac:dyDescent="0.25">
      <c r="A23" s="37" t="s">
        <v>13</v>
      </c>
      <c r="B23" s="37">
        <v>0</v>
      </c>
      <c r="C23" s="37">
        <v>0</v>
      </c>
      <c r="D23" s="37" t="s">
        <v>281</v>
      </c>
    </row>
    <row r="24" spans="1:101" s="37" customFormat="1" x14ac:dyDescent="0.25">
      <c r="A24" s="37" t="s">
        <v>9</v>
      </c>
      <c r="B24" s="37">
        <v>0</v>
      </c>
      <c r="C24" s="37">
        <v>0</v>
      </c>
      <c r="D24" s="37" t="s">
        <v>281</v>
      </c>
    </row>
    <row r="25" spans="1:101" s="37" customFormat="1" x14ac:dyDescent="0.25">
      <c r="A25" s="37" t="s">
        <v>10</v>
      </c>
      <c r="B25" s="37">
        <v>0</v>
      </c>
      <c r="C25" s="43">
        <v>0</v>
      </c>
      <c r="D25" s="37" t="s">
        <v>281</v>
      </c>
    </row>
    <row r="26" spans="1:101" s="37" customFormat="1" x14ac:dyDescent="0.25">
      <c r="A26" s="37" t="s">
        <v>18</v>
      </c>
      <c r="B26" s="37">
        <v>65</v>
      </c>
      <c r="C26" s="37">
        <v>80</v>
      </c>
      <c r="D26" s="37" t="s">
        <v>287</v>
      </c>
    </row>
    <row r="27" spans="1:101" s="37" customFormat="1" x14ac:dyDescent="0.25">
      <c r="A27" s="37" t="s">
        <v>19</v>
      </c>
      <c r="B27" s="37">
        <v>10</v>
      </c>
      <c r="C27" s="37">
        <v>30</v>
      </c>
      <c r="D27" s="37" t="s">
        <v>288</v>
      </c>
    </row>
    <row r="28" spans="1:101" s="37" customFormat="1" x14ac:dyDescent="0.25">
      <c r="A28" s="37" t="s">
        <v>20</v>
      </c>
      <c r="B28" s="37">
        <v>0.65</v>
      </c>
      <c r="C28" s="37">
        <v>0.75</v>
      </c>
      <c r="D28" s="37" t="s">
        <v>289</v>
      </c>
    </row>
    <row r="29" spans="1:101" s="37" customFormat="1" x14ac:dyDescent="0.25">
      <c r="A29" s="37" t="s">
        <v>16</v>
      </c>
      <c r="B29" s="37">
        <v>1</v>
      </c>
      <c r="D29" s="37" t="s">
        <v>290</v>
      </c>
    </row>
    <row r="30" spans="1:101" s="37" customFormat="1" x14ac:dyDescent="0.25">
      <c r="A30" s="37" t="s">
        <v>17</v>
      </c>
      <c r="B30" s="37">
        <v>1</v>
      </c>
      <c r="D30" s="37" t="s">
        <v>290</v>
      </c>
      <c r="E30" s="42"/>
    </row>
    <row r="31" spans="1:101" s="15" customFormat="1" x14ac:dyDescent="0.25">
      <c r="A31" s="40" t="s">
        <v>128</v>
      </c>
      <c r="B31" s="40">
        <v>0.5</v>
      </c>
      <c r="C31" s="40">
        <v>0.5</v>
      </c>
      <c r="D31" s="37"/>
      <c r="E31" s="42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</row>
    <row r="32" spans="1:101" x14ac:dyDescent="0.25">
      <c r="A32" s="40" t="s">
        <v>22</v>
      </c>
      <c r="B32" s="40">
        <v>0.5</v>
      </c>
      <c r="C32" s="40">
        <v>0.5</v>
      </c>
      <c r="D32" s="37"/>
      <c r="E32" s="42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</row>
    <row r="33" spans="1:101" x14ac:dyDescent="0.25">
      <c r="A33" s="40" t="s">
        <v>23</v>
      </c>
      <c r="B33" s="40">
        <v>0.5</v>
      </c>
      <c r="C33" s="40">
        <v>0.5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</row>
    <row r="34" spans="1:101" x14ac:dyDescent="0.25">
      <c r="A34" s="40" t="s">
        <v>59</v>
      </c>
      <c r="B34" s="40">
        <v>0</v>
      </c>
      <c r="C34" s="40">
        <v>0</v>
      </c>
      <c r="D34" s="37" t="s">
        <v>291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</row>
    <row r="35" spans="1:101" s="37" customFormat="1" x14ac:dyDescent="0.25">
      <c r="A35" s="37" t="s">
        <v>56</v>
      </c>
      <c r="E35" s="4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36" sqref="F36"/>
    </sheetView>
  </sheetViews>
  <sheetFormatPr defaultRowHeight="15" x14ac:dyDescent="0.25"/>
  <cols>
    <col min="2" max="2" width="15.5703125" customWidth="1"/>
    <col min="4" max="4" width="12" bestFit="1" customWidth="1"/>
  </cols>
  <sheetData>
    <row r="1" spans="1:8" s="15" customFormat="1" x14ac:dyDescent="0.25">
      <c r="A1" s="15" t="s">
        <v>258</v>
      </c>
      <c r="B1" s="15" t="s">
        <v>259</v>
      </c>
      <c r="C1" s="15" t="s">
        <v>262</v>
      </c>
      <c r="D1" s="15" t="s">
        <v>107</v>
      </c>
      <c r="E1" s="15" t="s">
        <v>260</v>
      </c>
      <c r="F1" s="15">
        <v>3.4208049352009779</v>
      </c>
      <c r="H1" s="15" t="s">
        <v>263</v>
      </c>
    </row>
    <row r="2" spans="1:8" x14ac:dyDescent="0.25">
      <c r="A2">
        <v>2</v>
      </c>
      <c r="B2">
        <v>9.9524658348186801E-3</v>
      </c>
      <c r="C2">
        <f>$F$3/(1+(EXP(($F$1-A2)/$F$2)))</f>
        <v>1.000449441700561E-2</v>
      </c>
      <c r="D2">
        <f>LN(NORMDIST(LN(B2/C2),0,0.4,FALSE))</f>
        <v>-2.7327598975414868E-3</v>
      </c>
      <c r="E2" t="s">
        <v>261</v>
      </c>
      <c r="F2">
        <v>0.32139255075784656</v>
      </c>
      <c r="H2" s="15">
        <f>1/(1+(EXP(($F$1-A2)/$F$2)))</f>
        <v>1.1882000491799915E-2</v>
      </c>
    </row>
    <row r="3" spans="1:8" x14ac:dyDescent="0.25">
      <c r="A3">
        <v>3</v>
      </c>
      <c r="B3">
        <v>0.181372549019607</v>
      </c>
      <c r="C3" s="15">
        <f t="shared" ref="C3:C25" si="0">$F$3/(1+(EXP(($F$1-A3)/$F$2)))</f>
        <v>0.17900740066563478</v>
      </c>
      <c r="D3" s="15">
        <f t="shared" ref="D3:D25" si="1">LN(NORMDIST(LN(B3/C3),0,0.4,FALSE))</f>
        <v>-3.186217405050055E-3</v>
      </c>
      <c r="E3" t="s">
        <v>105</v>
      </c>
      <c r="F3">
        <v>0.84198737610808694</v>
      </c>
      <c r="H3" s="15">
        <f t="shared" ref="H3:H25" si="2">1/(1+(EXP(($F$1-A3)/$F$2)))</f>
        <v>0.21260105049681335</v>
      </c>
    </row>
    <row r="4" spans="1:8" x14ac:dyDescent="0.25">
      <c r="A4">
        <v>4</v>
      </c>
      <c r="B4">
        <v>0.69622697563874003</v>
      </c>
      <c r="C4" s="15">
        <f t="shared" si="0"/>
        <v>0.72276996126933812</v>
      </c>
      <c r="D4" s="15">
        <f t="shared" si="1"/>
        <v>-7.0224981565355921E-3</v>
      </c>
      <c r="H4" s="15">
        <f t="shared" si="2"/>
        <v>0.85840949850126402</v>
      </c>
    </row>
    <row r="5" spans="1:8" x14ac:dyDescent="0.25">
      <c r="A5">
        <v>5</v>
      </c>
      <c r="B5">
        <v>0.84740790255496101</v>
      </c>
      <c r="C5" s="15">
        <f t="shared" si="0"/>
        <v>0.83584725823944706</v>
      </c>
      <c r="D5" s="15">
        <f t="shared" si="1"/>
        <v>-3.2374425558803163E-3</v>
      </c>
      <c r="H5" s="15">
        <f t="shared" si="2"/>
        <v>0.9927075891600402</v>
      </c>
    </row>
    <row r="6" spans="1:8" x14ac:dyDescent="0.25">
      <c r="A6">
        <v>6</v>
      </c>
      <c r="B6">
        <v>0.79660576351752799</v>
      </c>
      <c r="C6" s="15">
        <f t="shared" si="0"/>
        <v>0.84171200175739114</v>
      </c>
      <c r="D6" s="15">
        <f t="shared" si="1"/>
        <v>-1.2127761009053396E-2</v>
      </c>
      <c r="H6" s="15">
        <f t="shared" si="2"/>
        <v>0.99967294717413857</v>
      </c>
    </row>
    <row r="7" spans="1:8" x14ac:dyDescent="0.25">
      <c r="A7">
        <v>7</v>
      </c>
      <c r="B7">
        <v>0.94778669043374897</v>
      </c>
      <c r="C7" s="15">
        <f t="shared" si="0"/>
        <v>0.8419751082314737</v>
      </c>
      <c r="D7" s="15">
        <f t="shared" si="1"/>
        <v>-4.6440274332416175E-2</v>
      </c>
      <c r="H7" s="15">
        <f t="shared" si="2"/>
        <v>0.9999854298568347</v>
      </c>
    </row>
    <row r="8" spans="1:8" x14ac:dyDescent="0.25">
      <c r="A8">
        <v>8</v>
      </c>
      <c r="B8">
        <v>0.95755347593582796</v>
      </c>
      <c r="C8" s="15">
        <f t="shared" si="0"/>
        <v>0.84198682973962102</v>
      </c>
      <c r="D8" s="15">
        <f t="shared" si="1"/>
        <v>-5.4342748986547083E-2</v>
      </c>
      <c r="H8" s="15">
        <f t="shared" si="2"/>
        <v>0.9999993510966062</v>
      </c>
    </row>
    <row r="9" spans="1:8" x14ac:dyDescent="0.25">
      <c r="A9">
        <v>9</v>
      </c>
      <c r="B9">
        <v>0.85632055852643996</v>
      </c>
      <c r="C9" s="15">
        <f t="shared" si="0"/>
        <v>0.84198735177506345</v>
      </c>
      <c r="D9" s="15">
        <f t="shared" si="1"/>
        <v>-3.5382000001478128E-3</v>
      </c>
      <c r="H9" s="15">
        <f t="shared" si="2"/>
        <v>0.99999997110048899</v>
      </c>
    </row>
    <row r="10" spans="1:8" x14ac:dyDescent="0.25">
      <c r="A10">
        <v>10</v>
      </c>
      <c r="B10">
        <v>0.80548128342245895</v>
      </c>
      <c r="C10" s="15">
        <f t="shared" si="0"/>
        <v>0.84198737502439402</v>
      </c>
      <c r="D10" s="15">
        <f t="shared" si="1"/>
        <v>-8.7875212920614596E-3</v>
      </c>
      <c r="H10" s="15">
        <f t="shared" si="2"/>
        <v>0.99999999871293443</v>
      </c>
    </row>
    <row r="11" spans="1:8" x14ac:dyDescent="0.25">
      <c r="A11">
        <v>11</v>
      </c>
      <c r="B11">
        <v>0.80514705882352899</v>
      </c>
      <c r="C11" s="15">
        <f t="shared" si="0"/>
        <v>0.84198737605982377</v>
      </c>
      <c r="D11" s="15">
        <f t="shared" si="1"/>
        <v>-8.9030346217635181E-3</v>
      </c>
      <c r="H11" s="15">
        <f t="shared" si="2"/>
        <v>0.99999999994267941</v>
      </c>
    </row>
    <row r="12" spans="1:8" x14ac:dyDescent="0.25">
      <c r="A12">
        <v>12</v>
      </c>
      <c r="B12">
        <v>0.89575906120023696</v>
      </c>
      <c r="C12" s="15">
        <f t="shared" si="0"/>
        <v>0.84198737610593744</v>
      </c>
      <c r="D12" s="15">
        <f t="shared" si="1"/>
        <v>-1.462407825602512E-2</v>
      </c>
      <c r="H12" s="15">
        <f t="shared" si="2"/>
        <v>0.99999999999744715</v>
      </c>
    </row>
    <row r="13" spans="1:8" x14ac:dyDescent="0.25">
      <c r="A13">
        <v>13</v>
      </c>
      <c r="B13">
        <v>0.99650920974450297</v>
      </c>
      <c r="C13" s="15">
        <f t="shared" si="0"/>
        <v>0.84198737610799124</v>
      </c>
      <c r="D13" s="15">
        <f t="shared" si="1"/>
        <v>-9.1366590303057313E-2</v>
      </c>
      <c r="H13" s="15">
        <f t="shared" si="2"/>
        <v>0.99999999999988631</v>
      </c>
    </row>
    <row r="14" spans="1:8" x14ac:dyDescent="0.25">
      <c r="A14">
        <v>14</v>
      </c>
      <c r="B14">
        <v>0.90526589423648196</v>
      </c>
      <c r="C14" s="15">
        <f t="shared" si="0"/>
        <v>0.84198737610808261</v>
      </c>
      <c r="D14" s="15">
        <f t="shared" si="1"/>
        <v>-1.9057131444427857E-2</v>
      </c>
      <c r="H14" s="15">
        <f t="shared" si="2"/>
        <v>0.99999999999999489</v>
      </c>
    </row>
    <row r="15" spans="1:8" x14ac:dyDescent="0.25">
      <c r="A15">
        <v>15</v>
      </c>
      <c r="B15">
        <v>0.99584076054664195</v>
      </c>
      <c r="C15" s="15">
        <f t="shared" si="0"/>
        <v>0.84198737610808672</v>
      </c>
      <c r="D15" s="15">
        <f t="shared" si="1"/>
        <v>-9.0661361631811044E-2</v>
      </c>
      <c r="H15" s="15">
        <f t="shared" si="2"/>
        <v>0.99999999999999978</v>
      </c>
    </row>
    <row r="16" spans="1:8" x14ac:dyDescent="0.25">
      <c r="A16">
        <v>16</v>
      </c>
      <c r="B16">
        <v>0.87436868686868596</v>
      </c>
      <c r="C16" s="15">
        <f t="shared" si="0"/>
        <v>0.84198737610808694</v>
      </c>
      <c r="D16" s="15">
        <f t="shared" si="1"/>
        <v>-7.0980794761708304E-3</v>
      </c>
      <c r="H16" s="15">
        <f t="shared" si="2"/>
        <v>1</v>
      </c>
    </row>
    <row r="17" spans="1:8" x14ac:dyDescent="0.25">
      <c r="A17">
        <v>17</v>
      </c>
      <c r="B17">
        <v>0.84373143196672595</v>
      </c>
      <c r="C17" s="15">
        <f t="shared" si="0"/>
        <v>0.84198737610808694</v>
      </c>
      <c r="D17" s="15">
        <f t="shared" si="1"/>
        <v>-2.661181476104767E-3</v>
      </c>
      <c r="H17" s="15">
        <f t="shared" si="2"/>
        <v>1</v>
      </c>
    </row>
    <row r="18" spans="1:8" x14ac:dyDescent="0.25">
      <c r="A18">
        <v>18</v>
      </c>
      <c r="B18">
        <v>0.99498663101604201</v>
      </c>
      <c r="C18" s="15">
        <f t="shared" si="0"/>
        <v>0.84198737610808694</v>
      </c>
      <c r="D18" s="15">
        <f t="shared" si="1"/>
        <v>-8.9763647066191873E-2</v>
      </c>
      <c r="H18" s="15">
        <f t="shared" si="2"/>
        <v>1</v>
      </c>
    </row>
    <row r="19" spans="1:8" x14ac:dyDescent="0.25">
      <c r="A19">
        <v>19</v>
      </c>
      <c r="B19">
        <v>0.28761883541295302</v>
      </c>
      <c r="C19" s="15">
        <f t="shared" si="0"/>
        <v>0.84198737610808694</v>
      </c>
      <c r="D19" s="15">
        <f t="shared" si="1"/>
        <v>-3.6081256346598654</v>
      </c>
      <c r="H19" s="15">
        <f t="shared" si="2"/>
        <v>1</v>
      </c>
    </row>
    <row r="20" spans="1:8" x14ac:dyDescent="0.25">
      <c r="A20">
        <v>20</v>
      </c>
      <c r="B20">
        <v>0.89334521687462798</v>
      </c>
      <c r="C20" s="15">
        <f t="shared" si="0"/>
        <v>0.84198737610808694</v>
      </c>
      <c r="D20" s="15">
        <f t="shared" si="1"/>
        <v>-1.3602785893039279E-2</v>
      </c>
      <c r="H20" s="15">
        <f t="shared" si="2"/>
        <v>1</v>
      </c>
    </row>
    <row r="21" spans="1:8" x14ac:dyDescent="0.25">
      <c r="A21">
        <v>21</v>
      </c>
      <c r="B21">
        <v>0.98399435531788404</v>
      </c>
      <c r="C21" s="15">
        <f t="shared" si="0"/>
        <v>0.84198737610808694</v>
      </c>
      <c r="D21" s="15">
        <f t="shared" si="1"/>
        <v>-7.855662761395521E-2</v>
      </c>
      <c r="H21" s="15">
        <f t="shared" si="2"/>
        <v>1</v>
      </c>
    </row>
    <row r="22" spans="1:8" x14ac:dyDescent="0.25">
      <c r="A22">
        <v>22</v>
      </c>
      <c r="B22">
        <v>0.98366013071895397</v>
      </c>
      <c r="C22" s="15">
        <f t="shared" si="0"/>
        <v>0.84198737610808694</v>
      </c>
      <c r="D22" s="15">
        <f t="shared" si="1"/>
        <v>-7.8226070019450727E-2</v>
      </c>
      <c r="H22" s="15">
        <f t="shared" si="2"/>
        <v>1</v>
      </c>
    </row>
    <row r="23" spans="1:8" x14ac:dyDescent="0.25">
      <c r="A23">
        <v>23</v>
      </c>
      <c r="B23">
        <v>0.74093879976232901</v>
      </c>
      <c r="C23" s="15">
        <f t="shared" si="0"/>
        <v>0.84198737610808694</v>
      </c>
      <c r="D23" s="15">
        <f t="shared" si="1"/>
        <v>-5.3725467222594143E-2</v>
      </c>
      <c r="H23" s="15">
        <f t="shared" si="2"/>
        <v>1</v>
      </c>
    </row>
    <row r="24" spans="1:8" x14ac:dyDescent="0.25">
      <c r="A24">
        <v>24</v>
      </c>
      <c r="B24">
        <v>0.99312982768865099</v>
      </c>
      <c r="C24" s="15">
        <f t="shared" si="0"/>
        <v>0.84198737610808694</v>
      </c>
      <c r="D24" s="15">
        <f t="shared" si="1"/>
        <v>-8.7825344142275705E-2</v>
      </c>
      <c r="H24" s="15">
        <f t="shared" si="2"/>
        <v>1</v>
      </c>
    </row>
    <row r="25" spans="1:8" x14ac:dyDescent="0.25">
      <c r="A25">
        <v>25</v>
      </c>
      <c r="B25">
        <v>0.75037136066547805</v>
      </c>
      <c r="C25" s="15">
        <f t="shared" si="0"/>
        <v>0.84198737610808694</v>
      </c>
      <c r="D25" s="15">
        <f t="shared" si="1"/>
        <v>-4.411749005109767E-2</v>
      </c>
      <c r="H25" s="15">
        <f t="shared" si="2"/>
        <v>1</v>
      </c>
    </row>
    <row r="27" spans="1:8" x14ac:dyDescent="0.25">
      <c r="D27">
        <f>-SUM(D2:D25)</f>
        <v>4.4297299475130636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BE2" sqref="BE2"/>
    </sheetView>
  </sheetViews>
  <sheetFormatPr defaultColWidth="8.85546875" defaultRowHeight="15" x14ac:dyDescent="0.25"/>
  <cols>
    <col min="1" max="16384" width="8.85546875" style="15"/>
  </cols>
  <sheetData>
    <row r="1" spans="1:58" x14ac:dyDescent="0.25">
      <c r="A1" s="15" t="s">
        <v>129</v>
      </c>
      <c r="B1" s="15">
        <v>1960</v>
      </c>
      <c r="C1" s="15">
        <v>1961</v>
      </c>
      <c r="D1" s="15">
        <v>1962</v>
      </c>
      <c r="E1" s="15">
        <v>1963</v>
      </c>
      <c r="F1" s="15">
        <v>1964</v>
      </c>
      <c r="G1" s="15">
        <v>1965</v>
      </c>
      <c r="H1" s="15">
        <v>1966</v>
      </c>
      <c r="I1" s="15">
        <v>1967</v>
      </c>
      <c r="J1" s="15">
        <v>1968</v>
      </c>
      <c r="K1" s="15">
        <v>1969</v>
      </c>
      <c r="L1" s="15">
        <v>1970</v>
      </c>
      <c r="M1" s="15">
        <v>1971</v>
      </c>
      <c r="N1" s="15">
        <v>1972</v>
      </c>
      <c r="O1" s="15">
        <v>1973</v>
      </c>
      <c r="P1" s="15">
        <v>1974</v>
      </c>
      <c r="Q1" s="15">
        <v>1975</v>
      </c>
      <c r="R1" s="15">
        <v>1976</v>
      </c>
      <c r="S1" s="15">
        <v>1977</v>
      </c>
      <c r="T1" s="15">
        <v>1978</v>
      </c>
      <c r="U1" s="15">
        <v>1979</v>
      </c>
      <c r="V1" s="15">
        <v>1980</v>
      </c>
      <c r="W1" s="15">
        <v>1981</v>
      </c>
      <c r="X1" s="15">
        <v>1982</v>
      </c>
      <c r="Y1" s="15">
        <v>1983</v>
      </c>
      <c r="Z1" s="15">
        <v>1984</v>
      </c>
      <c r="AA1" s="15">
        <v>1985</v>
      </c>
      <c r="AB1" s="15">
        <v>1986</v>
      </c>
      <c r="AC1" s="15">
        <v>1987</v>
      </c>
      <c r="AD1" s="15">
        <v>1988</v>
      </c>
      <c r="AE1" s="15">
        <v>1989</v>
      </c>
      <c r="AF1" s="15">
        <v>1990</v>
      </c>
      <c r="AG1" s="15">
        <v>1991</v>
      </c>
      <c r="AH1" s="15">
        <v>1992</v>
      </c>
      <c r="AI1" s="15">
        <v>1993</v>
      </c>
      <c r="AJ1" s="15">
        <v>1994</v>
      </c>
      <c r="AK1" s="15">
        <v>1995</v>
      </c>
      <c r="AL1" s="15">
        <v>1996</v>
      </c>
      <c r="AM1" s="15">
        <v>1997</v>
      </c>
      <c r="AN1" s="15">
        <v>1998</v>
      </c>
      <c r="AO1" s="15">
        <v>1999</v>
      </c>
      <c r="AP1" s="15">
        <v>2000</v>
      </c>
      <c r="AQ1" s="15">
        <v>2001</v>
      </c>
      <c r="AR1" s="15">
        <v>2002</v>
      </c>
      <c r="AS1" s="15">
        <v>2003</v>
      </c>
      <c r="AT1" s="15">
        <v>2004</v>
      </c>
      <c r="AU1" s="15">
        <v>2005</v>
      </c>
      <c r="AV1" s="15">
        <v>2006</v>
      </c>
      <c r="AW1" s="15">
        <v>2007</v>
      </c>
      <c r="AX1" s="15">
        <v>2008</v>
      </c>
      <c r="AY1" s="15">
        <v>2009</v>
      </c>
      <c r="AZ1" s="15">
        <v>2010</v>
      </c>
      <c r="BA1" s="15">
        <v>2011</v>
      </c>
      <c r="BB1" s="15">
        <v>2012</v>
      </c>
      <c r="BC1" s="15">
        <v>2013</v>
      </c>
      <c r="BD1" s="15">
        <v>2014</v>
      </c>
      <c r="BE1" s="15">
        <v>2015</v>
      </c>
      <c r="BF1" s="15">
        <v>2016</v>
      </c>
    </row>
    <row r="2" spans="1:58" x14ac:dyDescent="0.25">
      <c r="A2" s="15" t="s">
        <v>130</v>
      </c>
      <c r="E2" s="15">
        <v>400</v>
      </c>
      <c r="F2" s="15">
        <v>550</v>
      </c>
      <c r="G2" s="15">
        <v>660</v>
      </c>
      <c r="I2" s="15">
        <v>580</v>
      </c>
      <c r="J2" s="15">
        <v>700</v>
      </c>
      <c r="K2" s="15">
        <v>800</v>
      </c>
      <c r="L2" s="15">
        <v>800</v>
      </c>
      <c r="M2" s="15">
        <v>1000</v>
      </c>
      <c r="N2" s="15">
        <v>950</v>
      </c>
      <c r="O2" s="15">
        <v>1200</v>
      </c>
      <c r="P2" s="15">
        <v>1250</v>
      </c>
      <c r="R2" s="15">
        <v>2000</v>
      </c>
      <c r="S2" s="15">
        <v>2181</v>
      </c>
      <c r="T2" s="15">
        <v>2687</v>
      </c>
      <c r="U2" s="15">
        <v>2933</v>
      </c>
      <c r="V2" s="15">
        <v>3344</v>
      </c>
      <c r="W2" s="15">
        <v>3143</v>
      </c>
      <c r="X2" s="15">
        <v>4489</v>
      </c>
      <c r="Y2" s="15">
        <v>5435</v>
      </c>
      <c r="Z2" s="15">
        <v>5856</v>
      </c>
      <c r="AA2" s="15">
        <v>5606</v>
      </c>
      <c r="AB2" s="15">
        <v>6301</v>
      </c>
      <c r="AC2" s="15">
        <v>7391</v>
      </c>
      <c r="AD2" s="15">
        <v>8593</v>
      </c>
      <c r="AE2" s="15">
        <v>9712</v>
      </c>
      <c r="AF2" s="15">
        <v>10451</v>
      </c>
      <c r="AI2" s="15">
        <v>15500</v>
      </c>
      <c r="AM2" s="15">
        <v>25400</v>
      </c>
      <c r="AT2" s="15">
        <v>41500</v>
      </c>
      <c r="AW2" s="15">
        <v>54482</v>
      </c>
      <c r="AZ2" s="15">
        <v>62054</v>
      </c>
      <c r="BF2" s="15">
        <v>83594</v>
      </c>
    </row>
    <row r="3" spans="1:58" x14ac:dyDescent="0.25">
      <c r="A3" s="15" t="s">
        <v>131</v>
      </c>
      <c r="E3" s="15">
        <v>400</v>
      </c>
      <c r="F3" s="15">
        <v>550</v>
      </c>
      <c r="G3" s="15">
        <v>660</v>
      </c>
      <c r="I3" s="15">
        <v>580</v>
      </c>
      <c r="J3" s="15">
        <v>700</v>
      </c>
      <c r="K3" s="15">
        <v>800</v>
      </c>
      <c r="L3" s="15">
        <v>800</v>
      </c>
      <c r="M3" s="15">
        <v>1000</v>
      </c>
      <c r="N3" s="15">
        <v>950</v>
      </c>
      <c r="O3" s="15">
        <v>1200</v>
      </c>
      <c r="P3" s="15">
        <v>1250</v>
      </c>
      <c r="R3" s="15">
        <v>2000</v>
      </c>
      <c r="S3" s="15">
        <v>173</v>
      </c>
      <c r="T3" s="15">
        <v>192</v>
      </c>
      <c r="U3" s="15">
        <v>201</v>
      </c>
      <c r="V3" s="15">
        <v>214</v>
      </c>
      <c r="W3" s="15">
        <v>208</v>
      </c>
      <c r="X3" s="15">
        <v>248</v>
      </c>
      <c r="Y3" s="15">
        <v>273</v>
      </c>
      <c r="Z3" s="15">
        <v>283</v>
      </c>
      <c r="AA3" s="15">
        <v>277</v>
      </c>
      <c r="AB3" s="15">
        <v>294</v>
      </c>
      <c r="AC3" s="15">
        <v>318</v>
      </c>
      <c r="AD3" s="15">
        <v>343</v>
      </c>
      <c r="AE3" s="15">
        <v>365</v>
      </c>
      <c r="AF3" s="15">
        <v>575</v>
      </c>
      <c r="AI3" s="15">
        <v>463</v>
      </c>
      <c r="AM3" s="15">
        <v>750</v>
      </c>
      <c r="AT3" s="15">
        <v>4381</v>
      </c>
      <c r="AW3" s="15">
        <v>8909</v>
      </c>
      <c r="AZ3" s="15">
        <v>4973</v>
      </c>
      <c r="BF3" s="15">
        <v>10170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4" zoomScaleNormal="100" workbookViewId="0">
      <selection activeCell="J62" sqref="J62"/>
    </sheetView>
  </sheetViews>
  <sheetFormatPr defaultColWidth="8.85546875" defaultRowHeight="15" x14ac:dyDescent="0.25"/>
  <cols>
    <col min="1" max="1" width="8.85546875" style="15"/>
    <col min="2" max="2" width="11.85546875" style="15" customWidth="1"/>
    <col min="3" max="3" width="8.85546875" style="15"/>
    <col min="4" max="4" width="12.42578125" style="15" customWidth="1"/>
    <col min="5" max="5" width="15" style="15" customWidth="1"/>
    <col min="6" max="6" width="16.5703125" style="15" customWidth="1"/>
    <col min="7" max="7" width="12.5703125" style="15" customWidth="1"/>
    <col min="8" max="8" width="13.5703125" style="15" customWidth="1"/>
    <col min="9" max="9" width="11.42578125" style="15" customWidth="1"/>
    <col min="10" max="10" width="16" style="18" customWidth="1"/>
    <col min="11" max="12" width="16" style="15" customWidth="1"/>
    <col min="13" max="16384" width="8.85546875" style="15"/>
  </cols>
  <sheetData>
    <row r="1" spans="1:29" x14ac:dyDescent="0.25">
      <c r="A1" s="15" t="s">
        <v>129</v>
      </c>
      <c r="B1" s="15" t="s">
        <v>132</v>
      </c>
      <c r="C1" s="15" t="s">
        <v>133</v>
      </c>
      <c r="D1" s="15" t="s">
        <v>134</v>
      </c>
      <c r="E1" s="15" t="s">
        <v>135</v>
      </c>
      <c r="F1" s="15" t="s">
        <v>136</v>
      </c>
      <c r="G1" s="15" t="s">
        <v>137</v>
      </c>
      <c r="H1" s="15" t="s">
        <v>138</v>
      </c>
      <c r="I1" s="15" t="s">
        <v>139</v>
      </c>
      <c r="J1" s="18" t="s">
        <v>140</v>
      </c>
      <c r="K1" s="15" t="s">
        <v>141</v>
      </c>
      <c r="L1" s="15" t="s">
        <v>142</v>
      </c>
      <c r="O1" s="15" t="s">
        <v>143</v>
      </c>
      <c r="T1" s="19"/>
      <c r="U1" s="19" t="s">
        <v>144</v>
      </c>
      <c r="V1" s="19" t="s">
        <v>145</v>
      </c>
      <c r="W1" s="19" t="s">
        <v>146</v>
      </c>
      <c r="X1" s="19" t="s">
        <v>147</v>
      </c>
      <c r="Y1" s="19" t="s">
        <v>148</v>
      </c>
      <c r="Z1" s="19" t="s">
        <v>149</v>
      </c>
      <c r="AC1" s="19" t="s">
        <v>150</v>
      </c>
    </row>
    <row r="2" spans="1:29" x14ac:dyDescent="0.25">
      <c r="A2" s="15">
        <v>1960</v>
      </c>
      <c r="B2" s="17">
        <v>414.70160402363501</v>
      </c>
      <c r="C2" s="20">
        <v>102.152185958026</v>
      </c>
      <c r="D2" s="17">
        <v>216.00520374195</v>
      </c>
      <c r="E2" s="17">
        <v>607.76056888893697</v>
      </c>
      <c r="F2" s="17">
        <v>1883.79154070706</v>
      </c>
      <c r="G2" s="20">
        <v>325.899553710828</v>
      </c>
      <c r="H2" s="17">
        <v>1195.2274870164299</v>
      </c>
      <c r="I2" s="17">
        <v>2466.50477955014</v>
      </c>
      <c r="J2" s="21">
        <f>+F2*0.85</f>
        <v>1601.222809601001</v>
      </c>
      <c r="K2" s="17">
        <f>+H2*0.85</f>
        <v>1015.9433639639653</v>
      </c>
      <c r="L2" s="17">
        <f>+I2*0.85</f>
        <v>2096.5290626176188</v>
      </c>
      <c r="O2" s="15" t="s">
        <v>151</v>
      </c>
      <c r="T2" s="19">
        <v>2012</v>
      </c>
      <c r="U2" s="22">
        <f>ROUND(B54,0)</f>
        <v>70998</v>
      </c>
      <c r="V2" s="22">
        <f t="shared" ref="V2:X6" si="0">ROUND(D54,0)</f>
        <v>61035</v>
      </c>
      <c r="W2" s="22">
        <f t="shared" si="0"/>
        <v>81217</v>
      </c>
      <c r="X2" s="22">
        <f t="shared" si="0"/>
        <v>314979</v>
      </c>
      <c r="Y2" s="22">
        <f t="shared" ref="Y2:Z6" si="1">ROUND(H54,0)</f>
        <v>242822</v>
      </c>
      <c r="Z2" s="22">
        <f t="shared" si="1"/>
        <v>399106</v>
      </c>
    </row>
    <row r="3" spans="1:29" x14ac:dyDescent="0.25">
      <c r="A3" s="15">
        <v>1961</v>
      </c>
      <c r="B3" s="17">
        <v>436.98140654840603</v>
      </c>
      <c r="C3" s="20">
        <v>101.06067769644299</v>
      </c>
      <c r="D3" s="17">
        <v>238.93168353355</v>
      </c>
      <c r="E3" s="17">
        <v>627.10594695944803</v>
      </c>
      <c r="F3" s="17">
        <v>2077.0541898767701</v>
      </c>
      <c r="G3" s="20">
        <v>350.663366282087</v>
      </c>
      <c r="H3" s="17">
        <v>1336.00044285026</v>
      </c>
      <c r="I3" s="17">
        <v>2705.2395469079902</v>
      </c>
      <c r="J3" s="21">
        <f t="shared" ref="J3:J58" si="2">+F3*0.85</f>
        <v>1765.4960613952546</v>
      </c>
      <c r="K3" s="17">
        <f t="shared" ref="K3:L58" si="3">+H3*0.85</f>
        <v>1135.600376422721</v>
      </c>
      <c r="L3" s="17">
        <f t="shared" si="3"/>
        <v>2299.4536148717916</v>
      </c>
      <c r="T3" s="19">
        <v>2013</v>
      </c>
      <c r="U3" s="22">
        <f>ROUND(B55,0)</f>
        <v>67183</v>
      </c>
      <c r="V3" s="22">
        <f t="shared" si="0"/>
        <v>46850</v>
      </c>
      <c r="W3" s="22">
        <f t="shared" si="0"/>
        <v>83241</v>
      </c>
      <c r="X3" s="22">
        <f t="shared" si="0"/>
        <v>321336</v>
      </c>
      <c r="Y3" s="22">
        <f t="shared" si="1"/>
        <v>240729</v>
      </c>
      <c r="Z3" s="22">
        <f t="shared" si="1"/>
        <v>409483</v>
      </c>
    </row>
    <row r="4" spans="1:29" x14ac:dyDescent="0.25">
      <c r="A4" s="15">
        <v>1962</v>
      </c>
      <c r="B4" s="17">
        <v>458.650041385115</v>
      </c>
      <c r="C4" s="20">
        <v>99.115322351337099</v>
      </c>
      <c r="D4" s="17">
        <v>263.28166312574098</v>
      </c>
      <c r="E4" s="17">
        <v>644.43875468285296</v>
      </c>
      <c r="F4" s="17">
        <v>2275.5849931874</v>
      </c>
      <c r="G4" s="20">
        <v>374.52792476113899</v>
      </c>
      <c r="H4" s="17">
        <v>1479.24924560933</v>
      </c>
      <c r="I4" s="17">
        <v>2940.8799739459</v>
      </c>
      <c r="J4" s="21">
        <f t="shared" si="2"/>
        <v>1934.2472442092899</v>
      </c>
      <c r="K4" s="17">
        <f t="shared" si="3"/>
        <v>1257.3618587679305</v>
      </c>
      <c r="L4" s="17">
        <f t="shared" si="3"/>
        <v>2499.7479778540151</v>
      </c>
      <c r="T4" s="19">
        <v>2014</v>
      </c>
      <c r="U4" s="22">
        <f>ROUND(B56,0)</f>
        <v>79889</v>
      </c>
      <c r="V4" s="22">
        <f t="shared" si="0"/>
        <v>65916</v>
      </c>
      <c r="W4" s="22">
        <f t="shared" si="0"/>
        <v>93868</v>
      </c>
      <c r="X4" s="22">
        <f t="shared" si="0"/>
        <v>343891</v>
      </c>
      <c r="Y4" s="22">
        <f t="shared" si="1"/>
        <v>246339</v>
      </c>
      <c r="Z4" s="22">
        <f t="shared" si="1"/>
        <v>452019</v>
      </c>
    </row>
    <row r="5" spans="1:29" x14ac:dyDescent="0.25">
      <c r="A5" s="15">
        <v>1963</v>
      </c>
      <c r="B5" s="17">
        <v>503.71058180493901</v>
      </c>
      <c r="C5" s="20">
        <v>106.22949352960499</v>
      </c>
      <c r="D5" s="17">
        <v>293.71922098811399</v>
      </c>
      <c r="E5" s="17">
        <v>701.71530093445904</v>
      </c>
      <c r="F5" s="17">
        <v>2502.9016805664501</v>
      </c>
      <c r="G5" s="20">
        <v>401.32254149704897</v>
      </c>
      <c r="H5" s="17">
        <v>1647.06588170232</v>
      </c>
      <c r="I5" s="17">
        <v>3214.23010068537</v>
      </c>
      <c r="J5" s="21">
        <f t="shared" si="2"/>
        <v>2127.4664284814826</v>
      </c>
      <c r="K5" s="17">
        <f t="shared" si="3"/>
        <v>1400.0059994469721</v>
      </c>
      <c r="L5" s="17">
        <f t="shared" si="3"/>
        <v>2732.0955855825646</v>
      </c>
      <c r="T5" s="19">
        <v>2015</v>
      </c>
      <c r="U5" s="22">
        <f>ROUND(B57,0)</f>
        <v>79514</v>
      </c>
      <c r="V5" s="22">
        <f t="shared" si="0"/>
        <v>62470</v>
      </c>
      <c r="W5" s="22">
        <f t="shared" si="0"/>
        <v>96551</v>
      </c>
      <c r="X5" s="22">
        <f t="shared" si="0"/>
        <v>355205</v>
      </c>
      <c r="Y5" s="22">
        <f t="shared" si="1"/>
        <v>246562</v>
      </c>
      <c r="Z5" s="22">
        <f t="shared" si="1"/>
        <v>474917</v>
      </c>
    </row>
    <row r="6" spans="1:29" x14ac:dyDescent="0.25">
      <c r="A6" s="15">
        <v>1964</v>
      </c>
      <c r="B6" s="17">
        <v>573.71887461565302</v>
      </c>
      <c r="C6" s="20">
        <v>121.913523696673</v>
      </c>
      <c r="D6" s="17">
        <v>333.97407045265197</v>
      </c>
      <c r="E6" s="17">
        <v>804.41287510796201</v>
      </c>
      <c r="F6" s="17">
        <v>2772.9740135216498</v>
      </c>
      <c r="G6" s="20">
        <v>434.424720787296</v>
      </c>
      <c r="H6" s="17">
        <v>1855.61863183329</v>
      </c>
      <c r="I6" s="17">
        <v>3537.26239894833</v>
      </c>
      <c r="J6" s="21">
        <f t="shared" si="2"/>
        <v>2357.0279114934024</v>
      </c>
      <c r="K6" s="17">
        <f t="shared" si="3"/>
        <v>1577.2758370582965</v>
      </c>
      <c r="L6" s="17">
        <f t="shared" si="3"/>
        <v>3006.6730391060805</v>
      </c>
      <c r="T6" s="19">
        <v>2016</v>
      </c>
      <c r="U6" s="22">
        <f>ROUND(B58,0)</f>
        <v>82705</v>
      </c>
      <c r="V6" s="22">
        <f t="shared" si="0"/>
        <v>64384</v>
      </c>
      <c r="W6" s="22">
        <f t="shared" si="0"/>
        <v>100288</v>
      </c>
      <c r="X6" s="22">
        <f t="shared" si="0"/>
        <v>368762</v>
      </c>
      <c r="Y6" s="22">
        <f t="shared" si="1"/>
        <v>247172</v>
      </c>
      <c r="Z6" s="22">
        <f t="shared" si="1"/>
        <v>504476</v>
      </c>
    </row>
    <row r="7" spans="1:29" x14ac:dyDescent="0.25">
      <c r="A7" s="15">
        <v>1965</v>
      </c>
      <c r="B7" s="17">
        <v>659.67066928157499</v>
      </c>
      <c r="C7" s="20">
        <v>130.51776181321699</v>
      </c>
      <c r="D7" s="17">
        <v>399.91314205604601</v>
      </c>
      <c r="E7" s="17">
        <v>903.00049537632901</v>
      </c>
      <c r="F7" s="17">
        <v>3089.64514790557</v>
      </c>
      <c r="G7" s="20">
        <v>470.41084178991599</v>
      </c>
      <c r="H7" s="17">
        <v>2092.95832055449</v>
      </c>
      <c r="I7" s="17">
        <v>3918.0684843824401</v>
      </c>
      <c r="J7" s="21">
        <f t="shared" si="2"/>
        <v>2626.1983757197345</v>
      </c>
      <c r="K7" s="17">
        <f t="shared" si="3"/>
        <v>1779.0145724713163</v>
      </c>
      <c r="L7" s="17">
        <f t="shared" si="3"/>
        <v>3330.3582117250739</v>
      </c>
    </row>
    <row r="8" spans="1:29" x14ac:dyDescent="0.25">
      <c r="A8" s="15">
        <v>1966</v>
      </c>
      <c r="B8" s="17">
        <v>749.46612291013298</v>
      </c>
      <c r="C8" s="20">
        <v>138.90931878073999</v>
      </c>
      <c r="D8" s="17">
        <v>464.88755789856401</v>
      </c>
      <c r="E8" s="17">
        <v>1004.86031174708</v>
      </c>
      <c r="F8" s="17">
        <v>3448.95912832471</v>
      </c>
      <c r="G8" s="20">
        <v>508.27700310940901</v>
      </c>
      <c r="H8" s="17">
        <v>2371.7665469961298</v>
      </c>
      <c r="I8" s="17">
        <v>4334.3631620720198</v>
      </c>
      <c r="J8" s="21">
        <f t="shared" si="2"/>
        <v>2931.6152590760034</v>
      </c>
      <c r="K8" s="17">
        <f t="shared" si="3"/>
        <v>2016.0015649467102</v>
      </c>
      <c r="L8" s="17">
        <f t="shared" si="3"/>
        <v>3684.2086877612169</v>
      </c>
    </row>
    <row r="9" spans="1:29" x14ac:dyDescent="0.25">
      <c r="A9" s="15">
        <v>1967</v>
      </c>
      <c r="B9" s="17">
        <v>835.08285750666005</v>
      </c>
      <c r="C9" s="20">
        <v>147.993909311088</v>
      </c>
      <c r="D9" s="17">
        <v>532.19374909669102</v>
      </c>
      <c r="E9" s="17">
        <v>1102.92313024076</v>
      </c>
      <c r="F9" s="17">
        <v>3843.6171681306701</v>
      </c>
      <c r="G9" s="20">
        <v>546.68352944242497</v>
      </c>
      <c r="H9" s="17">
        <v>2685.5834122803499</v>
      </c>
      <c r="I9" s="17">
        <v>4795.0018166715099</v>
      </c>
      <c r="J9" s="21">
        <f t="shared" si="2"/>
        <v>3267.0745929110694</v>
      </c>
      <c r="K9" s="17">
        <f t="shared" si="3"/>
        <v>2282.7459004382972</v>
      </c>
      <c r="L9" s="17">
        <f t="shared" si="3"/>
        <v>4075.7515441707833</v>
      </c>
    </row>
    <row r="10" spans="1:29" x14ac:dyDescent="0.25">
      <c r="A10" s="15">
        <v>1968</v>
      </c>
      <c r="B10" s="17">
        <v>934.36798292655203</v>
      </c>
      <c r="C10" s="20">
        <v>159.82139700976501</v>
      </c>
      <c r="D10" s="17">
        <v>602.79301132933597</v>
      </c>
      <c r="E10" s="17">
        <v>1220.1916216956599</v>
      </c>
      <c r="F10" s="17">
        <v>4287.5437403657197</v>
      </c>
      <c r="G10" s="20">
        <v>587.96328197876301</v>
      </c>
      <c r="H10" s="17">
        <v>3037.2965938810999</v>
      </c>
      <c r="I10" s="17">
        <v>5299.9015388384596</v>
      </c>
      <c r="J10" s="21">
        <f t="shared" si="2"/>
        <v>3644.4121793108616</v>
      </c>
      <c r="K10" s="17">
        <f t="shared" si="3"/>
        <v>2581.7021047989347</v>
      </c>
      <c r="L10" s="17">
        <f t="shared" si="3"/>
        <v>4504.9163080126909</v>
      </c>
    </row>
    <row r="11" spans="1:29" x14ac:dyDescent="0.25">
      <c r="A11" s="15">
        <v>1969</v>
      </c>
      <c r="B11" s="17">
        <v>1037.24330213346</v>
      </c>
      <c r="C11" s="20">
        <v>179.83456707707899</v>
      </c>
      <c r="D11" s="17">
        <v>669.34273989079395</v>
      </c>
      <c r="E11" s="17">
        <v>1360.09444461975</v>
      </c>
      <c r="F11" s="17">
        <v>4776.8132700906099</v>
      </c>
      <c r="G11" s="20">
        <v>633.99033435548404</v>
      </c>
      <c r="H11" s="17">
        <v>3416.10495913146</v>
      </c>
      <c r="I11" s="17">
        <v>5869.9452821262203</v>
      </c>
      <c r="J11" s="21">
        <f t="shared" si="2"/>
        <v>4060.2912795770185</v>
      </c>
      <c r="K11" s="17">
        <f t="shared" si="3"/>
        <v>2903.6892152617411</v>
      </c>
      <c r="L11" s="17">
        <f t="shared" si="3"/>
        <v>4989.453489807287</v>
      </c>
    </row>
    <row r="12" spans="1:29" x14ac:dyDescent="0.25">
      <c r="A12" s="15">
        <v>1970</v>
      </c>
      <c r="B12" s="17">
        <v>1179.6418730968501</v>
      </c>
      <c r="C12" s="20">
        <v>182.45707504540999</v>
      </c>
      <c r="D12" s="17">
        <v>790.83921630500595</v>
      </c>
      <c r="E12" s="17">
        <v>1499.24135338531</v>
      </c>
      <c r="F12" s="17">
        <v>5347.2614872027998</v>
      </c>
      <c r="G12" s="20">
        <v>677.19817307769404</v>
      </c>
      <c r="H12" s="17">
        <v>3887.1907670782698</v>
      </c>
      <c r="I12" s="17">
        <v>6489.6680754844201</v>
      </c>
      <c r="J12" s="21">
        <f t="shared" si="2"/>
        <v>4545.1722641223796</v>
      </c>
      <c r="K12" s="17">
        <f t="shared" si="3"/>
        <v>3304.1121520165293</v>
      </c>
      <c r="L12" s="17">
        <f t="shared" si="3"/>
        <v>5516.2178641617566</v>
      </c>
    </row>
    <row r="13" spans="1:29" x14ac:dyDescent="0.25">
      <c r="A13" s="15">
        <v>1971</v>
      </c>
      <c r="B13" s="17">
        <v>1311.0799796952699</v>
      </c>
      <c r="C13" s="20">
        <v>195.60283242353901</v>
      </c>
      <c r="D13" s="17">
        <v>888.24058016157005</v>
      </c>
      <c r="E13" s="17">
        <v>1651.1505406430499</v>
      </c>
      <c r="F13" s="17">
        <v>5926.1359936265699</v>
      </c>
      <c r="G13" s="20">
        <v>723.66399787763805</v>
      </c>
      <c r="H13" s="17">
        <v>4360.1941292764996</v>
      </c>
      <c r="I13" s="17">
        <v>7144.1545584712803</v>
      </c>
      <c r="J13" s="21">
        <f t="shared" si="2"/>
        <v>5037.2155945825843</v>
      </c>
      <c r="K13" s="17">
        <f t="shared" si="3"/>
        <v>3706.1650098850246</v>
      </c>
      <c r="L13" s="17">
        <f t="shared" si="3"/>
        <v>6072.5313747005885</v>
      </c>
    </row>
    <row r="14" spans="1:29" x14ac:dyDescent="0.25">
      <c r="A14" s="15">
        <v>1972</v>
      </c>
      <c r="B14" s="17">
        <v>1466.3522503260499</v>
      </c>
      <c r="C14" s="20">
        <v>208.31896660727901</v>
      </c>
      <c r="D14" s="17">
        <v>1010.75116662339</v>
      </c>
      <c r="E14" s="17">
        <v>1824.59206290059</v>
      </c>
      <c r="F14" s="17">
        <v>6613.59125498715</v>
      </c>
      <c r="G14" s="20">
        <v>772.49997209286903</v>
      </c>
      <c r="H14" s="17">
        <v>4919.7720045501801</v>
      </c>
      <c r="I14" s="17">
        <v>7900.9417621824596</v>
      </c>
      <c r="J14" s="21">
        <f t="shared" si="2"/>
        <v>5621.5525667390775</v>
      </c>
      <c r="K14" s="17">
        <f t="shared" si="3"/>
        <v>4181.8062038676526</v>
      </c>
      <c r="L14" s="17">
        <f t="shared" si="3"/>
        <v>6715.8004978550907</v>
      </c>
    </row>
    <row r="15" spans="1:29" x14ac:dyDescent="0.25">
      <c r="A15" s="15">
        <v>1973</v>
      </c>
      <c r="B15" s="17">
        <v>1642.2181699534899</v>
      </c>
      <c r="C15" s="20">
        <v>225.798893043834</v>
      </c>
      <c r="D15" s="17">
        <v>1135.4238781572799</v>
      </c>
      <c r="E15" s="17">
        <v>2019.2499963360999</v>
      </c>
      <c r="F15" s="17">
        <v>7402.5755310116001</v>
      </c>
      <c r="G15" s="20">
        <v>824.70842563743497</v>
      </c>
      <c r="H15" s="17">
        <v>5572.5880983627403</v>
      </c>
      <c r="I15" s="17">
        <v>8778.1899899586897</v>
      </c>
      <c r="J15" s="21">
        <f t="shared" si="2"/>
        <v>6292.1892013598599</v>
      </c>
      <c r="K15" s="17">
        <f t="shared" si="3"/>
        <v>4736.6998836083294</v>
      </c>
      <c r="L15" s="17">
        <f t="shared" si="3"/>
        <v>7461.4614914648864</v>
      </c>
    </row>
    <row r="16" spans="1:29" x14ac:dyDescent="0.25">
      <c r="A16" s="15">
        <v>1974</v>
      </c>
      <c r="B16" s="17">
        <v>1841.2119921876799</v>
      </c>
      <c r="C16" s="20">
        <v>240.01514650958501</v>
      </c>
      <c r="D16" s="17">
        <v>1302.24937479197</v>
      </c>
      <c r="E16" s="17">
        <v>2239.0736130969099</v>
      </c>
      <c r="F16" s="17">
        <v>8288.8114298748696</v>
      </c>
      <c r="G16" s="20">
        <v>878.00967981245401</v>
      </c>
      <c r="H16" s="17">
        <v>6319.1318667343803</v>
      </c>
      <c r="I16" s="17">
        <v>9741.6220335909402</v>
      </c>
      <c r="J16" s="21">
        <f t="shared" si="2"/>
        <v>7045.489715393639</v>
      </c>
      <c r="K16" s="17">
        <f t="shared" si="3"/>
        <v>5371.2620867242231</v>
      </c>
      <c r="L16" s="17">
        <f t="shared" si="3"/>
        <v>8280.3787285522994</v>
      </c>
    </row>
    <row r="17" spans="1:12" x14ac:dyDescent="0.25">
      <c r="A17" s="15">
        <v>1975</v>
      </c>
      <c r="B17" s="17">
        <v>2063.2913264157401</v>
      </c>
      <c r="C17" s="20">
        <v>257.19645723712301</v>
      </c>
      <c r="D17" s="17">
        <v>1486.2546646358701</v>
      </c>
      <c r="E17" s="17">
        <v>2480.1177028903599</v>
      </c>
      <c r="F17" s="17">
        <v>9280.1848171360307</v>
      </c>
      <c r="G17" s="20">
        <v>934.97683450341799</v>
      </c>
      <c r="H17" s="17">
        <v>7143.32423028014</v>
      </c>
      <c r="I17" s="17">
        <v>10812.4470686849</v>
      </c>
      <c r="J17" s="21">
        <f t="shared" si="2"/>
        <v>7888.1570945656258</v>
      </c>
      <c r="K17" s="17">
        <f t="shared" si="3"/>
        <v>6071.8255957381189</v>
      </c>
      <c r="L17" s="17">
        <f t="shared" si="3"/>
        <v>9190.580008382165</v>
      </c>
    </row>
    <row r="18" spans="1:12" x14ac:dyDescent="0.25">
      <c r="A18" s="15">
        <v>1976</v>
      </c>
      <c r="B18" s="17">
        <v>2302.7104387742202</v>
      </c>
      <c r="C18" s="20">
        <v>271.40677876573699</v>
      </c>
      <c r="D18" s="17">
        <v>1695.1927447627299</v>
      </c>
      <c r="E18" s="17">
        <v>2736.7978298274302</v>
      </c>
      <c r="F18" s="17">
        <v>10364.075184539101</v>
      </c>
      <c r="G18" s="20">
        <v>992.90647568781503</v>
      </c>
      <c r="H18" s="17">
        <v>8082.8081498114298</v>
      </c>
      <c r="I18" s="17">
        <v>11986.739211169401</v>
      </c>
      <c r="J18" s="21">
        <f t="shared" si="2"/>
        <v>8809.4639068582346</v>
      </c>
      <c r="K18" s="17">
        <f t="shared" si="3"/>
        <v>6870.3869273397149</v>
      </c>
      <c r="L18" s="17">
        <f t="shared" si="3"/>
        <v>10188.72832949399</v>
      </c>
    </row>
    <row r="19" spans="1:12" x14ac:dyDescent="0.25">
      <c r="A19" s="15">
        <v>1977</v>
      </c>
      <c r="B19" s="17">
        <v>2572.3915161577102</v>
      </c>
      <c r="C19" s="20">
        <v>285.23606479601898</v>
      </c>
      <c r="D19" s="17">
        <v>1936.507232894</v>
      </c>
      <c r="E19" s="17">
        <v>3038.2965918393302</v>
      </c>
      <c r="F19" s="17">
        <v>11590.0826588941</v>
      </c>
      <c r="G19" s="20">
        <v>1053.1986096231301</v>
      </c>
      <c r="H19" s="17">
        <v>9136.0064284961609</v>
      </c>
      <c r="I19" s="17">
        <v>13307.875130071399</v>
      </c>
      <c r="J19" s="21">
        <f t="shared" si="2"/>
        <v>9851.5702600599852</v>
      </c>
      <c r="K19" s="17">
        <f t="shared" si="3"/>
        <v>7765.6054642217368</v>
      </c>
      <c r="L19" s="17">
        <f t="shared" si="3"/>
        <v>11311.693860560688</v>
      </c>
    </row>
    <row r="20" spans="1:12" x14ac:dyDescent="0.25">
      <c r="A20" s="15">
        <v>1978</v>
      </c>
      <c r="B20" s="17">
        <v>2853.4265227270498</v>
      </c>
      <c r="C20" s="20">
        <v>299.41928052895702</v>
      </c>
      <c r="D20" s="17">
        <v>2183.8931065011602</v>
      </c>
      <c r="E20" s="17">
        <v>3337.4541883247898</v>
      </c>
      <c r="F20" s="17">
        <v>12871.3256985096</v>
      </c>
      <c r="G20" s="20">
        <v>1117.7194536797599</v>
      </c>
      <c r="H20" s="17">
        <v>10261.206402306099</v>
      </c>
      <c r="I20" s="17">
        <v>14687.5721149892</v>
      </c>
      <c r="J20" s="21">
        <f t="shared" si="2"/>
        <v>10940.62684373316</v>
      </c>
      <c r="K20" s="17">
        <f t="shared" si="3"/>
        <v>8722.0254419601843</v>
      </c>
      <c r="L20" s="17">
        <f t="shared" si="3"/>
        <v>12484.43629774082</v>
      </c>
    </row>
    <row r="21" spans="1:12" x14ac:dyDescent="0.25">
      <c r="A21" s="15">
        <v>1979</v>
      </c>
      <c r="B21" s="17">
        <v>3189.9984073302498</v>
      </c>
      <c r="C21" s="20">
        <v>312.16554117854599</v>
      </c>
      <c r="D21" s="17">
        <v>2479.1239631776498</v>
      </c>
      <c r="E21" s="17">
        <v>3695.0611266384899</v>
      </c>
      <c r="F21" s="17">
        <v>14407.0607594758</v>
      </c>
      <c r="G21" s="20">
        <v>1186.1502211816501</v>
      </c>
      <c r="H21" s="17">
        <v>11616.280614818401</v>
      </c>
      <c r="I21" s="17">
        <v>16348.868954911401</v>
      </c>
      <c r="J21" s="21">
        <f t="shared" si="2"/>
        <v>12246.00164555443</v>
      </c>
      <c r="K21" s="17">
        <f t="shared" si="3"/>
        <v>9873.8385225956408</v>
      </c>
      <c r="L21" s="17">
        <f t="shared" si="3"/>
        <v>13896.53861167469</v>
      </c>
    </row>
    <row r="22" spans="1:12" x14ac:dyDescent="0.25">
      <c r="A22" s="15">
        <v>1980</v>
      </c>
      <c r="B22" s="17">
        <v>3564.0818913859898</v>
      </c>
      <c r="C22" s="20">
        <v>324.01508163642899</v>
      </c>
      <c r="D22" s="17">
        <v>2811.89453530232</v>
      </c>
      <c r="E22" s="17">
        <v>4073.5637824566402</v>
      </c>
      <c r="F22" s="17">
        <v>16122.4163324171</v>
      </c>
      <c r="G22" s="20">
        <v>1261.9594827952701</v>
      </c>
      <c r="H22" s="17">
        <v>13148.5540395028</v>
      </c>
      <c r="I22" s="17">
        <v>18201.221076663802</v>
      </c>
      <c r="J22" s="21">
        <f t="shared" si="2"/>
        <v>13704.053882554535</v>
      </c>
      <c r="K22" s="17">
        <f t="shared" si="3"/>
        <v>11176.27093357738</v>
      </c>
      <c r="L22" s="17">
        <f t="shared" si="3"/>
        <v>15471.037915164232</v>
      </c>
    </row>
    <row r="23" spans="1:12" x14ac:dyDescent="0.25">
      <c r="A23" s="15">
        <v>1981</v>
      </c>
      <c r="B23" s="17">
        <v>3981.7036861220599</v>
      </c>
      <c r="C23" s="20">
        <v>336.70846930181398</v>
      </c>
      <c r="D23" s="17">
        <v>3194.2234043072599</v>
      </c>
      <c r="E23" s="17">
        <v>4507.1624059710302</v>
      </c>
      <c r="F23" s="17">
        <v>18039.1493116565</v>
      </c>
      <c r="G23" s="20">
        <v>1348.8570525708799</v>
      </c>
      <c r="H23" s="17">
        <v>14872.9435106482</v>
      </c>
      <c r="I23" s="17">
        <v>20295.117242922901</v>
      </c>
      <c r="J23" s="21">
        <f t="shared" si="2"/>
        <v>15333.276914908025</v>
      </c>
      <c r="K23" s="17">
        <f t="shared" si="3"/>
        <v>12642.001984050969</v>
      </c>
      <c r="L23" s="17">
        <f t="shared" si="3"/>
        <v>17250.849656484465</v>
      </c>
    </row>
    <row r="24" spans="1:12" x14ac:dyDescent="0.25">
      <c r="A24" s="15">
        <v>1982</v>
      </c>
      <c r="B24" s="17">
        <v>4384.2991697390698</v>
      </c>
      <c r="C24" s="20">
        <v>392.94139133847801</v>
      </c>
      <c r="D24" s="17">
        <v>3473.75064229687</v>
      </c>
      <c r="E24" s="17">
        <v>5001.2301263582904</v>
      </c>
      <c r="F24" s="17">
        <v>20036.665122523402</v>
      </c>
      <c r="G24" s="20">
        <v>1429.05863719901</v>
      </c>
      <c r="H24" s="17">
        <v>16673.153227580398</v>
      </c>
      <c r="I24" s="17">
        <v>22420.386259132101</v>
      </c>
      <c r="J24" s="21">
        <f t="shared" si="2"/>
        <v>17031.16535414489</v>
      </c>
      <c r="K24" s="17">
        <f t="shared" si="3"/>
        <v>14172.180243443338</v>
      </c>
      <c r="L24" s="17">
        <f t="shared" si="3"/>
        <v>19057.328320262284</v>
      </c>
    </row>
    <row r="25" spans="1:12" x14ac:dyDescent="0.25">
      <c r="A25" s="15">
        <v>1983</v>
      </c>
      <c r="B25" s="17">
        <v>4939.17141326825</v>
      </c>
      <c r="C25" s="20">
        <v>363.76017385308199</v>
      </c>
      <c r="D25" s="17">
        <v>4040.3450075760702</v>
      </c>
      <c r="E25" s="17">
        <v>5499.1380104083</v>
      </c>
      <c r="F25" s="17">
        <v>22427.355301069299</v>
      </c>
      <c r="G25" s="20">
        <v>1560.99724050344</v>
      </c>
      <c r="H25" s="17">
        <v>18833.070538833701</v>
      </c>
      <c r="I25" s="17">
        <v>25089.667117056</v>
      </c>
      <c r="J25" s="21">
        <f t="shared" si="2"/>
        <v>19063.252005908904</v>
      </c>
      <c r="K25" s="17">
        <f t="shared" si="3"/>
        <v>16008.109958008645</v>
      </c>
      <c r="L25" s="17">
        <f t="shared" si="3"/>
        <v>21326.217049497598</v>
      </c>
    </row>
    <row r="26" spans="1:12" x14ac:dyDescent="0.25">
      <c r="A26" s="15">
        <v>1984</v>
      </c>
      <c r="B26" s="17">
        <v>5443.2935327647301</v>
      </c>
      <c r="C26" s="20">
        <v>377.64887555246298</v>
      </c>
      <c r="D26" s="17">
        <v>4489.2818880928999</v>
      </c>
      <c r="E26" s="17">
        <v>6017.6876233061903</v>
      </c>
      <c r="F26" s="17">
        <v>24761.850821547101</v>
      </c>
      <c r="G26" s="20">
        <v>1715.37237417301</v>
      </c>
      <c r="H26" s="17">
        <v>20850.4552236052</v>
      </c>
      <c r="I26" s="17">
        <v>27754.077160024299</v>
      </c>
      <c r="J26" s="21">
        <f t="shared" si="2"/>
        <v>21047.573198315036</v>
      </c>
      <c r="K26" s="17">
        <f t="shared" si="3"/>
        <v>17722.886940064422</v>
      </c>
      <c r="L26" s="17">
        <f t="shared" si="3"/>
        <v>23590.965586020655</v>
      </c>
    </row>
    <row r="27" spans="1:12" x14ac:dyDescent="0.25">
      <c r="A27" s="15">
        <v>1985</v>
      </c>
      <c r="B27" s="17">
        <v>6070.6568711712598</v>
      </c>
      <c r="C27" s="20">
        <v>394.88412594190402</v>
      </c>
      <c r="D27" s="17">
        <v>5060.7318221425803</v>
      </c>
      <c r="E27" s="17">
        <v>6663.0402109616398</v>
      </c>
      <c r="F27" s="17">
        <v>27658.086579131901</v>
      </c>
      <c r="G27" s="20">
        <v>1910.4239069207699</v>
      </c>
      <c r="H27" s="17">
        <v>23412.828526174198</v>
      </c>
      <c r="I27" s="17">
        <v>31124.029161415201</v>
      </c>
      <c r="J27" s="21">
        <f t="shared" si="2"/>
        <v>23509.373592262116</v>
      </c>
      <c r="K27" s="17">
        <f t="shared" si="3"/>
        <v>19900.904247248069</v>
      </c>
      <c r="L27" s="17">
        <f t="shared" si="3"/>
        <v>26455.424787202919</v>
      </c>
    </row>
    <row r="28" spans="1:12" x14ac:dyDescent="0.25">
      <c r="A28" s="15">
        <v>1986</v>
      </c>
      <c r="B28" s="17">
        <v>6925.1709773475204</v>
      </c>
      <c r="C28" s="20">
        <v>464.22646624316002</v>
      </c>
      <c r="D28" s="17">
        <v>5736.4075971573702</v>
      </c>
      <c r="E28" s="17">
        <v>7620.49158048965</v>
      </c>
      <c r="F28" s="17">
        <v>31069.181071952498</v>
      </c>
      <c r="G28" s="20">
        <v>2079.6773549948798</v>
      </c>
      <c r="H28" s="17">
        <v>26347.4765336419</v>
      </c>
      <c r="I28" s="17">
        <v>34811.952709486097</v>
      </c>
      <c r="J28" s="21">
        <f t="shared" si="2"/>
        <v>26408.803911159623</v>
      </c>
      <c r="K28" s="17">
        <f t="shared" si="3"/>
        <v>22395.355053595616</v>
      </c>
      <c r="L28" s="17">
        <f t="shared" si="3"/>
        <v>29590.159803063183</v>
      </c>
    </row>
    <row r="29" spans="1:12" x14ac:dyDescent="0.25">
      <c r="A29" s="15">
        <v>1987</v>
      </c>
      <c r="B29" s="17">
        <v>7154.8722396146004</v>
      </c>
      <c r="C29" s="20">
        <v>576.60671957015802</v>
      </c>
      <c r="D29" s="17">
        <v>5816.1790758224897</v>
      </c>
      <c r="E29" s="17">
        <v>8103.4222226948104</v>
      </c>
      <c r="F29" s="17">
        <v>34228.892304973699</v>
      </c>
      <c r="G29" s="20">
        <v>2166.77426943519</v>
      </c>
      <c r="H29" s="17">
        <v>29228.407898340101</v>
      </c>
      <c r="I29" s="17">
        <v>38110.893304328398</v>
      </c>
      <c r="J29" s="21">
        <f t="shared" si="2"/>
        <v>29094.558459227643</v>
      </c>
      <c r="K29" s="17">
        <f t="shared" si="3"/>
        <v>24844.146713589085</v>
      </c>
      <c r="L29" s="17">
        <f t="shared" si="3"/>
        <v>32394.259308679138</v>
      </c>
    </row>
    <row r="30" spans="1:12" x14ac:dyDescent="0.25">
      <c r="A30" s="15">
        <v>1988</v>
      </c>
      <c r="B30" s="17">
        <v>8665.4865280128506</v>
      </c>
      <c r="C30" s="20">
        <v>614.41108871745405</v>
      </c>
      <c r="D30" s="17">
        <v>7187.1984988586701</v>
      </c>
      <c r="E30" s="17">
        <v>9588.8101687174494</v>
      </c>
      <c r="F30" s="17">
        <v>38677.642125928498</v>
      </c>
      <c r="G30" s="20">
        <v>2376.1940958721102</v>
      </c>
      <c r="H30" s="17">
        <v>33211.625350381597</v>
      </c>
      <c r="I30" s="17">
        <v>42916.149841512699</v>
      </c>
      <c r="J30" s="21">
        <f t="shared" si="2"/>
        <v>32875.995807039224</v>
      </c>
      <c r="K30" s="17">
        <f t="shared" si="3"/>
        <v>28229.881547824356</v>
      </c>
      <c r="L30" s="17">
        <f t="shared" si="3"/>
        <v>36478.727365285791</v>
      </c>
    </row>
    <row r="31" spans="1:12" x14ac:dyDescent="0.25">
      <c r="A31" s="15">
        <v>1989</v>
      </c>
      <c r="B31" s="17">
        <v>9416.9261551124291</v>
      </c>
      <c r="C31" s="20">
        <v>519.10657774173296</v>
      </c>
      <c r="D31" s="17">
        <v>8095.9219250555097</v>
      </c>
      <c r="E31" s="17">
        <v>10224.4817983787</v>
      </c>
      <c r="F31" s="17">
        <v>43040.816633599599</v>
      </c>
      <c r="G31" s="20">
        <v>2895.8928996219602</v>
      </c>
      <c r="H31" s="17">
        <v>36861.630776703103</v>
      </c>
      <c r="I31" s="17">
        <v>48683.093904118497</v>
      </c>
      <c r="J31" s="21">
        <f t="shared" si="2"/>
        <v>36584.694138559658</v>
      </c>
      <c r="K31" s="17">
        <f t="shared" si="3"/>
        <v>31332.386160197635</v>
      </c>
      <c r="L31" s="17">
        <f t="shared" si="3"/>
        <v>41380.629818500725</v>
      </c>
    </row>
    <row r="32" spans="1:12" x14ac:dyDescent="0.25">
      <c r="A32" s="15">
        <v>1990</v>
      </c>
      <c r="B32" s="17">
        <v>10357.861073992901</v>
      </c>
      <c r="C32" s="20">
        <v>569.76896285568796</v>
      </c>
      <c r="D32" s="17">
        <v>8922.2869548289309</v>
      </c>
      <c r="E32" s="17">
        <v>11259.166044993301</v>
      </c>
      <c r="F32" s="17">
        <v>47386.872656381202</v>
      </c>
      <c r="G32" s="20">
        <v>3414.7452844397499</v>
      </c>
      <c r="H32" s="17">
        <v>40575.513133996203</v>
      </c>
      <c r="I32" s="17">
        <v>54328.412136886502</v>
      </c>
      <c r="J32" s="21">
        <f t="shared" si="2"/>
        <v>40278.841757924019</v>
      </c>
      <c r="K32" s="17">
        <f t="shared" si="3"/>
        <v>34489.186163896775</v>
      </c>
      <c r="L32" s="17">
        <f t="shared" si="3"/>
        <v>46179.150316353524</v>
      </c>
    </row>
    <row r="33" spans="1:12" x14ac:dyDescent="0.25">
      <c r="A33" s="15">
        <v>1991</v>
      </c>
      <c r="B33" s="17">
        <v>11468.487622801</v>
      </c>
      <c r="C33" s="20">
        <v>621.411991077209</v>
      </c>
      <c r="D33" s="17">
        <v>9868.7546637876803</v>
      </c>
      <c r="E33" s="17">
        <v>12438.5713682068</v>
      </c>
      <c r="F33" s="17">
        <v>52620.685008407803</v>
      </c>
      <c r="G33" s="20">
        <v>3999.0464903410302</v>
      </c>
      <c r="H33" s="17">
        <v>45080.214077525699</v>
      </c>
      <c r="I33" s="17">
        <v>61102.250001949098</v>
      </c>
      <c r="J33" s="21">
        <f t="shared" si="2"/>
        <v>44727.582257146634</v>
      </c>
      <c r="K33" s="17">
        <f t="shared" si="3"/>
        <v>38318.181965896845</v>
      </c>
      <c r="L33" s="17">
        <f t="shared" si="3"/>
        <v>51936.912501656734</v>
      </c>
    </row>
    <row r="34" spans="1:12" x14ac:dyDescent="0.25">
      <c r="A34" s="15">
        <v>1992</v>
      </c>
      <c r="B34" s="17">
        <v>12738.364846722599</v>
      </c>
      <c r="C34" s="20">
        <v>723.40279828724601</v>
      </c>
      <c r="D34" s="17">
        <v>10912.0987231606</v>
      </c>
      <c r="E34" s="17">
        <v>13845.8735881336</v>
      </c>
      <c r="F34" s="17">
        <v>58697.1221083665</v>
      </c>
      <c r="G34" s="20">
        <v>4373.7102964768001</v>
      </c>
      <c r="H34" s="17">
        <v>50420.980114211801</v>
      </c>
      <c r="I34" s="17">
        <v>67857.629723208607</v>
      </c>
      <c r="J34" s="21">
        <f t="shared" si="2"/>
        <v>49892.553792111525</v>
      </c>
      <c r="K34" s="17">
        <f t="shared" si="3"/>
        <v>42857.833097080031</v>
      </c>
      <c r="L34" s="17">
        <f t="shared" si="3"/>
        <v>57678.985264727315</v>
      </c>
    </row>
    <row r="35" spans="1:12" x14ac:dyDescent="0.25">
      <c r="A35" s="15">
        <v>1993</v>
      </c>
      <c r="B35" s="17">
        <v>14282.011366844499</v>
      </c>
      <c r="C35" s="20">
        <v>766.17539336501295</v>
      </c>
      <c r="D35" s="17">
        <v>12356.8848486447</v>
      </c>
      <c r="E35" s="17">
        <v>15501.887127665501</v>
      </c>
      <c r="F35" s="17">
        <v>65536.331793387493</v>
      </c>
      <c r="G35" s="20">
        <v>5248.2460042483699</v>
      </c>
      <c r="H35" s="17">
        <v>56146.977619612197</v>
      </c>
      <c r="I35" s="17">
        <v>76767.156341462294</v>
      </c>
      <c r="J35" s="21">
        <f t="shared" si="2"/>
        <v>55705.882024379367</v>
      </c>
      <c r="K35" s="17">
        <f t="shared" si="3"/>
        <v>47724.930976670366</v>
      </c>
      <c r="L35" s="17">
        <f t="shared" si="3"/>
        <v>65252.082890242949</v>
      </c>
    </row>
    <row r="36" spans="1:12" x14ac:dyDescent="0.25">
      <c r="A36" s="15">
        <v>1994</v>
      </c>
      <c r="B36" s="17">
        <v>15929.9946561011</v>
      </c>
      <c r="C36" s="20">
        <v>874.63233685596504</v>
      </c>
      <c r="D36" s="17">
        <v>13844.5766805315</v>
      </c>
      <c r="E36" s="17">
        <v>17376.9402252734</v>
      </c>
      <c r="F36" s="17">
        <v>73137.636500520603</v>
      </c>
      <c r="G36" s="20">
        <v>6149.5161387853996</v>
      </c>
      <c r="H36" s="17">
        <v>62453.147907657803</v>
      </c>
      <c r="I36" s="17">
        <v>86721.826265605298</v>
      </c>
      <c r="J36" s="21">
        <f t="shared" si="2"/>
        <v>62166.991025442512</v>
      </c>
      <c r="K36" s="17">
        <f t="shared" si="3"/>
        <v>53085.175721509135</v>
      </c>
      <c r="L36" s="17">
        <f t="shared" si="3"/>
        <v>73713.552325764496</v>
      </c>
    </row>
    <row r="37" spans="1:12" x14ac:dyDescent="0.25">
      <c r="A37" s="15">
        <v>1995</v>
      </c>
      <c r="B37" s="17">
        <v>17772.357977052099</v>
      </c>
      <c r="C37" s="20">
        <v>1006.98429764726</v>
      </c>
      <c r="D37" s="17">
        <v>15474.9865379151</v>
      </c>
      <c r="E37" s="17">
        <v>19544.6003959724</v>
      </c>
      <c r="F37" s="17">
        <v>81592.816564562803</v>
      </c>
      <c r="G37" s="20">
        <v>7181.8499180570197</v>
      </c>
      <c r="H37" s="17">
        <v>69441.414010477907</v>
      </c>
      <c r="I37" s="17">
        <v>97715.267675927098</v>
      </c>
      <c r="J37" s="21">
        <f t="shared" si="2"/>
        <v>69353.894079878388</v>
      </c>
      <c r="K37" s="17">
        <f t="shared" si="3"/>
        <v>59025.201908906216</v>
      </c>
      <c r="L37" s="17">
        <f t="shared" si="3"/>
        <v>83057.97752453803</v>
      </c>
    </row>
    <row r="38" spans="1:12" x14ac:dyDescent="0.25">
      <c r="A38" s="15">
        <v>1996</v>
      </c>
      <c r="B38" s="17">
        <v>19815.1336187612</v>
      </c>
      <c r="C38" s="20">
        <v>1159.86130695472</v>
      </c>
      <c r="D38" s="17">
        <v>17295.097467143401</v>
      </c>
      <c r="E38" s="17">
        <v>21964.227496578598</v>
      </c>
      <c r="F38" s="17">
        <v>90973.085202953996</v>
      </c>
      <c r="G38" s="20">
        <v>8345.7748699166896</v>
      </c>
      <c r="H38" s="17">
        <v>77095.673864126598</v>
      </c>
      <c r="I38" s="17">
        <v>110055.224486971</v>
      </c>
      <c r="J38" s="21">
        <f t="shared" si="2"/>
        <v>77327.122422510889</v>
      </c>
      <c r="K38" s="17">
        <f t="shared" si="3"/>
        <v>65531.322784507604</v>
      </c>
      <c r="L38" s="17">
        <f t="shared" si="3"/>
        <v>93546.94081392535</v>
      </c>
    </row>
    <row r="39" spans="1:12" x14ac:dyDescent="0.25">
      <c r="A39" s="15">
        <v>1997</v>
      </c>
      <c r="B39" s="17">
        <v>22061.918258525599</v>
      </c>
      <c r="C39" s="20">
        <v>1331.5434535726599</v>
      </c>
      <c r="D39" s="17">
        <v>19335.3212618293</v>
      </c>
      <c r="E39" s="17">
        <v>24616.267972138099</v>
      </c>
      <c r="F39" s="17">
        <v>101311.90435114301</v>
      </c>
      <c r="G39" s="20">
        <v>9633.8166606235809</v>
      </c>
      <c r="H39" s="17">
        <v>85523.252294293896</v>
      </c>
      <c r="I39" s="17">
        <v>123565.202798003</v>
      </c>
      <c r="J39" s="21">
        <f t="shared" si="2"/>
        <v>86115.118698471546</v>
      </c>
      <c r="K39" s="17">
        <f t="shared" si="3"/>
        <v>72694.764450149814</v>
      </c>
      <c r="L39" s="17">
        <f t="shared" si="3"/>
        <v>105030.42237830254</v>
      </c>
    </row>
    <row r="40" spans="1:12" x14ac:dyDescent="0.25">
      <c r="A40" s="15">
        <v>1998</v>
      </c>
      <c r="B40" s="17">
        <v>22854.534930073602</v>
      </c>
      <c r="C40" s="20">
        <v>2076.0689406206502</v>
      </c>
      <c r="D40" s="17">
        <v>18553.325126717398</v>
      </c>
      <c r="E40" s="17">
        <v>26781.8183566925</v>
      </c>
      <c r="F40" s="17">
        <v>111046.407051792</v>
      </c>
      <c r="G40" s="20">
        <v>9514.5401407645804</v>
      </c>
      <c r="H40" s="17">
        <v>95011.1948797769</v>
      </c>
      <c r="I40" s="17">
        <v>132781.086362142</v>
      </c>
      <c r="J40" s="21">
        <f t="shared" si="2"/>
        <v>94389.445994023205</v>
      </c>
      <c r="K40" s="17">
        <f t="shared" si="3"/>
        <v>80759.51564781036</v>
      </c>
      <c r="L40" s="17">
        <f t="shared" si="3"/>
        <v>112863.92340782069</v>
      </c>
    </row>
    <row r="41" spans="1:12" x14ac:dyDescent="0.25">
      <c r="A41" s="15">
        <v>1999</v>
      </c>
      <c r="B41" s="17">
        <v>28659.893985557901</v>
      </c>
      <c r="C41" s="20">
        <v>1808.2073180043601</v>
      </c>
      <c r="D41" s="17">
        <v>25208.443757718102</v>
      </c>
      <c r="E41" s="17">
        <v>32293.783923694798</v>
      </c>
      <c r="F41" s="17">
        <v>125723.322314959</v>
      </c>
      <c r="G41" s="20">
        <v>11437.3850262378</v>
      </c>
      <c r="H41" s="17">
        <v>106533.648939889</v>
      </c>
      <c r="I41" s="17">
        <v>151703.64731043699</v>
      </c>
      <c r="J41" s="21">
        <f t="shared" si="2"/>
        <v>106864.82396771516</v>
      </c>
      <c r="K41" s="17">
        <f t="shared" si="3"/>
        <v>90553.601598905647</v>
      </c>
      <c r="L41" s="17">
        <f t="shared" si="3"/>
        <v>128948.10021387144</v>
      </c>
    </row>
    <row r="42" spans="1:12" x14ac:dyDescent="0.25">
      <c r="A42" s="15">
        <v>2000</v>
      </c>
      <c r="B42" s="17">
        <v>31184.695915804201</v>
      </c>
      <c r="C42" s="20">
        <v>2240.7930348943501</v>
      </c>
      <c r="D42" s="17">
        <v>27110.1189758158</v>
      </c>
      <c r="E42" s="17">
        <v>35827.858559644497</v>
      </c>
      <c r="F42" s="17">
        <v>138145.34822010901</v>
      </c>
      <c r="G42" s="20">
        <v>12177.445161248799</v>
      </c>
      <c r="H42" s="17">
        <v>117838.591677993</v>
      </c>
      <c r="I42" s="17">
        <v>165504.18933118801</v>
      </c>
      <c r="J42" s="21">
        <f t="shared" si="2"/>
        <v>117423.54598709266</v>
      </c>
      <c r="K42" s="17">
        <f t="shared" si="3"/>
        <v>100162.80292629404</v>
      </c>
      <c r="L42" s="17">
        <f t="shared" si="3"/>
        <v>140678.5609315098</v>
      </c>
    </row>
    <row r="43" spans="1:12" x14ac:dyDescent="0.25">
      <c r="A43" s="15">
        <v>2001</v>
      </c>
      <c r="B43" s="17">
        <v>31179.251549907101</v>
      </c>
      <c r="C43" s="20">
        <v>3169.4487682329</v>
      </c>
      <c r="D43" s="17">
        <v>24599.883412149899</v>
      </c>
      <c r="E43" s="17">
        <v>37107.068715100897</v>
      </c>
      <c r="F43" s="17">
        <v>148617.745938821</v>
      </c>
      <c r="G43" s="20">
        <v>12279.5512644355</v>
      </c>
      <c r="H43" s="17">
        <v>127432.09169551601</v>
      </c>
      <c r="I43" s="17">
        <v>175569.90287885201</v>
      </c>
      <c r="J43" s="21">
        <f t="shared" si="2"/>
        <v>126325.08404799785</v>
      </c>
      <c r="K43" s="17">
        <f t="shared" si="3"/>
        <v>108317.2779411886</v>
      </c>
      <c r="L43" s="17">
        <f t="shared" si="3"/>
        <v>149234.4174470242</v>
      </c>
    </row>
    <row r="44" spans="1:12" x14ac:dyDescent="0.25">
      <c r="A44" s="15">
        <v>2002</v>
      </c>
      <c r="B44" s="17">
        <v>35594.558742394103</v>
      </c>
      <c r="C44" s="20">
        <v>2643.9131621961701</v>
      </c>
      <c r="D44" s="17">
        <v>31050.616991463601</v>
      </c>
      <c r="E44" s="17">
        <v>41362.808258677898</v>
      </c>
      <c r="F44" s="17">
        <v>162765.93306545599</v>
      </c>
      <c r="G44" s="20">
        <v>13869.662254050299</v>
      </c>
      <c r="H44" s="17">
        <v>139489.60823212401</v>
      </c>
      <c r="I44" s="17">
        <v>193512.28454953199</v>
      </c>
      <c r="J44" s="21">
        <f t="shared" si="2"/>
        <v>138351.0431056376</v>
      </c>
      <c r="K44" s="17">
        <f t="shared" si="3"/>
        <v>118566.16699730541</v>
      </c>
      <c r="L44" s="17">
        <f t="shared" si="3"/>
        <v>164485.4418671022</v>
      </c>
    </row>
    <row r="45" spans="1:12" x14ac:dyDescent="0.25">
      <c r="A45" s="15">
        <v>2003</v>
      </c>
      <c r="B45" s="17">
        <v>32023.0871924282</v>
      </c>
      <c r="C45" s="20">
        <v>4391.9229781365902</v>
      </c>
      <c r="D45" s="17">
        <v>22920.0104502701</v>
      </c>
      <c r="E45" s="17">
        <v>40838.623361729398</v>
      </c>
      <c r="F45" s="17">
        <v>170348.66002111399</v>
      </c>
      <c r="G45" s="20">
        <v>12927.195295977601</v>
      </c>
      <c r="H45" s="17">
        <v>147697.31588372399</v>
      </c>
      <c r="I45" s="17">
        <v>198176.08388949101</v>
      </c>
      <c r="J45" s="21">
        <f t="shared" si="2"/>
        <v>144796.36101794688</v>
      </c>
      <c r="K45" s="17">
        <f t="shared" si="3"/>
        <v>125542.71850116539</v>
      </c>
      <c r="L45" s="17">
        <f t="shared" si="3"/>
        <v>168449.67130606735</v>
      </c>
    </row>
    <row r="46" spans="1:12" x14ac:dyDescent="0.25">
      <c r="A46" s="15">
        <v>2004</v>
      </c>
      <c r="B46" s="17">
        <v>44310.709733490701</v>
      </c>
      <c r="C46" s="20">
        <v>3291.02912016457</v>
      </c>
      <c r="D46" s="17">
        <v>38564.006810344399</v>
      </c>
      <c r="E46" s="17">
        <v>51435.066269995797</v>
      </c>
      <c r="F46" s="17">
        <v>191162.62253831999</v>
      </c>
      <c r="G46" s="20">
        <v>16695.979784806601</v>
      </c>
      <c r="H46" s="17">
        <v>162552.599336899</v>
      </c>
      <c r="I46" s="17">
        <v>227387.61109558601</v>
      </c>
      <c r="J46" s="21">
        <f t="shared" si="2"/>
        <v>162488.229157572</v>
      </c>
      <c r="K46" s="17">
        <f t="shared" si="3"/>
        <v>138169.70943636415</v>
      </c>
      <c r="L46" s="17">
        <f t="shared" si="3"/>
        <v>193279.46943124809</v>
      </c>
    </row>
    <row r="47" spans="1:12" x14ac:dyDescent="0.25">
      <c r="A47" s="15">
        <v>2005</v>
      </c>
      <c r="B47" s="17">
        <v>44798.552119637701</v>
      </c>
      <c r="C47" s="20">
        <v>3266.1263964237901</v>
      </c>
      <c r="D47" s="17">
        <v>39107.991427638597</v>
      </c>
      <c r="E47" s="17">
        <v>51919.645341588403</v>
      </c>
      <c r="F47" s="17">
        <v>204704.35595735599</v>
      </c>
      <c r="G47" s="20">
        <v>18467.691334431001</v>
      </c>
      <c r="H47" s="17">
        <v>173165.52431295501</v>
      </c>
      <c r="I47" s="17">
        <v>245604.41987551001</v>
      </c>
      <c r="J47" s="21">
        <f t="shared" si="2"/>
        <v>173998.70256375259</v>
      </c>
      <c r="K47" s="17">
        <f t="shared" si="3"/>
        <v>147190.69566601174</v>
      </c>
      <c r="L47" s="17">
        <f t="shared" si="3"/>
        <v>208763.75689418349</v>
      </c>
    </row>
    <row r="48" spans="1:12" x14ac:dyDescent="0.25">
      <c r="A48" s="15">
        <v>2006</v>
      </c>
      <c r="B48" s="17">
        <v>47851.478625652802</v>
      </c>
      <c r="C48" s="20">
        <v>3467.1560350925602</v>
      </c>
      <c r="D48" s="17">
        <v>41816.946693511898</v>
      </c>
      <c r="E48" s="17">
        <v>55299.738542690699</v>
      </c>
      <c r="F48" s="17">
        <v>219888.17883205699</v>
      </c>
      <c r="G48" s="20">
        <v>20601.1386251574</v>
      </c>
      <c r="H48" s="17">
        <v>185265.28894470099</v>
      </c>
      <c r="I48" s="17">
        <v>265292.26957499498</v>
      </c>
      <c r="J48" s="21">
        <f t="shared" si="2"/>
        <v>186904.95200724844</v>
      </c>
      <c r="K48" s="17">
        <f t="shared" si="3"/>
        <v>157475.49560299586</v>
      </c>
      <c r="L48" s="17">
        <f t="shared" si="3"/>
        <v>225498.42913874573</v>
      </c>
    </row>
    <row r="49" spans="1:12" x14ac:dyDescent="0.25">
      <c r="A49" s="15">
        <v>2007</v>
      </c>
      <c r="B49" s="17">
        <v>52059.9816076071</v>
      </c>
      <c r="C49" s="20">
        <v>3829.2665664626402</v>
      </c>
      <c r="D49" s="17">
        <v>45292.378051435997</v>
      </c>
      <c r="E49" s="17">
        <v>59813.619228104501</v>
      </c>
      <c r="F49" s="17">
        <v>236179.637002854</v>
      </c>
      <c r="G49" s="20">
        <v>21015.265538929001</v>
      </c>
      <c r="H49" s="17">
        <v>199820.81560690299</v>
      </c>
      <c r="I49" s="17">
        <v>282000.78911120899</v>
      </c>
      <c r="J49" s="21">
        <f t="shared" si="2"/>
        <v>200752.6914524259</v>
      </c>
      <c r="K49" s="17">
        <f t="shared" si="3"/>
        <v>169847.69326586754</v>
      </c>
      <c r="L49" s="17">
        <f t="shared" si="3"/>
        <v>239700.67074452763</v>
      </c>
    </row>
    <row r="50" spans="1:12" x14ac:dyDescent="0.25">
      <c r="A50" s="15">
        <v>2008</v>
      </c>
      <c r="B50" s="17">
        <v>50689.703039637599</v>
      </c>
      <c r="C50" s="20">
        <v>5629.2703915128895</v>
      </c>
      <c r="D50" s="17">
        <v>38363.242488507203</v>
      </c>
      <c r="E50" s="17">
        <v>61308.596721292102</v>
      </c>
      <c r="F50" s="17">
        <v>247440.66759345701</v>
      </c>
      <c r="G50" s="20">
        <v>21051.545940000899</v>
      </c>
      <c r="H50" s="17">
        <v>209781.56231051701</v>
      </c>
      <c r="I50" s="17">
        <v>292166.02245779999</v>
      </c>
      <c r="J50" s="21">
        <f t="shared" si="2"/>
        <v>210324.56745443845</v>
      </c>
      <c r="K50" s="17">
        <f t="shared" si="3"/>
        <v>178314.32796393946</v>
      </c>
      <c r="L50" s="17">
        <f t="shared" si="3"/>
        <v>248341.11908912999</v>
      </c>
    </row>
    <row r="51" spans="1:12" x14ac:dyDescent="0.25">
      <c r="A51" s="15">
        <v>2009</v>
      </c>
      <c r="B51" s="17">
        <v>57809.446885684003</v>
      </c>
      <c r="C51" s="20">
        <v>4152.4481135430397</v>
      </c>
      <c r="D51" s="17">
        <v>50258.116006700198</v>
      </c>
      <c r="E51" s="17">
        <v>66587.184908580501</v>
      </c>
      <c r="F51" s="17">
        <v>265492.44582673302</v>
      </c>
      <c r="G51" s="20">
        <v>27198.955483584901</v>
      </c>
      <c r="H51" s="17">
        <v>218327.38561043699</v>
      </c>
      <c r="I51" s="17">
        <v>323881.36598494003</v>
      </c>
      <c r="J51" s="21">
        <f t="shared" si="2"/>
        <v>225668.57895272307</v>
      </c>
      <c r="K51" s="17">
        <f t="shared" si="3"/>
        <v>185578.27776887143</v>
      </c>
      <c r="L51" s="17">
        <f t="shared" si="3"/>
        <v>275299.161087199</v>
      </c>
    </row>
    <row r="52" spans="1:12" x14ac:dyDescent="0.25">
      <c r="A52" s="15">
        <v>2010</v>
      </c>
      <c r="B52" s="17">
        <v>64314.7649138165</v>
      </c>
      <c r="C52" s="20">
        <v>4253.0175160753497</v>
      </c>
      <c r="D52" s="17">
        <v>56078.258573537401</v>
      </c>
      <c r="E52" s="17">
        <v>72946.0068058467</v>
      </c>
      <c r="F52" s="17">
        <v>282382.29761293402</v>
      </c>
      <c r="G52" s="20">
        <v>30715.334845785299</v>
      </c>
      <c r="H52" s="17">
        <v>227285.66431434301</v>
      </c>
      <c r="I52" s="17">
        <v>347425.66215872602</v>
      </c>
      <c r="J52" s="21">
        <f t="shared" si="2"/>
        <v>240024.95297099391</v>
      </c>
      <c r="K52" s="17">
        <f t="shared" si="3"/>
        <v>193192.81466719156</v>
      </c>
      <c r="L52" s="17">
        <f t="shared" si="3"/>
        <v>295311.8128349171</v>
      </c>
    </row>
    <row r="53" spans="1:12" x14ac:dyDescent="0.25">
      <c r="A53" s="15">
        <v>2011</v>
      </c>
      <c r="B53" s="17">
        <v>57253.8485613187</v>
      </c>
      <c r="C53" s="20">
        <v>3901.3430441196701</v>
      </c>
      <c r="D53" s="17">
        <v>49791.058391026898</v>
      </c>
      <c r="E53" s="17">
        <v>65173.359838210898</v>
      </c>
      <c r="F53" s="17">
        <v>289965.47656319902</v>
      </c>
      <c r="G53" s="20">
        <v>35751.620802922</v>
      </c>
      <c r="H53" s="17">
        <v>226955.26093114301</v>
      </c>
      <c r="I53" s="17">
        <v>365621.07820387202</v>
      </c>
      <c r="J53" s="21">
        <f t="shared" si="2"/>
        <v>246470.65507871917</v>
      </c>
      <c r="K53" s="17">
        <f t="shared" si="3"/>
        <v>192911.97179147156</v>
      </c>
      <c r="L53" s="17">
        <f t="shared" si="3"/>
        <v>310777.91647329123</v>
      </c>
    </row>
    <row r="54" spans="1:12" x14ac:dyDescent="0.25">
      <c r="A54" s="15">
        <v>2012</v>
      </c>
      <c r="B54" s="17">
        <v>70997.959644568502</v>
      </c>
      <c r="C54" s="20">
        <v>5092.4654888484201</v>
      </c>
      <c r="D54" s="17">
        <v>61034.672976362599</v>
      </c>
      <c r="E54" s="17">
        <v>81217.242308057102</v>
      </c>
      <c r="F54" s="17">
        <v>314978.862459664</v>
      </c>
      <c r="G54" s="20">
        <v>40495.782739451097</v>
      </c>
      <c r="H54" s="17">
        <v>242821.77152467001</v>
      </c>
      <c r="I54" s="17">
        <v>399105.86527147802</v>
      </c>
      <c r="J54" s="21">
        <f t="shared" si="2"/>
        <v>267732.03309071437</v>
      </c>
      <c r="K54" s="17">
        <f t="shared" si="3"/>
        <v>206398.50579596951</v>
      </c>
      <c r="L54" s="17">
        <f t="shared" si="3"/>
        <v>339239.98548075632</v>
      </c>
    </row>
    <row r="55" spans="1:12" x14ac:dyDescent="0.25">
      <c r="A55" s="15">
        <v>2013</v>
      </c>
      <c r="B55" s="17">
        <v>67182.938989191302</v>
      </c>
      <c r="C55" s="20">
        <v>9290.5131678305297</v>
      </c>
      <c r="D55" s="17">
        <v>46849.698218584897</v>
      </c>
      <c r="E55" s="17">
        <v>83240.934008447104</v>
      </c>
      <c r="F55" s="17">
        <v>321335.54725119501</v>
      </c>
      <c r="G55" s="20">
        <v>44284.152546938203</v>
      </c>
      <c r="H55" s="17">
        <v>240728.73866502001</v>
      </c>
      <c r="I55" s="17">
        <v>409482.91023001401</v>
      </c>
      <c r="J55" s="21">
        <f t="shared" si="2"/>
        <v>273135.21516351576</v>
      </c>
      <c r="K55" s="17">
        <f t="shared" si="3"/>
        <v>204619.427865267</v>
      </c>
      <c r="L55" s="17">
        <f t="shared" si="3"/>
        <v>348060.47369551187</v>
      </c>
    </row>
    <row r="56" spans="1:12" x14ac:dyDescent="0.25">
      <c r="A56" s="15">
        <v>2014</v>
      </c>
      <c r="B56" s="17">
        <v>79888.7803287758</v>
      </c>
      <c r="C56" s="20">
        <v>7178.3923500628998</v>
      </c>
      <c r="D56" s="17">
        <v>65915.825777581194</v>
      </c>
      <c r="E56" s="17">
        <v>93867.562911376604</v>
      </c>
      <c r="F56" s="17">
        <v>343891.013101983</v>
      </c>
      <c r="G56" s="20">
        <v>54508.609750775198</v>
      </c>
      <c r="H56" s="17">
        <v>246338.78891900601</v>
      </c>
      <c r="I56" s="17">
        <v>452018.65494408098</v>
      </c>
      <c r="J56" s="21">
        <f t="shared" si="2"/>
        <v>292307.36113668553</v>
      </c>
      <c r="K56" s="17">
        <f t="shared" si="3"/>
        <v>209387.9705811551</v>
      </c>
      <c r="L56" s="17">
        <f t="shared" si="3"/>
        <v>384215.85670246882</v>
      </c>
    </row>
    <row r="57" spans="1:12" x14ac:dyDescent="0.25">
      <c r="A57" s="15">
        <v>2015</v>
      </c>
      <c r="B57" s="17">
        <v>79514.205601053996</v>
      </c>
      <c r="C57" s="20">
        <v>8652.7654726969595</v>
      </c>
      <c r="D57" s="17">
        <v>62469.539511310897</v>
      </c>
      <c r="E57" s="17">
        <v>96550.523837493005</v>
      </c>
      <c r="F57" s="17">
        <v>355204.60955245403</v>
      </c>
      <c r="G57" s="20">
        <v>61822.707903460097</v>
      </c>
      <c r="H57" s="17">
        <v>246561.925821482</v>
      </c>
      <c r="I57" s="17">
        <v>474916.558342929</v>
      </c>
      <c r="J57" s="21">
        <f t="shared" si="2"/>
        <v>301923.9181195859</v>
      </c>
      <c r="K57" s="17">
        <f t="shared" si="3"/>
        <v>209577.63694825969</v>
      </c>
      <c r="L57" s="17">
        <f t="shared" si="3"/>
        <v>403679.07459148963</v>
      </c>
    </row>
    <row r="58" spans="1:12" x14ac:dyDescent="0.25">
      <c r="A58" s="15">
        <v>2016</v>
      </c>
      <c r="B58" s="17">
        <v>82705.246118508905</v>
      </c>
      <c r="C58" s="23">
        <v>9181.5703376245692</v>
      </c>
      <c r="D58" s="24">
        <v>64383.518869084503</v>
      </c>
      <c r="E58" s="24">
        <v>100288.12296273401</v>
      </c>
      <c r="F58" s="17">
        <v>368762.21245396498</v>
      </c>
      <c r="G58" s="20">
        <v>70896.006802898599</v>
      </c>
      <c r="H58" s="17">
        <v>247171.86649589101</v>
      </c>
      <c r="I58" s="17">
        <v>504475.82989982603</v>
      </c>
      <c r="J58" s="21">
        <f t="shared" si="2"/>
        <v>313447.88058587024</v>
      </c>
      <c r="K58" s="17">
        <f t="shared" si="3"/>
        <v>210096.08652150736</v>
      </c>
      <c r="L58" s="17">
        <f t="shared" si="3"/>
        <v>428804.45541485213</v>
      </c>
    </row>
    <row r="60" spans="1:12" x14ac:dyDescent="0.25">
      <c r="I60" s="15">
        <f>$J$58/x.SSB0!D10</f>
        <v>0.8930139048030491</v>
      </c>
      <c r="J60" s="15">
        <f>$J$58/x.SSB0!E10</f>
        <v>0.42762330229995937</v>
      </c>
    </row>
    <row r="61" spans="1:12" x14ac:dyDescent="0.25">
      <c r="I61" s="15">
        <f>J59/x.SSB0!D11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7"/>
  <sheetViews>
    <sheetView tabSelected="1" workbookViewId="0">
      <selection activeCell="I4" sqref="I4"/>
    </sheetView>
  </sheetViews>
  <sheetFormatPr defaultColWidth="9.140625" defaultRowHeight="15" x14ac:dyDescent="0.25"/>
  <cols>
    <col min="1" max="1" width="11.5703125" style="2" bestFit="1" customWidth="1"/>
    <col min="2" max="16384" width="9.140625" style="2"/>
  </cols>
  <sheetData>
    <row r="1" spans="1:59" x14ac:dyDescent="0.25">
      <c r="A1" s="2" t="s">
        <v>66</v>
      </c>
    </row>
    <row r="2" spans="1:59" x14ac:dyDescent="0.25">
      <c r="A2" s="2" t="s">
        <v>0</v>
      </c>
      <c r="B2" s="37" t="s">
        <v>292</v>
      </c>
    </row>
    <row r="3" spans="1:59" x14ac:dyDescent="0.25">
      <c r="A3" s="2" t="s">
        <v>24</v>
      </c>
      <c r="B3" s="2">
        <v>42</v>
      </c>
      <c r="D3" s="7" t="s">
        <v>293</v>
      </c>
      <c r="E3" s="2">
        <f>2016-1975+1</f>
        <v>42</v>
      </c>
    </row>
    <row r="4" spans="1:59" x14ac:dyDescent="0.25">
      <c r="A4" s="2" t="s">
        <v>25</v>
      </c>
      <c r="B4" s="2">
        <v>1</v>
      </c>
      <c r="C4" s="2">
        <v>1</v>
      </c>
      <c r="D4" s="7" t="s">
        <v>123</v>
      </c>
      <c r="I4" s="2">
        <v>1982</v>
      </c>
      <c r="J4" s="7">
        <v>1983</v>
      </c>
      <c r="K4" s="2">
        <v>1984</v>
      </c>
      <c r="L4" s="7">
        <v>1985</v>
      </c>
      <c r="M4" s="2">
        <v>1986</v>
      </c>
      <c r="N4" s="7">
        <v>1987</v>
      </c>
      <c r="O4" s="2">
        <v>1988</v>
      </c>
      <c r="P4" s="7">
        <v>1989</v>
      </c>
      <c r="Q4" s="2">
        <v>1990</v>
      </c>
      <c r="R4" s="7">
        <v>1991</v>
      </c>
      <c r="S4" s="2">
        <v>1992</v>
      </c>
      <c r="T4" s="7">
        <v>1993</v>
      </c>
      <c r="U4" s="2">
        <v>1994</v>
      </c>
      <c r="V4" s="7">
        <v>1995</v>
      </c>
      <c r="W4" s="2">
        <v>1996</v>
      </c>
      <c r="X4" s="7">
        <v>1997</v>
      </c>
      <c r="Y4" s="2">
        <v>1998</v>
      </c>
      <c r="Z4" s="7">
        <v>1999</v>
      </c>
      <c r="AA4" s="2">
        <v>2000</v>
      </c>
      <c r="AB4" s="7">
        <v>2001</v>
      </c>
      <c r="AC4" s="2">
        <v>2002</v>
      </c>
      <c r="AD4" s="7">
        <v>2003</v>
      </c>
      <c r="AE4" s="2">
        <v>2004</v>
      </c>
      <c r="AF4" s="7">
        <v>2005</v>
      </c>
      <c r="AG4" s="2">
        <v>2006</v>
      </c>
      <c r="AH4" s="7">
        <v>2007</v>
      </c>
      <c r="AI4" s="2">
        <v>2008</v>
      </c>
      <c r="AJ4" s="7">
        <v>2009</v>
      </c>
      <c r="AK4" s="2">
        <v>2010</v>
      </c>
      <c r="AL4" s="7">
        <v>2011</v>
      </c>
      <c r="AM4" s="2">
        <v>2012</v>
      </c>
      <c r="AN4" s="7">
        <v>2013</v>
      </c>
      <c r="AO4" s="2">
        <v>2014</v>
      </c>
      <c r="AP4" s="7">
        <v>2015</v>
      </c>
      <c r="AQ4" s="2">
        <v>2016</v>
      </c>
    </row>
    <row r="5" spans="1:59" x14ac:dyDescent="0.25">
      <c r="A5" s="2" t="s">
        <v>39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x14ac:dyDescent="0.25">
      <c r="A6" s="2" t="s">
        <v>40</v>
      </c>
      <c r="B6" s="15">
        <v>3.7516773189569468E-2</v>
      </c>
      <c r="C6" s="15">
        <v>2.3604228084334121E-2</v>
      </c>
      <c r="D6" s="15">
        <v>4.6693958410520174E-2</v>
      </c>
      <c r="E6" s="15">
        <v>4.3771941083198554E-2</v>
      </c>
      <c r="F6" s="15">
        <v>4.5015157220048653E-2</v>
      </c>
      <c r="G6" s="15">
        <v>4.4388891024938343E-2</v>
      </c>
      <c r="H6" s="15">
        <v>4.2645711739095253E-2</v>
      </c>
      <c r="I6" s="15">
        <v>2.76774332600268E-2</v>
      </c>
      <c r="J6" s="15">
        <v>2.7618500940276489E-2</v>
      </c>
      <c r="K6" s="15">
        <v>2.3992081196178371E-2</v>
      </c>
      <c r="L6" s="15">
        <v>2.6240968308567165E-2</v>
      </c>
      <c r="M6" s="15">
        <v>3.2599293227169722E-2</v>
      </c>
      <c r="N6" s="15">
        <v>3.1507784777406747E-2</v>
      </c>
      <c r="O6" s="15">
        <v>4.2805362665998783E-2</v>
      </c>
      <c r="P6" s="15">
        <v>4.5677376505571445E-2</v>
      </c>
      <c r="Q6" s="15">
        <v>5.2611766668310023E-2</v>
      </c>
      <c r="R6" s="15">
        <v>4.7938971248946076E-2</v>
      </c>
      <c r="S6" s="15">
        <v>5.3318366714707882E-2</v>
      </c>
      <c r="T6" s="15">
        <v>6.6393841230033557E-2</v>
      </c>
      <c r="U6" s="15">
        <v>4.6753359872157195E-2</v>
      </c>
      <c r="V6" s="15">
        <v>4.6694563788219415E-2</v>
      </c>
      <c r="W6" s="15">
        <v>4.2250950539758671E-2</v>
      </c>
      <c r="X6" s="15">
        <v>4.7133436501168045E-2</v>
      </c>
      <c r="Y6" s="15">
        <v>4.4488089132320434E-2</v>
      </c>
      <c r="Z6" s="15">
        <v>5.2439662163851937E-2</v>
      </c>
      <c r="AA6" s="15">
        <v>4.0030717207605246E-2</v>
      </c>
      <c r="AB6" s="15">
        <v>3.5053832913210209E-2</v>
      </c>
      <c r="AC6" s="15">
        <v>3.3271777629412566E-2</v>
      </c>
      <c r="AD6" s="15">
        <v>2.6041083135023693E-2</v>
      </c>
      <c r="AE6" s="15">
        <v>1.6098177135190406E-2</v>
      </c>
      <c r="AF6" s="15">
        <v>2.7960486398816486E-2</v>
      </c>
      <c r="AG6" s="15">
        <v>3.2478377813215872E-2</v>
      </c>
      <c r="AH6" s="15">
        <v>2.6618657976116102E-2</v>
      </c>
      <c r="AI6" s="15">
        <v>3.274478357226962E-2</v>
      </c>
      <c r="AJ6" s="15">
        <v>2.458297569831237E-2</v>
      </c>
      <c r="AK6" s="15">
        <v>2.4798781823052569E-2</v>
      </c>
      <c r="AL6" s="15">
        <v>2.9958431758356361E-2</v>
      </c>
      <c r="AM6" s="15">
        <v>3.5169596287915876E-2</v>
      </c>
      <c r="AN6" s="15">
        <v>3.5814716266642538E-2</v>
      </c>
      <c r="AO6" s="4">
        <v>5.234632381916688E-2</v>
      </c>
      <c r="AP6" s="4">
        <v>3.8657111213497554E-2</v>
      </c>
      <c r="AQ6" s="4">
        <v>4.0571033085945556E-2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x14ac:dyDescent="0.25">
      <c r="A7" s="2" t="s">
        <v>41</v>
      </c>
      <c r="B7" s="15">
        <v>3.7516773189569468E-2</v>
      </c>
      <c r="C7" s="15">
        <v>2.3604228084334121E-2</v>
      </c>
      <c r="D7" s="15">
        <v>4.6693958410520174E-2</v>
      </c>
      <c r="E7" s="15">
        <v>4.3771941083198554E-2</v>
      </c>
      <c r="F7" s="15">
        <v>4.5015157220048653E-2</v>
      </c>
      <c r="G7" s="15">
        <v>4.4388891024938343E-2</v>
      </c>
      <c r="H7" s="15">
        <v>4.2645711739095253E-2</v>
      </c>
      <c r="I7" s="15">
        <v>2.76774332600268E-2</v>
      </c>
      <c r="J7" s="15">
        <v>2.7618500940276489E-2</v>
      </c>
      <c r="K7" s="15">
        <v>2.3992081196178371E-2</v>
      </c>
      <c r="L7" s="15">
        <v>2.6240968308567165E-2</v>
      </c>
      <c r="M7" s="15">
        <v>3.2599293227169722E-2</v>
      </c>
      <c r="N7" s="15">
        <v>3.1507784777406747E-2</v>
      </c>
      <c r="O7" s="15">
        <v>4.2805362665998783E-2</v>
      </c>
      <c r="P7" s="15">
        <v>4.5677376505571445E-2</v>
      </c>
      <c r="Q7" s="15">
        <v>5.2611766668310023E-2</v>
      </c>
      <c r="R7" s="15">
        <v>4.7938971248946076E-2</v>
      </c>
      <c r="S7" s="15">
        <v>5.3318366714707882E-2</v>
      </c>
      <c r="T7" s="15">
        <v>6.6393841230033557E-2</v>
      </c>
      <c r="U7" s="15">
        <v>4.6753359872157195E-2</v>
      </c>
      <c r="V7" s="15">
        <v>4.6694563788219415E-2</v>
      </c>
      <c r="W7" s="15">
        <v>4.2250950539758671E-2</v>
      </c>
      <c r="X7" s="15">
        <v>4.7133436501168045E-2</v>
      </c>
      <c r="Y7" s="15">
        <v>4.4488089132320434E-2</v>
      </c>
      <c r="Z7" s="15">
        <v>5.2439662163851937E-2</v>
      </c>
      <c r="AA7" s="15">
        <v>4.0030717207605246E-2</v>
      </c>
      <c r="AB7" s="15">
        <v>3.5053832913210209E-2</v>
      </c>
      <c r="AC7" s="15">
        <v>3.3271777629412566E-2</v>
      </c>
      <c r="AD7" s="15">
        <v>2.6041083135023693E-2</v>
      </c>
      <c r="AE7" s="15">
        <v>1.6098177135190406E-2</v>
      </c>
      <c r="AF7" s="15">
        <v>2.7960486398816486E-2</v>
      </c>
      <c r="AG7" s="15">
        <v>3.2478377813215872E-2</v>
      </c>
      <c r="AH7" s="15">
        <v>2.6618657976116102E-2</v>
      </c>
      <c r="AI7" s="15">
        <v>3.274478357226962E-2</v>
      </c>
      <c r="AJ7" s="15">
        <v>2.458297569831237E-2</v>
      </c>
      <c r="AK7" s="15">
        <v>2.4798781823052569E-2</v>
      </c>
      <c r="AL7" s="15">
        <v>2.9958431758356361E-2</v>
      </c>
      <c r="AM7" s="15">
        <v>3.5169596287915876E-2</v>
      </c>
      <c r="AN7" s="15">
        <v>3.5814716266642538E-2</v>
      </c>
      <c r="AO7" s="4">
        <v>5.234632381916688E-2</v>
      </c>
      <c r="AP7" s="4">
        <v>3.8657111213497554E-2</v>
      </c>
      <c r="AQ7" s="4">
        <v>4.0571033085945556E-2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x14ac:dyDescent="0.25">
      <c r="A8" s="2" t="s">
        <v>60</v>
      </c>
      <c r="B8" s="2">
        <v>0</v>
      </c>
      <c r="C8" s="2">
        <v>0</v>
      </c>
    </row>
    <row r="9" spans="1:59" x14ac:dyDescent="0.25">
      <c r="A9" s="2" t="s">
        <v>37</v>
      </c>
      <c r="B9" s="2">
        <v>0</v>
      </c>
      <c r="C9" s="2">
        <v>0</v>
      </c>
      <c r="D9" s="7" t="s">
        <v>295</v>
      </c>
    </row>
    <row r="10" spans="1:59" x14ac:dyDescent="0.25">
      <c r="A10" s="2" t="s">
        <v>38</v>
      </c>
      <c r="B10" s="2">
        <v>0</v>
      </c>
      <c r="C10" s="2">
        <v>0</v>
      </c>
      <c r="D10" s="7" t="s">
        <v>295</v>
      </c>
    </row>
    <row r="11" spans="1:59" x14ac:dyDescent="0.25">
      <c r="A11" s="2" t="s">
        <v>35</v>
      </c>
      <c r="B11" s="7">
        <v>75</v>
      </c>
      <c r="C11" s="7">
        <v>75</v>
      </c>
      <c r="D11" s="7" t="s">
        <v>296</v>
      </c>
    </row>
    <row r="12" spans="1:59" x14ac:dyDescent="0.25">
      <c r="A12" s="2" t="s">
        <v>34</v>
      </c>
      <c r="B12" s="7">
        <v>90</v>
      </c>
      <c r="C12" s="7">
        <v>90</v>
      </c>
      <c r="D12" s="7" t="s">
        <v>296</v>
      </c>
    </row>
    <row r="13" spans="1:59" x14ac:dyDescent="0.25">
      <c r="A13" s="2" t="s">
        <v>36</v>
      </c>
      <c r="B13" s="7">
        <v>1</v>
      </c>
      <c r="C13" s="7">
        <v>1</v>
      </c>
      <c r="D13" s="7" t="s">
        <v>297</v>
      </c>
    </row>
    <row r="14" spans="1:59" x14ac:dyDescent="0.25">
      <c r="A14" s="2" t="s">
        <v>42</v>
      </c>
      <c r="B14" s="2" t="b">
        <v>1</v>
      </c>
    </row>
    <row r="15" spans="1:59" x14ac:dyDescent="0.25">
      <c r="A15" s="2" t="s">
        <v>61</v>
      </c>
      <c r="E15" s="34"/>
    </row>
    <row r="16" spans="1:59" x14ac:dyDescent="0.25">
      <c r="A16" s="2" t="s">
        <v>62</v>
      </c>
    </row>
    <row r="17" spans="1:3" x14ac:dyDescent="0.25">
      <c r="A17" s="2" t="s">
        <v>63</v>
      </c>
    </row>
    <row r="18" spans="1:3" x14ac:dyDescent="0.25">
      <c r="A18" s="2" t="s">
        <v>64</v>
      </c>
      <c r="B18" s="2">
        <v>0</v>
      </c>
      <c r="C18" s="2">
        <v>0</v>
      </c>
    </row>
    <row r="19" spans="1:3" x14ac:dyDescent="0.25">
      <c r="A19" s="2" t="s">
        <v>26</v>
      </c>
    </row>
    <row r="20" spans="1:3" x14ac:dyDescent="0.25">
      <c r="A20" s="2" t="s">
        <v>27</v>
      </c>
    </row>
    <row r="21" spans="1:3" x14ac:dyDescent="0.25">
      <c r="A21" s="2" t="s">
        <v>30</v>
      </c>
    </row>
    <row r="22" spans="1:3" x14ac:dyDescent="0.25">
      <c r="A22" s="2" t="s">
        <v>31</v>
      </c>
    </row>
    <row r="23" spans="1:3" x14ac:dyDescent="0.25">
      <c r="A23" s="2" t="s">
        <v>28</v>
      </c>
    </row>
    <row r="24" spans="1:3" x14ac:dyDescent="0.25">
      <c r="A24" s="2" t="s">
        <v>29</v>
      </c>
    </row>
    <row r="25" spans="1:3" x14ac:dyDescent="0.25">
      <c r="A25" s="2" t="s">
        <v>32</v>
      </c>
    </row>
    <row r="26" spans="1:3" x14ac:dyDescent="0.25">
      <c r="A26" s="2" t="s">
        <v>33</v>
      </c>
    </row>
    <row r="27" spans="1:3" x14ac:dyDescent="0.25">
      <c r="A27" s="2" t="s">
        <v>65</v>
      </c>
      <c r="B27" s="2">
        <v>2016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workbookViewId="0">
      <selection activeCell="B2" sqref="B2"/>
    </sheetView>
  </sheetViews>
  <sheetFormatPr defaultColWidth="9.140625" defaultRowHeight="15" x14ac:dyDescent="0.25"/>
  <cols>
    <col min="1" max="1" width="11.5703125" style="6" bestFit="1" customWidth="1"/>
    <col min="2" max="2" width="9.85546875" style="6" bestFit="1" customWidth="1"/>
    <col min="3" max="16384" width="9.140625" style="6"/>
  </cols>
  <sheetData>
    <row r="1" spans="1:4" x14ac:dyDescent="0.25">
      <c r="A1" s="6" t="s">
        <v>66</v>
      </c>
      <c r="C1" s="7" t="s">
        <v>298</v>
      </c>
    </row>
    <row r="2" spans="1:4" x14ac:dyDescent="0.25">
      <c r="A2" s="6" t="s">
        <v>0</v>
      </c>
      <c r="B2" s="37" t="s">
        <v>292</v>
      </c>
    </row>
    <row r="3" spans="1:4" x14ac:dyDescent="0.25">
      <c r="A3" t="s">
        <v>43</v>
      </c>
      <c r="B3">
        <v>0.01</v>
      </c>
      <c r="C3">
        <v>0.02</v>
      </c>
    </row>
    <row r="4" spans="1:4" x14ac:dyDescent="0.25">
      <c r="A4" t="s">
        <v>44</v>
      </c>
      <c r="B4">
        <v>0.01</v>
      </c>
      <c r="C4"/>
    </row>
    <row r="5" spans="1:4" x14ac:dyDescent="0.25">
      <c r="A5" t="s">
        <v>45</v>
      </c>
      <c r="B5">
        <v>40</v>
      </c>
      <c r="C5">
        <v>60</v>
      </c>
    </row>
    <row r="6" spans="1:4" x14ac:dyDescent="0.25">
      <c r="A6" t="s">
        <v>46</v>
      </c>
      <c r="B6">
        <v>40</v>
      </c>
      <c r="C6">
        <v>60</v>
      </c>
    </row>
    <row r="7" spans="1:4" x14ac:dyDescent="0.25">
      <c r="A7" t="s">
        <v>47</v>
      </c>
      <c r="B7">
        <v>41</v>
      </c>
      <c r="C7">
        <v>59</v>
      </c>
    </row>
    <row r="8" spans="1:4" x14ac:dyDescent="0.25">
      <c r="A8" t="s">
        <v>48</v>
      </c>
      <c r="B8">
        <v>41</v>
      </c>
      <c r="C8">
        <v>60</v>
      </c>
    </row>
    <row r="9" spans="1:4" x14ac:dyDescent="0.25">
      <c r="A9" t="s">
        <v>49</v>
      </c>
      <c r="B9">
        <v>0.05</v>
      </c>
      <c r="C9">
        <v>0.1</v>
      </c>
    </row>
    <row r="10" spans="1:4" x14ac:dyDescent="0.25">
      <c r="A10" t="s">
        <v>80</v>
      </c>
      <c r="B10">
        <v>0.2</v>
      </c>
      <c r="C10"/>
    </row>
    <row r="11" spans="1:4" x14ac:dyDescent="0.25">
      <c r="A11" t="s">
        <v>82</v>
      </c>
      <c r="B11">
        <v>0.05</v>
      </c>
      <c r="C11">
        <v>0.1</v>
      </c>
    </row>
    <row r="12" spans="1:4" x14ac:dyDescent="0.25">
      <c r="A12" t="s">
        <v>79</v>
      </c>
      <c r="B12">
        <v>2.5000000000000001E-2</v>
      </c>
      <c r="C12">
        <v>0.05</v>
      </c>
    </row>
    <row r="13" spans="1:4" x14ac:dyDescent="0.25">
      <c r="A13" t="s">
        <v>51</v>
      </c>
      <c r="B13">
        <v>1</v>
      </c>
      <c r="C13">
        <v>1</v>
      </c>
    </row>
    <row r="14" spans="1:4" x14ac:dyDescent="0.25">
      <c r="A14" t="s">
        <v>99</v>
      </c>
      <c r="B14">
        <v>0.1</v>
      </c>
      <c r="C14"/>
    </row>
    <row r="15" spans="1:4" x14ac:dyDescent="0.25">
      <c r="A15" t="s">
        <v>83</v>
      </c>
      <c r="B15" s="15">
        <v>0.1</v>
      </c>
      <c r="C15"/>
    </row>
    <row r="16" spans="1:4" x14ac:dyDescent="0.25">
      <c r="A16" t="s">
        <v>84</v>
      </c>
      <c r="B16" s="15">
        <v>0.1</v>
      </c>
      <c r="C16"/>
    </row>
    <row r="17" spans="1:3" x14ac:dyDescent="0.25">
      <c r="A17" t="s">
        <v>85</v>
      </c>
      <c r="B17" s="15">
        <v>0.1</v>
      </c>
      <c r="C17"/>
    </row>
    <row r="18" spans="1:3" x14ac:dyDescent="0.25">
      <c r="A18" t="s">
        <v>86</v>
      </c>
      <c r="B18" s="15">
        <v>0.1</v>
      </c>
      <c r="C18"/>
    </row>
    <row r="19" spans="1:3" x14ac:dyDescent="0.25">
      <c r="A19" t="s">
        <v>87</v>
      </c>
      <c r="B19" s="15">
        <v>0.1</v>
      </c>
      <c r="C19"/>
    </row>
    <row r="20" spans="1:3" x14ac:dyDescent="0.25">
      <c r="A20" t="s">
        <v>88</v>
      </c>
      <c r="B20" s="15">
        <v>0.1</v>
      </c>
      <c r="C20"/>
    </row>
    <row r="21" spans="1:3" x14ac:dyDescent="0.25">
      <c r="A21" t="s">
        <v>89</v>
      </c>
      <c r="B21">
        <v>0.4</v>
      </c>
      <c r="C21"/>
    </row>
    <row r="22" spans="1:3" x14ac:dyDescent="0.25">
      <c r="A22" t="s">
        <v>90</v>
      </c>
      <c r="B22">
        <v>0.1</v>
      </c>
      <c r="C22"/>
    </row>
    <row r="23" spans="1:3" x14ac:dyDescent="0.25">
      <c r="A23" t="s">
        <v>91</v>
      </c>
      <c r="B23">
        <v>0.1</v>
      </c>
      <c r="C23"/>
    </row>
    <row r="24" spans="1:3" x14ac:dyDescent="0.25">
      <c r="A24" t="s">
        <v>92</v>
      </c>
      <c r="B24">
        <v>0.5</v>
      </c>
      <c r="C24"/>
    </row>
    <row r="25" spans="1:3" x14ac:dyDescent="0.25">
      <c r="A25" t="s">
        <v>93</v>
      </c>
      <c r="B25">
        <v>0.5</v>
      </c>
      <c r="C25"/>
    </row>
    <row r="26" spans="1:3" x14ac:dyDescent="0.25">
      <c r="A26" t="s">
        <v>94</v>
      </c>
      <c r="B26">
        <v>0.5</v>
      </c>
      <c r="C26"/>
    </row>
    <row r="27" spans="1:3" x14ac:dyDescent="0.25">
      <c r="A27" t="s">
        <v>50</v>
      </c>
      <c r="B27">
        <v>0.5</v>
      </c>
      <c r="C27"/>
    </row>
    <row r="28" spans="1:3" x14ac:dyDescent="0.25">
      <c r="A28" t="s">
        <v>81</v>
      </c>
      <c r="B28">
        <v>0.2</v>
      </c>
      <c r="C28">
        <v>0.4</v>
      </c>
    </row>
    <row r="29" spans="1:3" ht="15" customHeight="1" x14ac:dyDescent="0.25">
      <c r="A29" t="s">
        <v>95</v>
      </c>
      <c r="B29">
        <v>0.1</v>
      </c>
      <c r="C29"/>
    </row>
    <row r="30" spans="1:3" x14ac:dyDescent="0.25">
      <c r="A30" t="s">
        <v>96</v>
      </c>
      <c r="B30">
        <v>0.1</v>
      </c>
      <c r="C3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ColWidth="9.140625" defaultRowHeight="15" x14ac:dyDescent="0.25"/>
  <cols>
    <col min="1" max="1" width="11.42578125" style="5" bestFit="1" customWidth="1"/>
    <col min="2" max="16384" width="9.140625" style="5"/>
  </cols>
  <sheetData>
    <row r="1" spans="1:3" x14ac:dyDescent="0.25">
      <c r="A1" s="5" t="s">
        <v>66</v>
      </c>
    </row>
    <row r="2" spans="1:3" x14ac:dyDescent="0.25">
      <c r="A2" s="5" t="s">
        <v>0</v>
      </c>
      <c r="B2" s="37" t="s">
        <v>292</v>
      </c>
    </row>
    <row r="3" spans="1:3" x14ac:dyDescent="0.25">
      <c r="A3" s="5" t="s">
        <v>52</v>
      </c>
      <c r="B3" s="5">
        <v>0.01</v>
      </c>
      <c r="C3" s="5">
        <v>0.02</v>
      </c>
    </row>
    <row r="4" spans="1:3" x14ac:dyDescent="0.25">
      <c r="A4" s="5" t="s">
        <v>53</v>
      </c>
      <c r="B4" s="5">
        <v>1</v>
      </c>
      <c r="C4" s="5">
        <v>1</v>
      </c>
    </row>
    <row r="5" spans="1:3" x14ac:dyDescent="0.25">
      <c r="A5" s="5" t="s">
        <v>97</v>
      </c>
      <c r="B5" s="5">
        <v>0.01</v>
      </c>
      <c r="C5" s="5">
        <v>0.02</v>
      </c>
    </row>
    <row r="6" spans="1:3" x14ac:dyDescent="0.25">
      <c r="A6" s="5" t="s">
        <v>98</v>
      </c>
      <c r="B6" s="5">
        <v>1</v>
      </c>
      <c r="C6" s="5">
        <v>1</v>
      </c>
    </row>
    <row r="7" spans="1:3" x14ac:dyDescent="0.25">
      <c r="A7" s="5" t="s">
        <v>54</v>
      </c>
      <c r="B7" s="5">
        <v>0.01</v>
      </c>
      <c r="C7" s="5">
        <v>0.02</v>
      </c>
    </row>
    <row r="8" spans="1:3" x14ac:dyDescent="0.25">
      <c r="A8" s="5" t="s">
        <v>55</v>
      </c>
      <c r="B8" s="5">
        <v>1</v>
      </c>
      <c r="C8" s="5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B27" sqref="B27:B28"/>
    </sheetView>
  </sheetViews>
  <sheetFormatPr defaultRowHeight="15" x14ac:dyDescent="0.25"/>
  <cols>
    <col min="1" max="1" width="9.42578125" customWidth="1"/>
    <col min="2" max="2" width="10.85546875" bestFit="1" customWidth="1"/>
  </cols>
  <sheetData>
    <row r="1" spans="1:3" x14ac:dyDescent="0.25">
      <c r="A1" t="s">
        <v>66</v>
      </c>
    </row>
    <row r="2" spans="1:3" x14ac:dyDescent="0.25">
      <c r="A2" t="s">
        <v>0</v>
      </c>
      <c r="B2" s="37" t="s">
        <v>292</v>
      </c>
    </row>
    <row r="3" spans="1:3" s="9" customFormat="1" x14ac:dyDescent="0.25">
      <c r="A3" s="9" t="s">
        <v>119</v>
      </c>
      <c r="B3" s="9" t="s">
        <v>301</v>
      </c>
    </row>
    <row r="4" spans="1:3" s="9" customFormat="1" x14ac:dyDescent="0.25">
      <c r="A4" s="9" t="s">
        <v>120</v>
      </c>
      <c r="B4" s="9" t="s">
        <v>300</v>
      </c>
    </row>
    <row r="5" spans="1:3" s="9" customFormat="1" x14ac:dyDescent="0.25">
      <c r="A5" s="9" t="s">
        <v>121</v>
      </c>
      <c r="B5" s="9">
        <v>56.24</v>
      </c>
    </row>
    <row r="6" spans="1:3" s="9" customFormat="1" x14ac:dyDescent="0.25">
      <c r="A6" s="9" t="s">
        <v>122</v>
      </c>
      <c r="B6" s="9">
        <v>-117.28</v>
      </c>
    </row>
    <row r="7" spans="1:3" x14ac:dyDescent="0.25">
      <c r="A7" t="s">
        <v>67</v>
      </c>
      <c r="B7">
        <v>80</v>
      </c>
    </row>
    <row r="8" spans="1:3" x14ac:dyDescent="0.25">
      <c r="A8" t="s">
        <v>68</v>
      </c>
      <c r="B8">
        <v>50</v>
      </c>
    </row>
    <row r="9" spans="1:3" x14ac:dyDescent="0.25">
      <c r="A9" t="s">
        <v>69</v>
      </c>
      <c r="B9">
        <v>4</v>
      </c>
    </row>
    <row r="10" spans="1:3" x14ac:dyDescent="0.25">
      <c r="A10" t="s">
        <v>70</v>
      </c>
      <c r="B10">
        <v>0.5</v>
      </c>
      <c r="C10" t="s">
        <v>73</v>
      </c>
    </row>
    <row r="11" spans="1:3" x14ac:dyDescent="0.25">
      <c r="A11" t="s">
        <v>71</v>
      </c>
      <c r="B11">
        <v>2</v>
      </c>
      <c r="C11" t="s">
        <v>73</v>
      </c>
    </row>
    <row r="12" spans="1:3" x14ac:dyDescent="0.25">
      <c r="A12" t="s">
        <v>72</v>
      </c>
      <c r="B12">
        <v>1</v>
      </c>
      <c r="C12" t="s">
        <v>73</v>
      </c>
    </row>
  </sheetData>
  <pageMargins left="0.7" right="0.7" top="0.75" bottom="0.75" header="0.3" footer="0.3"/>
  <pageSetup orientation="portrait" horizontalDpi="4294967292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8.85546875" style="15"/>
    <col min="2" max="2" width="10.5703125" style="8" customWidth="1"/>
    <col min="3" max="16384" width="8.85546875" style="8"/>
  </cols>
  <sheetData>
    <row r="1" spans="1:11" x14ac:dyDescent="0.25">
      <c r="A1" s="51" t="s">
        <v>299</v>
      </c>
      <c r="C1" s="8" t="s">
        <v>102</v>
      </c>
      <c r="D1" s="8" t="s">
        <v>2</v>
      </c>
      <c r="E1" s="8" t="s">
        <v>6</v>
      </c>
    </row>
    <row r="2" spans="1:11" x14ac:dyDescent="0.25">
      <c r="B2" s="8" t="s">
        <v>103</v>
      </c>
      <c r="C2" s="17">
        <f>MIN(C7:C44)</f>
        <v>1601.222809601001</v>
      </c>
      <c r="D2" s="8">
        <f>MIN(D7:D44)</f>
        <v>607.76056888893697</v>
      </c>
      <c r="E2" s="8">
        <v>0.2001</v>
      </c>
      <c r="G2" s="8" t="s">
        <v>104</v>
      </c>
      <c r="H2" s="8">
        <f>STDEV(G7:G33)</f>
        <v>0.13401736470288916</v>
      </c>
    </row>
    <row r="3" spans="1:11" x14ac:dyDescent="0.25">
      <c r="B3" s="8" t="s">
        <v>105</v>
      </c>
      <c r="C3" s="8">
        <f>MAX(C7:C44)*8</f>
        <v>688920.94958777237</v>
      </c>
      <c r="D3" s="8">
        <f>MAX(D7:D44)*8</f>
        <v>196930.14377710479</v>
      </c>
      <c r="E3" s="8">
        <v>0.99</v>
      </c>
      <c r="G3" s="8" t="s">
        <v>112</v>
      </c>
      <c r="H3" s="8">
        <v>-0.112829</v>
      </c>
    </row>
    <row r="4" spans="1:11" x14ac:dyDescent="0.25">
      <c r="B4" s="8" t="s">
        <v>106</v>
      </c>
      <c r="C4" s="8">
        <v>300000</v>
      </c>
      <c r="D4" s="8">
        <f>180000</f>
        <v>180000</v>
      </c>
      <c r="E4" s="8">
        <v>0.3</v>
      </c>
    </row>
    <row r="5" spans="1:11" x14ac:dyDescent="0.25">
      <c r="D5" s="8" t="s">
        <v>107</v>
      </c>
      <c r="E5" s="8">
        <f>SUM(G7:G63)</f>
        <v>65.161610290563928</v>
      </c>
    </row>
    <row r="6" spans="1:11" x14ac:dyDescent="0.25">
      <c r="A6" s="15" t="s">
        <v>125</v>
      </c>
      <c r="B6" s="8" t="s">
        <v>126</v>
      </c>
      <c r="C6" s="16" t="s">
        <v>255</v>
      </c>
      <c r="D6" s="15" t="s">
        <v>132</v>
      </c>
      <c r="E6" s="8" t="s">
        <v>108</v>
      </c>
      <c r="F6" s="8" t="s">
        <v>109</v>
      </c>
      <c r="G6" s="8" t="s">
        <v>110</v>
      </c>
      <c r="H6" s="8" t="s">
        <v>111</v>
      </c>
    </row>
    <row r="7" spans="1:11" x14ac:dyDescent="0.25">
      <c r="A7" s="15">
        <v>1</v>
      </c>
      <c r="B7" s="15">
        <v>1960</v>
      </c>
      <c r="C7" s="21">
        <v>1601.222809601001</v>
      </c>
      <c r="D7" s="17">
        <v>607.76056888893697</v>
      </c>
      <c r="E7" s="8">
        <f>C7/$C$4</f>
        <v>5.3374093653366702E-3</v>
      </c>
      <c r="F7" s="8">
        <f>$D$4*(4*hs*E7)/((1-hs)+(5*hs-1)*E7)</f>
        <v>1640.7169057477413</v>
      </c>
      <c r="G7" s="8">
        <f t="shared" ref="G7:G44" si="0">LN(F7/D7)^2</f>
        <v>0.98626262516480201</v>
      </c>
      <c r="H7" s="8">
        <f t="shared" ref="H7:H44" si="1">LN(D7/F7)</f>
        <v>-0.99310755971586584</v>
      </c>
      <c r="K7" s="8" t="s">
        <v>113</v>
      </c>
    </row>
    <row r="8" spans="1:11" x14ac:dyDescent="0.25">
      <c r="A8" s="15">
        <v>2</v>
      </c>
      <c r="B8" s="15">
        <v>1961</v>
      </c>
      <c r="C8" s="21">
        <v>1765.4960613952546</v>
      </c>
      <c r="D8" s="17">
        <v>627.10594695944803</v>
      </c>
      <c r="E8" s="8">
        <f t="shared" ref="E7:E44" si="2">C8/$C$4</f>
        <v>5.8849868713175156E-3</v>
      </c>
      <c r="F8" s="8">
        <f t="shared" ref="F8:F44" si="3">$D$4*(4*hs*E8)/((1-hs)+(5*hs-1)*E8)</f>
        <v>1808.3373477562202</v>
      </c>
      <c r="G8" s="8">
        <f t="shared" si="0"/>
        <v>1.1215818379593998</v>
      </c>
      <c r="H8" s="8">
        <f t="shared" si="1"/>
        <v>-1.0590476089201089</v>
      </c>
    </row>
    <row r="9" spans="1:11" x14ac:dyDescent="0.25">
      <c r="A9" s="15">
        <v>3</v>
      </c>
      <c r="B9" s="15">
        <v>1962</v>
      </c>
      <c r="C9" s="21">
        <v>1934.2472442092899</v>
      </c>
      <c r="D9" s="17">
        <v>644.43875468285296</v>
      </c>
      <c r="E9" s="8">
        <f t="shared" si="2"/>
        <v>6.4474908140309661E-3</v>
      </c>
      <c r="F9" s="8">
        <f t="shared" si="3"/>
        <v>1980.3910560850568</v>
      </c>
      <c r="G9" s="8">
        <f t="shared" si="0"/>
        <v>1.2603875180965838</v>
      </c>
      <c r="H9" s="8">
        <f t="shared" si="1"/>
        <v>-1.1226698170417622</v>
      </c>
    </row>
    <row r="10" spans="1:11" x14ac:dyDescent="0.25">
      <c r="A10" s="15">
        <v>4</v>
      </c>
      <c r="B10" s="15">
        <v>1963</v>
      </c>
      <c r="C10" s="21">
        <v>2127.4664284814826</v>
      </c>
      <c r="D10" s="17">
        <v>701.71530093445904</v>
      </c>
      <c r="E10" s="8">
        <f t="shared" si="2"/>
        <v>7.0915547616049422E-3</v>
      </c>
      <c r="F10" s="8">
        <f t="shared" si="3"/>
        <v>2177.2226879240807</v>
      </c>
      <c r="G10" s="8">
        <f t="shared" si="0"/>
        <v>1.2820525173841926</v>
      </c>
      <c r="H10" s="8">
        <f t="shared" si="1"/>
        <v>-1.1322775796527071</v>
      </c>
    </row>
    <row r="11" spans="1:11" x14ac:dyDescent="0.25">
      <c r="A11" s="15">
        <v>5</v>
      </c>
      <c r="B11" s="15">
        <v>1964</v>
      </c>
      <c r="C11" s="21">
        <v>2357.0279114934024</v>
      </c>
      <c r="D11" s="17">
        <v>804.41287510796201</v>
      </c>
      <c r="E11" s="8">
        <f t="shared" si="2"/>
        <v>7.8567597049780079E-3</v>
      </c>
      <c r="F11" s="8">
        <f t="shared" si="3"/>
        <v>2410.8419902474675</v>
      </c>
      <c r="G11" s="8">
        <f t="shared" si="0"/>
        <v>1.204766756568135</v>
      </c>
      <c r="H11" s="8">
        <f t="shared" si="1"/>
        <v>-1.0976186753914745</v>
      </c>
    </row>
    <row r="12" spans="1:11" x14ac:dyDescent="0.25">
      <c r="A12" s="15">
        <v>6</v>
      </c>
      <c r="B12" s="15">
        <v>1965</v>
      </c>
      <c r="C12" s="21">
        <v>2626.1983757197345</v>
      </c>
      <c r="D12" s="17">
        <v>903.00049537632901</v>
      </c>
      <c r="E12" s="8">
        <f t="shared" si="2"/>
        <v>8.753994585732448E-3</v>
      </c>
      <c r="F12" s="8">
        <f t="shared" si="3"/>
        <v>2684.4471608036124</v>
      </c>
      <c r="G12" s="8">
        <f t="shared" si="0"/>
        <v>1.1870254694800613</v>
      </c>
      <c r="H12" s="8">
        <f t="shared" si="1"/>
        <v>-1.0895069845944363</v>
      </c>
    </row>
    <row r="13" spans="1:11" x14ac:dyDescent="0.25">
      <c r="A13" s="15">
        <v>7</v>
      </c>
      <c r="B13" s="15">
        <v>1966</v>
      </c>
      <c r="C13" s="21">
        <v>2931.6152590760034</v>
      </c>
      <c r="D13" s="17">
        <v>1004.86031174708</v>
      </c>
      <c r="E13" s="8">
        <f t="shared" si="2"/>
        <v>9.7720508635866787E-3</v>
      </c>
      <c r="F13" s="8">
        <f t="shared" si="3"/>
        <v>2994.4741566435919</v>
      </c>
      <c r="G13" s="8">
        <f t="shared" si="0"/>
        <v>1.192289513184684</v>
      </c>
      <c r="H13" s="8">
        <f t="shared" si="1"/>
        <v>-1.0919201038467439</v>
      </c>
    </row>
    <row r="14" spans="1:11" x14ac:dyDescent="0.25">
      <c r="A14" s="15">
        <v>8</v>
      </c>
      <c r="B14" s="15">
        <v>1967</v>
      </c>
      <c r="C14" s="21">
        <v>3267.0745929110694</v>
      </c>
      <c r="D14" s="17">
        <v>1102.92313024076</v>
      </c>
      <c r="E14" s="8">
        <f t="shared" si="2"/>
        <v>1.0890248643036898E-2</v>
      </c>
      <c r="F14" s="8">
        <f t="shared" si="3"/>
        <v>3334.481486647674</v>
      </c>
      <c r="G14" s="8">
        <f t="shared" si="0"/>
        <v>1.2240172807898655</v>
      </c>
      <c r="H14" s="8">
        <f t="shared" si="1"/>
        <v>-1.1063531447010333</v>
      </c>
    </row>
    <row r="15" spans="1:11" x14ac:dyDescent="0.25">
      <c r="A15" s="15">
        <v>9</v>
      </c>
      <c r="B15" s="15">
        <v>1968</v>
      </c>
      <c r="C15" s="21">
        <v>3644.4121793108616</v>
      </c>
      <c r="D15" s="17">
        <v>1220.1916216956599</v>
      </c>
      <c r="E15" s="8">
        <f t="shared" si="2"/>
        <v>1.2148040597702872E-2</v>
      </c>
      <c r="F15" s="8">
        <f t="shared" si="3"/>
        <v>3716.2913429291752</v>
      </c>
      <c r="G15" s="8">
        <f t="shared" si="0"/>
        <v>1.2403684668980133</v>
      </c>
      <c r="H15" s="8">
        <f t="shared" si="1"/>
        <v>-1.1137183067984531</v>
      </c>
    </row>
    <row r="16" spans="1:11" x14ac:dyDescent="0.25">
      <c r="A16" s="15">
        <v>10</v>
      </c>
      <c r="B16" s="15">
        <v>1969</v>
      </c>
      <c r="C16" s="21">
        <v>4060.2912795770185</v>
      </c>
      <c r="D16" s="17">
        <v>1360.09444461975</v>
      </c>
      <c r="E16" s="8">
        <f t="shared" si="2"/>
        <v>1.3534304265256729E-2</v>
      </c>
      <c r="F16" s="8">
        <f t="shared" si="3"/>
        <v>4136.3123802149503</v>
      </c>
      <c r="G16" s="8">
        <f t="shared" si="0"/>
        <v>1.237101218295366</v>
      </c>
      <c r="H16" s="8">
        <f t="shared" si="1"/>
        <v>-1.1122505195752286</v>
      </c>
    </row>
    <row r="17" spans="1:8" x14ac:dyDescent="0.25">
      <c r="A17" s="15">
        <v>11</v>
      </c>
      <c r="B17" s="15">
        <v>1970</v>
      </c>
      <c r="C17" s="21">
        <v>4545.1722641223796</v>
      </c>
      <c r="D17" s="17">
        <v>1499.24135338531</v>
      </c>
      <c r="E17" s="8">
        <f t="shared" si="2"/>
        <v>1.5150574213741266E-2</v>
      </c>
      <c r="F17" s="8">
        <f t="shared" si="3"/>
        <v>4624.9835032379233</v>
      </c>
      <c r="G17" s="8">
        <f t="shared" si="0"/>
        <v>1.2690328647014602</v>
      </c>
      <c r="H17" s="8">
        <f t="shared" si="1"/>
        <v>-1.1265135883341399</v>
      </c>
    </row>
    <row r="18" spans="1:8" x14ac:dyDescent="0.25">
      <c r="A18" s="15">
        <v>12</v>
      </c>
      <c r="B18" s="15">
        <v>1971</v>
      </c>
      <c r="C18" s="21">
        <v>5037.2155945825843</v>
      </c>
      <c r="D18" s="17">
        <v>1651.1505406430499</v>
      </c>
      <c r="E18" s="8">
        <f t="shared" si="2"/>
        <v>1.6790718648608614E-2</v>
      </c>
      <c r="F18" s="8">
        <f t="shared" si="3"/>
        <v>5119.7331834003571</v>
      </c>
      <c r="G18" s="8">
        <f t="shared" si="0"/>
        <v>1.2805864179794519</v>
      </c>
      <c r="H18" s="8">
        <f t="shared" si="1"/>
        <v>-1.1316299828033243</v>
      </c>
    </row>
    <row r="19" spans="1:8" x14ac:dyDescent="0.25">
      <c r="A19" s="15">
        <v>13</v>
      </c>
      <c r="B19" s="15">
        <v>1972</v>
      </c>
      <c r="C19" s="21">
        <v>5621.5525667390775</v>
      </c>
      <c r="D19" s="17">
        <v>1824.59206290059</v>
      </c>
      <c r="E19" s="8">
        <f t="shared" si="2"/>
        <v>1.8738508555796927E-2</v>
      </c>
      <c r="F19" s="8">
        <f t="shared" si="3"/>
        <v>5705.79824772967</v>
      </c>
      <c r="G19" s="8">
        <f t="shared" si="0"/>
        <v>1.299888343376421</v>
      </c>
      <c r="H19" s="8">
        <f t="shared" si="1"/>
        <v>-1.1401264593791431</v>
      </c>
    </row>
    <row r="20" spans="1:8" x14ac:dyDescent="0.25">
      <c r="A20" s="15">
        <v>14</v>
      </c>
      <c r="B20" s="15">
        <v>1973</v>
      </c>
      <c r="C20" s="21">
        <v>6292.1892013598599</v>
      </c>
      <c r="D20" s="17">
        <v>2019.2499963360999</v>
      </c>
      <c r="E20" s="8">
        <f t="shared" si="2"/>
        <v>2.0973964004532865E-2</v>
      </c>
      <c r="F20" s="8">
        <f t="shared" si="3"/>
        <v>6376.4380484660978</v>
      </c>
      <c r="G20" s="8">
        <f t="shared" si="0"/>
        <v>1.3222320366884126</v>
      </c>
      <c r="H20" s="8">
        <f t="shared" si="1"/>
        <v>-1.1498834883101907</v>
      </c>
    </row>
    <row r="21" spans="1:8" x14ac:dyDescent="0.25">
      <c r="A21" s="15">
        <v>15</v>
      </c>
      <c r="B21" s="15">
        <v>1974</v>
      </c>
      <c r="C21" s="21">
        <v>7045.489715393639</v>
      </c>
      <c r="D21" s="17">
        <v>2239.0736130969099</v>
      </c>
      <c r="E21" s="8">
        <f t="shared" si="2"/>
        <v>2.3484965717978798E-2</v>
      </c>
      <c r="F21" s="8">
        <f t="shared" si="3"/>
        <v>7127.230307662322</v>
      </c>
      <c r="G21" s="8">
        <f t="shared" si="0"/>
        <v>1.3406409098240819</v>
      </c>
      <c r="H21" s="8">
        <f t="shared" si="1"/>
        <v>-1.1578604880658472</v>
      </c>
    </row>
    <row r="22" spans="1:8" x14ac:dyDescent="0.25">
      <c r="A22" s="15">
        <v>16</v>
      </c>
      <c r="B22" s="15">
        <v>1975</v>
      </c>
      <c r="C22" s="21">
        <v>7888.1570945656258</v>
      </c>
      <c r="D22" s="17">
        <v>2480.1177028903599</v>
      </c>
      <c r="E22" s="8">
        <f t="shared" si="2"/>
        <v>2.6293856981885421E-2</v>
      </c>
      <c r="F22" s="8">
        <f t="shared" si="3"/>
        <v>7963.9592925195966</v>
      </c>
      <c r="G22" s="8">
        <f t="shared" si="0"/>
        <v>1.3610028190468675</v>
      </c>
      <c r="H22" s="8">
        <f t="shared" si="1"/>
        <v>-1.166620254858824</v>
      </c>
    </row>
    <row r="23" spans="1:8" x14ac:dyDescent="0.25">
      <c r="A23" s="15">
        <v>17</v>
      </c>
      <c r="B23" s="15">
        <v>1976</v>
      </c>
      <c r="C23" s="21">
        <v>8809.4639068582346</v>
      </c>
      <c r="D23" s="17">
        <v>2736.7978298274302</v>
      </c>
      <c r="E23" s="8">
        <f t="shared" si="2"/>
        <v>2.9364879689527449E-2</v>
      </c>
      <c r="F23" s="8">
        <f t="shared" si="3"/>
        <v>8875.0102973226167</v>
      </c>
      <c r="G23" s="8">
        <f t="shared" si="0"/>
        <v>1.3840367998775593</v>
      </c>
      <c r="H23" s="8">
        <f t="shared" si="1"/>
        <v>-1.1764509339014353</v>
      </c>
    </row>
    <row r="24" spans="1:8" x14ac:dyDescent="0.25">
      <c r="A24" s="15">
        <v>18</v>
      </c>
      <c r="B24" s="15">
        <v>1977</v>
      </c>
      <c r="C24" s="21">
        <v>9851.5702600599852</v>
      </c>
      <c r="D24" s="17">
        <v>3038.2965918393302</v>
      </c>
      <c r="E24" s="8">
        <f t="shared" si="2"/>
        <v>3.2838567533533286E-2</v>
      </c>
      <c r="F24" s="8">
        <f t="shared" si="3"/>
        <v>9900.8091322572363</v>
      </c>
      <c r="G24" s="8">
        <f t="shared" si="0"/>
        <v>1.3955156608805559</v>
      </c>
      <c r="H24" s="8">
        <f t="shared" si="1"/>
        <v>-1.1813194575899255</v>
      </c>
    </row>
    <row r="25" spans="1:8" x14ac:dyDescent="0.25">
      <c r="A25" s="15">
        <v>19</v>
      </c>
      <c r="B25" s="15">
        <v>1978</v>
      </c>
      <c r="C25" s="21">
        <v>10940.62684373316</v>
      </c>
      <c r="D25" s="17">
        <v>3337.4541883247898</v>
      </c>
      <c r="E25" s="8">
        <f t="shared" si="2"/>
        <v>3.6468756145777201E-2</v>
      </c>
      <c r="F25" s="8">
        <f t="shared" si="3"/>
        <v>10967.521978860872</v>
      </c>
      <c r="G25" s="8">
        <f t="shared" si="0"/>
        <v>1.4154576174947033</v>
      </c>
      <c r="H25" s="8">
        <f t="shared" si="1"/>
        <v>-1.1897300607678631</v>
      </c>
    </row>
    <row r="26" spans="1:8" x14ac:dyDescent="0.25">
      <c r="A26" s="15">
        <v>20</v>
      </c>
      <c r="B26" s="15">
        <v>1979</v>
      </c>
      <c r="C26" s="21">
        <v>12246.00164555443</v>
      </c>
      <c r="D26" s="17">
        <v>3695.0611266384899</v>
      </c>
      <c r="E26" s="8">
        <f t="shared" si="2"/>
        <v>4.0820005485181436E-2</v>
      </c>
      <c r="F26" s="8">
        <f t="shared" si="3"/>
        <v>12239.032150070841</v>
      </c>
      <c r="G26" s="8">
        <f t="shared" si="0"/>
        <v>1.434325051603148</v>
      </c>
      <c r="H26" s="8">
        <f t="shared" si="1"/>
        <v>-1.1976331039192047</v>
      </c>
    </row>
    <row r="27" spans="1:8" x14ac:dyDescent="0.25">
      <c r="A27" s="15">
        <v>21</v>
      </c>
      <c r="B27" s="15">
        <v>1980</v>
      </c>
      <c r="C27" s="21">
        <v>13704.053882554535</v>
      </c>
      <c r="D27" s="17">
        <v>4073.5637824566402</v>
      </c>
      <c r="E27" s="8">
        <f t="shared" si="2"/>
        <v>4.5680179608515122E-2</v>
      </c>
      <c r="F27" s="8">
        <f t="shared" si="3"/>
        <v>13650.209686226994</v>
      </c>
      <c r="G27" s="8">
        <f t="shared" si="0"/>
        <v>1.462253262631646</v>
      </c>
      <c r="H27" s="8">
        <f t="shared" si="1"/>
        <v>-1.2092366445951124</v>
      </c>
    </row>
    <row r="28" spans="1:8" x14ac:dyDescent="0.25">
      <c r="A28" s="15">
        <v>22</v>
      </c>
      <c r="B28" s="15">
        <v>1981</v>
      </c>
      <c r="C28" s="21">
        <v>15333.276914908025</v>
      </c>
      <c r="D28" s="17">
        <v>4507.1624059710302</v>
      </c>
      <c r="E28" s="8">
        <f t="shared" si="2"/>
        <v>5.1110923049693419E-2</v>
      </c>
      <c r="F28" s="8">
        <f t="shared" si="3"/>
        <v>15215.872478627487</v>
      </c>
      <c r="G28" s="8">
        <f t="shared" si="0"/>
        <v>1.4802891685667872</v>
      </c>
      <c r="H28" s="8">
        <f t="shared" si="1"/>
        <v>-1.2166713478038296</v>
      </c>
    </row>
    <row r="29" spans="1:8" x14ac:dyDescent="0.25">
      <c r="A29" s="15">
        <v>23</v>
      </c>
      <c r="B29" s="15">
        <v>1982</v>
      </c>
      <c r="C29" s="21">
        <v>17031.16535414489</v>
      </c>
      <c r="D29" s="17">
        <v>5001.2301263582904</v>
      </c>
      <c r="E29" s="8">
        <f t="shared" si="2"/>
        <v>5.6770551180482971E-2</v>
      </c>
      <c r="F29" s="8">
        <f t="shared" si="3"/>
        <v>16835.100139891689</v>
      </c>
      <c r="G29" s="8">
        <f t="shared" si="0"/>
        <v>1.4732669704147172</v>
      </c>
      <c r="H29" s="8">
        <f t="shared" si="1"/>
        <v>-1.2137820934643571</v>
      </c>
    </row>
    <row r="30" spans="1:8" x14ac:dyDescent="0.25">
      <c r="A30" s="15">
        <v>24</v>
      </c>
      <c r="B30" s="15">
        <v>1983</v>
      </c>
      <c r="C30" s="21">
        <v>19063.252005908904</v>
      </c>
      <c r="D30" s="17">
        <v>5499.1380104083</v>
      </c>
      <c r="E30" s="8">
        <f t="shared" si="2"/>
        <v>6.3544173353029684E-2</v>
      </c>
      <c r="F30" s="8">
        <f t="shared" si="3"/>
        <v>18756.579670306401</v>
      </c>
      <c r="G30" s="8">
        <f t="shared" si="0"/>
        <v>1.5054142826771835</v>
      </c>
      <c r="H30" s="8">
        <f t="shared" si="1"/>
        <v>-1.2269532520341528</v>
      </c>
    </row>
    <row r="31" spans="1:8" x14ac:dyDescent="0.25">
      <c r="A31" s="15">
        <v>25</v>
      </c>
      <c r="B31" s="15">
        <v>1984</v>
      </c>
      <c r="C31" s="21">
        <v>21047.573198315036</v>
      </c>
      <c r="D31" s="17">
        <v>6017.6876233061903</v>
      </c>
      <c r="E31" s="8">
        <f t="shared" si="2"/>
        <v>7.0158577327716784E-2</v>
      </c>
      <c r="F31" s="8">
        <f t="shared" si="3"/>
        <v>20615.806942857096</v>
      </c>
      <c r="G31" s="8">
        <f t="shared" si="0"/>
        <v>1.5162352322531285</v>
      </c>
      <c r="H31" s="8">
        <f t="shared" si="1"/>
        <v>-1.2313550390740799</v>
      </c>
    </row>
    <row r="32" spans="1:8" x14ac:dyDescent="0.25">
      <c r="A32" s="15">
        <v>26</v>
      </c>
      <c r="B32" s="15">
        <v>1985</v>
      </c>
      <c r="C32" s="21">
        <v>23509.373592262116</v>
      </c>
      <c r="D32" s="17">
        <v>6663.0402109616398</v>
      </c>
      <c r="E32" s="8">
        <f t="shared" si="2"/>
        <v>7.8364578640873719E-2</v>
      </c>
      <c r="F32" s="8">
        <f t="shared" si="3"/>
        <v>22899.289161798286</v>
      </c>
      <c r="G32" s="8">
        <f t="shared" si="0"/>
        <v>1.5240643223400552</v>
      </c>
      <c r="H32" s="8">
        <f t="shared" si="1"/>
        <v>-1.2345300005832405</v>
      </c>
    </row>
    <row r="33" spans="1:8" x14ac:dyDescent="0.25">
      <c r="A33" s="15">
        <v>27</v>
      </c>
      <c r="B33" s="15">
        <v>1986</v>
      </c>
      <c r="C33" s="21">
        <v>26408.803911159623</v>
      </c>
      <c r="D33" s="17">
        <v>7620.49158048965</v>
      </c>
      <c r="E33" s="8">
        <f t="shared" si="2"/>
        <v>8.8029346370532072E-2</v>
      </c>
      <c r="F33" s="8">
        <f t="shared" si="3"/>
        <v>25556.402986826841</v>
      </c>
      <c r="G33" s="8">
        <f t="shared" si="0"/>
        <v>1.4642137710038639</v>
      </c>
      <c r="H33" s="8">
        <f t="shared" si="1"/>
        <v>-1.2100470118982418</v>
      </c>
    </row>
    <row r="34" spans="1:8" x14ac:dyDescent="0.25">
      <c r="A34" s="15">
        <v>28</v>
      </c>
      <c r="B34" s="15">
        <v>1987</v>
      </c>
      <c r="C34" s="21">
        <v>29094.558459227643</v>
      </c>
      <c r="D34" s="17">
        <v>8103.4222226948104</v>
      </c>
      <c r="E34" s="15">
        <f t="shared" si="2"/>
        <v>9.6981861530758814E-2</v>
      </c>
      <c r="F34" s="15">
        <f t="shared" si="3"/>
        <v>27987.088726944443</v>
      </c>
      <c r="G34" s="15">
        <f t="shared" si="0"/>
        <v>1.5362532033209493</v>
      </c>
      <c r="H34" s="15">
        <f t="shared" si="1"/>
        <v>-1.2394568178524614</v>
      </c>
    </row>
    <row r="35" spans="1:8" x14ac:dyDescent="0.25">
      <c r="A35" s="15">
        <v>29</v>
      </c>
      <c r="B35" s="15">
        <v>1988</v>
      </c>
      <c r="C35" s="21">
        <v>32875.995807039224</v>
      </c>
      <c r="D35" s="17">
        <v>9588.8101687174494</v>
      </c>
      <c r="E35" s="15">
        <f t="shared" si="2"/>
        <v>0.10958665269013075</v>
      </c>
      <c r="F35" s="15">
        <f t="shared" si="3"/>
        <v>31360.527650249536</v>
      </c>
      <c r="G35" s="15">
        <f t="shared" si="0"/>
        <v>1.4041141092322422</v>
      </c>
      <c r="H35" s="15">
        <f t="shared" si="1"/>
        <v>-1.1849532097227478</v>
      </c>
    </row>
    <row r="36" spans="1:8" x14ac:dyDescent="0.25">
      <c r="A36" s="15">
        <v>30</v>
      </c>
      <c r="B36" s="15">
        <v>1989</v>
      </c>
      <c r="C36" s="21">
        <v>36584.694138559658</v>
      </c>
      <c r="D36" s="17">
        <v>10224.4817983787</v>
      </c>
      <c r="E36" s="15">
        <f t="shared" si="2"/>
        <v>0.12194898046186553</v>
      </c>
      <c r="F36" s="15">
        <f t="shared" si="3"/>
        <v>34614.799993846391</v>
      </c>
      <c r="G36" s="15">
        <f t="shared" si="0"/>
        <v>1.4871712630646989</v>
      </c>
      <c r="H36" s="15">
        <f t="shared" si="1"/>
        <v>-1.2194963153141132</v>
      </c>
    </row>
    <row r="37" spans="1:8" x14ac:dyDescent="0.25">
      <c r="A37" s="15">
        <v>31</v>
      </c>
      <c r="B37" s="15">
        <v>1990</v>
      </c>
      <c r="C37" s="21">
        <v>40278.841757924019</v>
      </c>
      <c r="D37" s="17">
        <v>11259.166044993301</v>
      </c>
      <c r="E37" s="15">
        <f t="shared" si="2"/>
        <v>0.13426280585974673</v>
      </c>
      <c r="F37" s="15">
        <f t="shared" si="3"/>
        <v>37804.170126452729</v>
      </c>
      <c r="G37" s="15">
        <f t="shared" si="0"/>
        <v>1.4670947331478379</v>
      </c>
      <c r="H37" s="15">
        <f t="shared" si="1"/>
        <v>-1.2112368608772763</v>
      </c>
    </row>
    <row r="38" spans="1:8" x14ac:dyDescent="0.25">
      <c r="A38" s="15">
        <v>32</v>
      </c>
      <c r="B38" s="15">
        <v>1991</v>
      </c>
      <c r="C38" s="21">
        <v>44727.582257146634</v>
      </c>
      <c r="D38" s="17">
        <v>12438.5713682068</v>
      </c>
      <c r="E38" s="15">
        <f t="shared" si="2"/>
        <v>0.14909194085715544</v>
      </c>
      <c r="F38" s="15">
        <f t="shared" si="3"/>
        <v>41577.724828038663</v>
      </c>
      <c r="G38" s="15">
        <f t="shared" si="0"/>
        <v>1.45627530677119</v>
      </c>
      <c r="H38" s="15">
        <f t="shared" si="1"/>
        <v>-1.2067623240602061</v>
      </c>
    </row>
    <row r="39" spans="1:8" x14ac:dyDescent="0.25">
      <c r="A39" s="15">
        <v>33</v>
      </c>
      <c r="B39" s="15">
        <v>1992</v>
      </c>
      <c r="C39" s="21">
        <v>49892.553792111525</v>
      </c>
      <c r="D39" s="17">
        <v>13845.8735881336</v>
      </c>
      <c r="E39" s="15">
        <f t="shared" si="2"/>
        <v>0.16630851264037175</v>
      </c>
      <c r="F39" s="15">
        <f t="shared" si="3"/>
        <v>45869.173844639918</v>
      </c>
      <c r="G39" s="15">
        <f t="shared" si="0"/>
        <v>1.4347393221113744</v>
      </c>
      <c r="H39" s="15">
        <f t="shared" si="1"/>
        <v>-1.1978060452808603</v>
      </c>
    </row>
    <row r="40" spans="1:8" x14ac:dyDescent="0.25">
      <c r="A40" s="15">
        <v>34</v>
      </c>
      <c r="B40" s="15">
        <v>1993</v>
      </c>
      <c r="C40" s="21">
        <v>55705.882024379367</v>
      </c>
      <c r="D40" s="17">
        <v>15501.887127665501</v>
      </c>
      <c r="E40" s="15">
        <f t="shared" si="2"/>
        <v>0.1856862734145979</v>
      </c>
      <c r="F40" s="15">
        <f t="shared" si="3"/>
        <v>50587.856791097212</v>
      </c>
      <c r="G40" s="15">
        <f t="shared" si="0"/>
        <v>1.3988970809804655</v>
      </c>
      <c r="H40" s="15">
        <f t="shared" si="1"/>
        <v>-1.1827497964406783</v>
      </c>
    </row>
    <row r="41" spans="1:8" x14ac:dyDescent="0.25">
      <c r="A41" s="15">
        <v>35</v>
      </c>
      <c r="B41" s="15">
        <v>1994</v>
      </c>
      <c r="C41" s="21">
        <v>62166.991025442512</v>
      </c>
      <c r="D41" s="17">
        <v>17376.9402252734</v>
      </c>
      <c r="E41" s="15">
        <f t="shared" si="2"/>
        <v>0.20722330341814171</v>
      </c>
      <c r="F41" s="15">
        <f t="shared" si="3"/>
        <v>55698.835927932792</v>
      </c>
      <c r="G41" s="15">
        <f t="shared" si="0"/>
        <v>1.3567944382625041</v>
      </c>
      <c r="H41" s="15">
        <f t="shared" si="1"/>
        <v>-1.1648151948968146</v>
      </c>
    </row>
    <row r="42" spans="1:8" x14ac:dyDescent="0.25">
      <c r="A42" s="15">
        <v>36</v>
      </c>
      <c r="B42" s="15">
        <v>1995</v>
      </c>
      <c r="C42" s="21">
        <v>69353.894079878388</v>
      </c>
      <c r="D42" s="17">
        <v>19544.6003959724</v>
      </c>
      <c r="E42" s="15">
        <f t="shared" si="2"/>
        <v>0.23117964693292795</v>
      </c>
      <c r="F42" s="15">
        <f t="shared" si="3"/>
        <v>61225.388425369056</v>
      </c>
      <c r="G42" s="15">
        <f t="shared" si="0"/>
        <v>1.3038508671937745</v>
      </c>
      <c r="H42" s="15">
        <f t="shared" si="1"/>
        <v>-1.1418628933430557</v>
      </c>
    </row>
    <row r="43" spans="1:8" x14ac:dyDescent="0.25">
      <c r="A43" s="15">
        <v>37</v>
      </c>
      <c r="B43" s="15">
        <v>1996</v>
      </c>
      <c r="C43" s="21">
        <v>77327.122422510889</v>
      </c>
      <c r="D43" s="17">
        <v>21964.227496578598</v>
      </c>
      <c r="E43" s="15">
        <f t="shared" si="2"/>
        <v>0.25775707474170295</v>
      </c>
      <c r="F43" s="15">
        <f t="shared" si="3"/>
        <v>67169.706578248457</v>
      </c>
      <c r="G43" s="15">
        <f t="shared" si="0"/>
        <v>1.2494930344224007</v>
      </c>
      <c r="H43" s="15">
        <f t="shared" si="1"/>
        <v>-1.1178072438584394</v>
      </c>
    </row>
    <row r="44" spans="1:8" x14ac:dyDescent="0.25">
      <c r="A44" s="15">
        <v>38</v>
      </c>
      <c r="B44" s="15">
        <v>1997</v>
      </c>
      <c r="C44" s="21">
        <v>86115.118698471546</v>
      </c>
      <c r="D44" s="17">
        <v>24616.267972138099</v>
      </c>
      <c r="E44" s="15">
        <f t="shared" si="2"/>
        <v>0.28705039566157181</v>
      </c>
      <c r="F44" s="15">
        <f t="shared" si="3"/>
        <v>73504.485251118138</v>
      </c>
      <c r="G44" s="15">
        <f t="shared" si="0"/>
        <v>1.1967023259586531</v>
      </c>
      <c r="H44" s="15">
        <f t="shared" si="1"/>
        <v>-1.0939389041252043</v>
      </c>
    </row>
    <row r="45" spans="1:8" x14ac:dyDescent="0.25">
      <c r="A45" s="15">
        <v>39</v>
      </c>
      <c r="B45" s="15">
        <v>1998</v>
      </c>
      <c r="C45" s="21">
        <v>94389.445994023205</v>
      </c>
      <c r="D45" s="17">
        <v>26781.8183566925</v>
      </c>
      <c r="E45" s="15">
        <f t="shared" ref="E45:E63" si="4">C45/$C$4</f>
        <v>0.31463148664674401</v>
      </c>
      <c r="F45" s="15">
        <f t="shared" ref="F45:F63" si="5">$D$4*(4*hs*E45)/((1-hs)+(5*hs-1)*E45)</f>
        <v>79271.145601793338</v>
      </c>
      <c r="G45" s="15">
        <f t="shared" ref="G45:G63" si="6">LN(F45/D45)^2</f>
        <v>1.1775526079006404</v>
      </c>
      <c r="H45" s="15">
        <f t="shared" ref="H45:H63" si="7">LN(D45/F45)</f>
        <v>-1.0851509608808541</v>
      </c>
    </row>
    <row r="46" spans="1:8" x14ac:dyDescent="0.25">
      <c r="A46" s="15">
        <v>40</v>
      </c>
      <c r="B46" s="15">
        <v>1999</v>
      </c>
      <c r="C46" s="21">
        <v>106864.82396771516</v>
      </c>
      <c r="D46" s="17">
        <v>32293.783923694798</v>
      </c>
      <c r="E46" s="15">
        <f t="shared" si="4"/>
        <v>0.35621607989238385</v>
      </c>
      <c r="F46" s="15">
        <f t="shared" si="5"/>
        <v>87623.241966295813</v>
      </c>
      <c r="G46" s="15">
        <f t="shared" si="6"/>
        <v>0.99634638029690448</v>
      </c>
      <c r="H46" s="15">
        <f t="shared" si="7"/>
        <v>-0.99817151847611063</v>
      </c>
    </row>
    <row r="47" spans="1:8" x14ac:dyDescent="0.25">
      <c r="A47" s="15">
        <v>41</v>
      </c>
      <c r="B47" s="15">
        <v>2000</v>
      </c>
      <c r="C47" s="21">
        <v>117423.54598709266</v>
      </c>
      <c r="D47" s="17">
        <v>35827.858559644497</v>
      </c>
      <c r="E47" s="15">
        <f t="shared" si="4"/>
        <v>0.39141181995697555</v>
      </c>
      <c r="F47" s="15">
        <f t="shared" si="5"/>
        <v>94389.187532252894</v>
      </c>
      <c r="G47" s="15">
        <f t="shared" si="6"/>
        <v>0.93838117190477766</v>
      </c>
      <c r="H47" s="15">
        <f t="shared" si="7"/>
        <v>-0.9687007648932553</v>
      </c>
    </row>
    <row r="48" spans="1:8" x14ac:dyDescent="0.25">
      <c r="A48" s="15">
        <v>42</v>
      </c>
      <c r="B48" s="15">
        <v>2001</v>
      </c>
      <c r="C48" s="21">
        <v>126325.08404799785</v>
      </c>
      <c r="D48" s="17">
        <v>37107.068715100897</v>
      </c>
      <c r="E48" s="15">
        <f t="shared" si="4"/>
        <v>0.42108361349332618</v>
      </c>
      <c r="F48" s="15">
        <f t="shared" si="5"/>
        <v>99890.043313370115</v>
      </c>
      <c r="G48" s="15">
        <f t="shared" si="6"/>
        <v>0.98061988086838892</v>
      </c>
      <c r="H48" s="15">
        <f t="shared" si="7"/>
        <v>-0.99026253128571373</v>
      </c>
    </row>
    <row r="49" spans="1:8" x14ac:dyDescent="0.25">
      <c r="A49" s="15">
        <v>43</v>
      </c>
      <c r="B49" s="15">
        <v>2002</v>
      </c>
      <c r="C49" s="21">
        <v>138351.0431056376</v>
      </c>
      <c r="D49" s="17">
        <v>41362.808258677898</v>
      </c>
      <c r="E49" s="15">
        <f t="shared" si="4"/>
        <v>0.46117014368545867</v>
      </c>
      <c r="F49" s="15">
        <f t="shared" si="5"/>
        <v>107043.14312586976</v>
      </c>
      <c r="G49" s="15">
        <f t="shared" si="6"/>
        <v>0.90411540709818516</v>
      </c>
      <c r="H49" s="15">
        <f t="shared" si="7"/>
        <v>-0.95084983414742474</v>
      </c>
    </row>
    <row r="50" spans="1:8" x14ac:dyDescent="0.25">
      <c r="A50" s="15">
        <v>44</v>
      </c>
      <c r="B50" s="15">
        <v>2003</v>
      </c>
      <c r="C50" s="21">
        <v>144796.36101794688</v>
      </c>
      <c r="D50" s="17">
        <v>40838.623361729398</v>
      </c>
      <c r="E50" s="15">
        <f t="shared" si="4"/>
        <v>0.48265453672648961</v>
      </c>
      <c r="F50" s="15">
        <f t="shared" si="5"/>
        <v>110751.47128606484</v>
      </c>
      <c r="G50" s="15">
        <f t="shared" si="6"/>
        <v>0.99532629157756058</v>
      </c>
      <c r="H50" s="15">
        <f t="shared" si="7"/>
        <v>-0.99766040894562946</v>
      </c>
    </row>
    <row r="51" spans="1:8" x14ac:dyDescent="0.25">
      <c r="A51" s="15">
        <v>45</v>
      </c>
      <c r="B51" s="15">
        <v>2004</v>
      </c>
      <c r="C51" s="21">
        <v>162488.229157572</v>
      </c>
      <c r="D51" s="17">
        <v>51435.066269995797</v>
      </c>
      <c r="E51" s="15">
        <f t="shared" si="4"/>
        <v>0.54162743052523998</v>
      </c>
      <c r="F51" s="15">
        <f t="shared" si="5"/>
        <v>120508.72701340426</v>
      </c>
      <c r="G51" s="15">
        <f t="shared" si="6"/>
        <v>0.72488538374168365</v>
      </c>
      <c r="H51" s="15">
        <f t="shared" si="7"/>
        <v>-0.85140201065165677</v>
      </c>
    </row>
    <row r="52" spans="1:8" x14ac:dyDescent="0.25">
      <c r="A52" s="15">
        <v>46</v>
      </c>
      <c r="B52" s="15">
        <v>2005</v>
      </c>
      <c r="C52" s="21">
        <v>173998.70256375259</v>
      </c>
      <c r="D52" s="17">
        <v>51919.645341588403</v>
      </c>
      <c r="E52" s="15">
        <f t="shared" si="4"/>
        <v>0.57999567521250861</v>
      </c>
      <c r="F52" s="15">
        <f t="shared" si="5"/>
        <v>126544.7873591501</v>
      </c>
      <c r="G52" s="15">
        <f t="shared" si="6"/>
        <v>0.79370112489403855</v>
      </c>
      <c r="H52" s="15">
        <f t="shared" si="7"/>
        <v>-0.89089905426711413</v>
      </c>
    </row>
    <row r="53" spans="1:8" x14ac:dyDescent="0.25">
      <c r="A53" s="15">
        <v>47</v>
      </c>
      <c r="B53" s="15">
        <v>2006</v>
      </c>
      <c r="C53" s="21">
        <v>186904.95200724844</v>
      </c>
      <c r="D53" s="17">
        <v>55299.738542690699</v>
      </c>
      <c r="E53" s="15">
        <f t="shared" si="4"/>
        <v>0.6230165066908282</v>
      </c>
      <c r="F53" s="15">
        <f t="shared" si="5"/>
        <v>133040.50164706353</v>
      </c>
      <c r="G53" s="15">
        <f t="shared" si="6"/>
        <v>0.77068281940834682</v>
      </c>
      <c r="H53" s="15">
        <f t="shared" si="7"/>
        <v>-0.87788542498913091</v>
      </c>
    </row>
    <row r="54" spans="1:8" x14ac:dyDescent="0.25">
      <c r="A54" s="15">
        <v>48</v>
      </c>
      <c r="B54" s="15">
        <v>2007</v>
      </c>
      <c r="C54" s="21">
        <v>200752.6914524259</v>
      </c>
      <c r="D54" s="17">
        <v>59813.619228104501</v>
      </c>
      <c r="E54" s="15">
        <f t="shared" si="4"/>
        <v>0.66917563817475301</v>
      </c>
      <c r="F54" s="15">
        <f t="shared" si="5"/>
        <v>139709.68455171739</v>
      </c>
      <c r="G54" s="15">
        <f t="shared" si="6"/>
        <v>0.71966922919132903</v>
      </c>
      <c r="H54" s="15">
        <f t="shared" si="7"/>
        <v>-0.84833320646508292</v>
      </c>
    </row>
    <row r="55" spans="1:8" x14ac:dyDescent="0.25">
      <c r="A55" s="15">
        <v>49</v>
      </c>
      <c r="B55" s="15">
        <v>2008</v>
      </c>
      <c r="C55" s="21">
        <v>210324.56745443845</v>
      </c>
      <c r="D55" s="17">
        <v>61308.596721292102</v>
      </c>
      <c r="E55" s="15">
        <f t="shared" si="4"/>
        <v>0.70108189151479483</v>
      </c>
      <c r="F55" s="15">
        <f t="shared" si="5"/>
        <v>144148.29729270394</v>
      </c>
      <c r="G55" s="15">
        <f t="shared" si="6"/>
        <v>0.73089254718003593</v>
      </c>
      <c r="H55" s="15">
        <f t="shared" si="7"/>
        <v>-0.8549225387016276</v>
      </c>
    </row>
    <row r="56" spans="1:8" x14ac:dyDescent="0.25">
      <c r="A56" s="15">
        <v>50</v>
      </c>
      <c r="B56" s="15">
        <v>2009</v>
      </c>
      <c r="C56" s="21">
        <v>225668.57895272307</v>
      </c>
      <c r="D56" s="17">
        <v>66587.184908580501</v>
      </c>
      <c r="E56" s="15">
        <f t="shared" si="4"/>
        <v>0.75222859650907692</v>
      </c>
      <c r="F56" s="15">
        <f t="shared" si="5"/>
        <v>150988.95824496157</v>
      </c>
      <c r="G56" s="15">
        <f t="shared" si="6"/>
        <v>0.67026079844689646</v>
      </c>
      <c r="H56" s="15">
        <f t="shared" si="7"/>
        <v>-0.81869456969427634</v>
      </c>
    </row>
    <row r="57" spans="1:8" x14ac:dyDescent="0.25">
      <c r="A57" s="15">
        <v>51</v>
      </c>
      <c r="B57" s="15">
        <v>2010</v>
      </c>
      <c r="C57" s="21">
        <v>240024.95297099391</v>
      </c>
      <c r="D57" s="17">
        <v>72946.0068058467</v>
      </c>
      <c r="E57" s="15">
        <f t="shared" si="4"/>
        <v>0.80008317656997974</v>
      </c>
      <c r="F57" s="15">
        <f t="shared" si="5"/>
        <v>157101.30233216542</v>
      </c>
      <c r="G57" s="15">
        <f t="shared" si="6"/>
        <v>0.58855180410820218</v>
      </c>
      <c r="H57" s="15">
        <f t="shared" si="7"/>
        <v>-0.76717130036791781</v>
      </c>
    </row>
    <row r="58" spans="1:8" x14ac:dyDescent="0.25">
      <c r="A58" s="15">
        <v>52</v>
      </c>
      <c r="B58" s="15">
        <v>2011</v>
      </c>
      <c r="C58" s="21">
        <v>246470.65507871917</v>
      </c>
      <c r="D58" s="17">
        <v>65173.359838210898</v>
      </c>
      <c r="E58" s="15">
        <f t="shared" si="4"/>
        <v>0.82156885026239723</v>
      </c>
      <c r="F58" s="15">
        <f t="shared" si="5"/>
        <v>159759.95669521342</v>
      </c>
      <c r="G58" s="15">
        <f t="shared" si="6"/>
        <v>0.80393033671068304</v>
      </c>
      <c r="H58" s="15">
        <f t="shared" si="7"/>
        <v>-0.89662162404811696</v>
      </c>
    </row>
    <row r="59" spans="1:8" x14ac:dyDescent="0.25">
      <c r="A59" s="15">
        <v>53</v>
      </c>
      <c r="B59" s="15">
        <v>2012</v>
      </c>
      <c r="C59" s="21">
        <v>267732.03309071437</v>
      </c>
      <c r="D59" s="17">
        <v>81217.242308057102</v>
      </c>
      <c r="E59" s="15">
        <f t="shared" si="4"/>
        <v>0.89244011030238124</v>
      </c>
      <c r="F59" s="15">
        <f t="shared" si="5"/>
        <v>168176.31392768439</v>
      </c>
      <c r="G59" s="15">
        <f t="shared" si="6"/>
        <v>0.52981708044405318</v>
      </c>
      <c r="H59" s="15">
        <f t="shared" si="7"/>
        <v>-0.72788534841968977</v>
      </c>
    </row>
    <row r="60" spans="1:8" x14ac:dyDescent="0.25">
      <c r="A60" s="15">
        <v>54</v>
      </c>
      <c r="B60" s="15">
        <v>2013</v>
      </c>
      <c r="C60" s="21">
        <v>273135.21516351576</v>
      </c>
      <c r="D60" s="17">
        <v>83240.934008447104</v>
      </c>
      <c r="E60" s="15">
        <f t="shared" si="4"/>
        <v>0.91045071721171922</v>
      </c>
      <c r="F60" s="15">
        <f t="shared" si="5"/>
        <v>170232.89304786373</v>
      </c>
      <c r="G60" s="15">
        <f t="shared" si="6"/>
        <v>0.51183756156223004</v>
      </c>
      <c r="H60" s="15">
        <f t="shared" si="7"/>
        <v>-0.71542823648653264</v>
      </c>
    </row>
    <row r="61" spans="1:8" x14ac:dyDescent="0.25">
      <c r="A61" s="15">
        <v>55</v>
      </c>
      <c r="B61" s="15">
        <v>2014</v>
      </c>
      <c r="C61" s="21">
        <v>292307.36113668553</v>
      </c>
      <c r="D61" s="17">
        <v>93867.562911376604</v>
      </c>
      <c r="E61" s="15">
        <f t="shared" si="4"/>
        <v>0.97435787045561839</v>
      </c>
      <c r="F61" s="15">
        <f t="shared" si="5"/>
        <v>177278.49928370558</v>
      </c>
      <c r="G61" s="15">
        <f t="shared" si="6"/>
        <v>0.40428876007812875</v>
      </c>
      <c r="H61" s="15">
        <f t="shared" si="7"/>
        <v>-0.63583705465954776</v>
      </c>
    </row>
    <row r="62" spans="1:8" x14ac:dyDescent="0.25">
      <c r="A62" s="15">
        <v>56</v>
      </c>
      <c r="B62" s="15">
        <v>2015</v>
      </c>
      <c r="C62" s="21">
        <v>301923.9181195859</v>
      </c>
      <c r="D62" s="17">
        <v>96550.523837493005</v>
      </c>
      <c r="E62" s="15">
        <f t="shared" si="4"/>
        <v>1.0064130603986197</v>
      </c>
      <c r="F62" s="15">
        <f t="shared" si="5"/>
        <v>180671.57681573773</v>
      </c>
      <c r="G62" s="15">
        <f t="shared" si="6"/>
        <v>0.39264567638379805</v>
      </c>
      <c r="H62" s="15">
        <f t="shared" si="7"/>
        <v>-0.6266144559326714</v>
      </c>
    </row>
    <row r="63" spans="1:8" x14ac:dyDescent="0.25">
      <c r="A63" s="15">
        <v>57</v>
      </c>
      <c r="B63" s="15">
        <v>2016</v>
      </c>
      <c r="C63" s="21">
        <v>313447.88058587024</v>
      </c>
      <c r="D63" s="24">
        <v>100288.12296273401</v>
      </c>
      <c r="E63" s="15">
        <f t="shared" si="4"/>
        <v>1.0448262686195675</v>
      </c>
      <c r="F63" s="15">
        <f t="shared" si="5"/>
        <v>184620.4590637474</v>
      </c>
      <c r="G63" s="15">
        <f t="shared" si="6"/>
        <v>0.37241100912080632</v>
      </c>
      <c r="H63" s="15">
        <f t="shared" si="7"/>
        <v>-0.61025487226306219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U61"/>
  <sheetViews>
    <sheetView topLeftCell="B19" workbookViewId="0">
      <selection activeCell="I61" sqref="I61"/>
    </sheetView>
  </sheetViews>
  <sheetFormatPr defaultRowHeight="15" x14ac:dyDescent="0.25"/>
  <sheetData>
    <row r="1" spans="1:307" s="15" customFormat="1" x14ac:dyDescent="0.25">
      <c r="A1" s="15" t="s">
        <v>129</v>
      </c>
      <c r="B1" s="15" t="s">
        <v>294</v>
      </c>
      <c r="C1" s="15" t="s">
        <v>272</v>
      </c>
      <c r="D1" s="15" t="s">
        <v>273</v>
      </c>
      <c r="E1" s="15" t="s">
        <v>274</v>
      </c>
      <c r="F1" s="15" t="s">
        <v>275</v>
      </c>
      <c r="G1" s="15" t="s">
        <v>276</v>
      </c>
      <c r="H1" s="15" t="s">
        <v>277</v>
      </c>
      <c r="I1" s="15" t="s">
        <v>118</v>
      </c>
      <c r="J1" s="15" t="s">
        <v>278</v>
      </c>
      <c r="K1" s="15" t="s">
        <v>279</v>
      </c>
      <c r="L1" s="15" t="s">
        <v>280</v>
      </c>
    </row>
    <row r="2" spans="1:307" x14ac:dyDescent="0.25">
      <c r="A2" s="49">
        <v>1960</v>
      </c>
      <c r="B2" s="49">
        <v>0</v>
      </c>
      <c r="C2" s="49">
        <v>0</v>
      </c>
      <c r="D2" s="49">
        <v>0</v>
      </c>
      <c r="E2" s="49">
        <v>0</v>
      </c>
      <c r="F2" s="49">
        <v>0</v>
      </c>
      <c r="G2" s="49">
        <v>0</v>
      </c>
      <c r="H2" s="46">
        <f>SUM(B2:G2)</f>
        <v>0</v>
      </c>
      <c r="I2" s="17"/>
      <c r="N2">
        <v>1960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1961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1962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1963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1964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1965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1966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1967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1968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1969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1970</v>
      </c>
      <c r="CG2">
        <v>43</v>
      </c>
      <c r="CH2">
        <v>2</v>
      </c>
      <c r="CI2">
        <v>0</v>
      </c>
      <c r="CJ2">
        <v>0</v>
      </c>
      <c r="CK2">
        <v>0</v>
      </c>
      <c r="CL2">
        <v>0</v>
      </c>
      <c r="CM2">
        <v>1971</v>
      </c>
      <c r="CN2">
        <v>1</v>
      </c>
      <c r="CO2">
        <v>12</v>
      </c>
      <c r="CP2">
        <v>0</v>
      </c>
      <c r="CQ2">
        <v>0</v>
      </c>
      <c r="CR2">
        <v>0</v>
      </c>
      <c r="CS2">
        <v>0</v>
      </c>
      <c r="CT2">
        <v>1972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1973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1974</v>
      </c>
      <c r="DI2">
        <v>0</v>
      </c>
      <c r="DJ2">
        <v>2</v>
      </c>
      <c r="DK2">
        <v>0</v>
      </c>
      <c r="DL2">
        <v>0</v>
      </c>
      <c r="DM2">
        <v>0</v>
      </c>
      <c r="DN2">
        <v>0</v>
      </c>
      <c r="DO2">
        <v>1975</v>
      </c>
      <c r="DP2">
        <v>22</v>
      </c>
      <c r="DQ2">
        <v>0</v>
      </c>
      <c r="DR2">
        <v>0</v>
      </c>
      <c r="DS2">
        <v>0</v>
      </c>
      <c r="DT2">
        <v>0</v>
      </c>
      <c r="DU2">
        <v>0</v>
      </c>
      <c r="DV2">
        <v>1976</v>
      </c>
      <c r="DW2">
        <v>0</v>
      </c>
      <c r="DX2">
        <v>9</v>
      </c>
      <c r="DY2">
        <v>0</v>
      </c>
      <c r="DZ2">
        <v>0</v>
      </c>
      <c r="EA2">
        <v>0</v>
      </c>
      <c r="EB2">
        <v>0</v>
      </c>
      <c r="EC2">
        <v>1977</v>
      </c>
      <c r="ED2">
        <v>0</v>
      </c>
      <c r="EE2">
        <v>69</v>
      </c>
      <c r="EF2">
        <v>0</v>
      </c>
      <c r="EG2">
        <v>0</v>
      </c>
      <c r="EH2">
        <v>0</v>
      </c>
      <c r="EI2">
        <v>0</v>
      </c>
      <c r="EJ2">
        <v>1978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1979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1980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1981</v>
      </c>
      <c r="FF2">
        <v>0</v>
      </c>
      <c r="FG2">
        <v>69</v>
      </c>
      <c r="FH2">
        <v>0</v>
      </c>
      <c r="FI2">
        <v>0</v>
      </c>
      <c r="FJ2">
        <v>0</v>
      </c>
      <c r="FK2">
        <v>0</v>
      </c>
      <c r="FL2">
        <v>1982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1983</v>
      </c>
      <c r="FT2">
        <v>0</v>
      </c>
      <c r="FU2">
        <v>214</v>
      </c>
      <c r="FV2">
        <v>0</v>
      </c>
      <c r="FW2">
        <v>0</v>
      </c>
      <c r="FX2">
        <v>0</v>
      </c>
      <c r="FY2">
        <v>0</v>
      </c>
      <c r="FZ2">
        <v>1984</v>
      </c>
      <c r="GA2">
        <v>0</v>
      </c>
      <c r="GB2">
        <v>20</v>
      </c>
      <c r="GC2">
        <v>0</v>
      </c>
      <c r="GD2">
        <v>0</v>
      </c>
      <c r="GE2">
        <v>0</v>
      </c>
      <c r="GF2">
        <v>0</v>
      </c>
      <c r="GG2">
        <v>1985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1986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1987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1988</v>
      </c>
      <c r="HC2">
        <v>0</v>
      </c>
      <c r="HD2">
        <v>46</v>
      </c>
      <c r="HE2">
        <v>0</v>
      </c>
      <c r="HF2">
        <v>0</v>
      </c>
      <c r="HG2">
        <v>0</v>
      </c>
      <c r="HH2">
        <v>0</v>
      </c>
      <c r="HI2">
        <v>1989</v>
      </c>
      <c r="HJ2">
        <v>0</v>
      </c>
      <c r="HK2">
        <v>477</v>
      </c>
      <c r="HL2">
        <v>0</v>
      </c>
      <c r="HM2">
        <v>0</v>
      </c>
      <c r="HN2">
        <v>0</v>
      </c>
      <c r="HO2">
        <v>0</v>
      </c>
      <c r="HP2">
        <v>1990</v>
      </c>
      <c r="HQ2">
        <v>0</v>
      </c>
      <c r="HR2">
        <v>197</v>
      </c>
      <c r="HS2">
        <v>0</v>
      </c>
      <c r="HT2">
        <v>0</v>
      </c>
      <c r="HU2">
        <v>0</v>
      </c>
      <c r="HV2">
        <v>0</v>
      </c>
      <c r="HW2">
        <v>1991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1992</v>
      </c>
      <c r="IE2">
        <v>0</v>
      </c>
      <c r="IF2">
        <v>6</v>
      </c>
      <c r="IG2">
        <v>0</v>
      </c>
      <c r="IH2">
        <v>0</v>
      </c>
      <c r="II2">
        <v>0</v>
      </c>
      <c r="IJ2">
        <v>0</v>
      </c>
      <c r="IK2">
        <v>1993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1994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1995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1996</v>
      </c>
      <c r="JG2">
        <v>0</v>
      </c>
      <c r="JH2">
        <v>24</v>
      </c>
      <c r="JI2">
        <v>0</v>
      </c>
      <c r="JJ2">
        <v>0</v>
      </c>
      <c r="JK2">
        <v>0</v>
      </c>
      <c r="JL2">
        <v>0</v>
      </c>
      <c r="JM2">
        <v>1997</v>
      </c>
      <c r="JN2">
        <v>0</v>
      </c>
      <c r="JO2">
        <v>7</v>
      </c>
      <c r="JP2">
        <v>0</v>
      </c>
      <c r="JQ2">
        <v>0</v>
      </c>
      <c r="JR2">
        <v>0</v>
      </c>
      <c r="JS2">
        <v>0</v>
      </c>
      <c r="JT2">
        <v>1998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1999</v>
      </c>
      <c r="KB2">
        <v>1638</v>
      </c>
      <c r="KC2">
        <v>0</v>
      </c>
      <c r="KD2">
        <v>0</v>
      </c>
      <c r="KE2">
        <v>0</v>
      </c>
      <c r="KF2">
        <v>0</v>
      </c>
      <c r="KG2">
        <v>0</v>
      </c>
      <c r="KH2">
        <v>2000</v>
      </c>
      <c r="KI2">
        <v>1743</v>
      </c>
      <c r="KJ2">
        <v>0</v>
      </c>
      <c r="KK2">
        <v>0</v>
      </c>
      <c r="KL2">
        <v>0</v>
      </c>
      <c r="KM2">
        <v>0</v>
      </c>
      <c r="KN2">
        <v>0</v>
      </c>
      <c r="KO2">
        <v>2001</v>
      </c>
      <c r="KP2">
        <v>1820</v>
      </c>
      <c r="KQ2">
        <v>0</v>
      </c>
      <c r="KR2">
        <v>0</v>
      </c>
      <c r="KS2">
        <v>0</v>
      </c>
      <c r="KT2">
        <v>0</v>
      </c>
      <c r="KU2">
        <v>0</v>
      </c>
    </row>
    <row r="3" spans="1:307" x14ac:dyDescent="0.25">
      <c r="A3" s="49">
        <v>1961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6">
        <f t="shared" ref="H3:H55" si="0">SUM(B3:G3)</f>
        <v>0</v>
      </c>
      <c r="I3" s="17"/>
      <c r="J3" s="15"/>
      <c r="K3" s="15"/>
    </row>
    <row r="4" spans="1:307" x14ac:dyDescent="0.25">
      <c r="A4" s="49">
        <v>1962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6">
        <f t="shared" si="0"/>
        <v>0</v>
      </c>
      <c r="I4" s="17"/>
      <c r="J4" s="15"/>
      <c r="K4" s="15"/>
      <c r="N4" s="33">
        <v>1960</v>
      </c>
      <c r="O4" s="33">
        <v>1961</v>
      </c>
      <c r="P4" s="33">
        <v>1962</v>
      </c>
      <c r="Q4" s="33">
        <v>1963</v>
      </c>
      <c r="R4" s="33">
        <v>1964</v>
      </c>
      <c r="S4" s="33">
        <v>1965</v>
      </c>
      <c r="T4" s="33">
        <v>1966</v>
      </c>
      <c r="U4" s="33">
        <v>1967</v>
      </c>
      <c r="V4" s="33">
        <v>1968</v>
      </c>
      <c r="W4" s="33">
        <v>1969</v>
      </c>
      <c r="X4" s="33">
        <v>1970</v>
      </c>
      <c r="Y4" s="33">
        <v>1971</v>
      </c>
      <c r="Z4" s="33">
        <v>1972</v>
      </c>
      <c r="AA4" s="33">
        <v>1973</v>
      </c>
      <c r="AB4" s="33">
        <v>1974</v>
      </c>
      <c r="AC4" s="33">
        <v>1975</v>
      </c>
      <c r="AD4" s="33">
        <v>1976</v>
      </c>
      <c r="AE4" s="33">
        <v>1977</v>
      </c>
      <c r="AF4" s="33">
        <v>1978</v>
      </c>
      <c r="AG4" s="33">
        <v>1979</v>
      </c>
      <c r="AH4" s="33">
        <v>1980</v>
      </c>
      <c r="AI4" s="33">
        <v>1981</v>
      </c>
      <c r="AJ4" s="33">
        <v>1982</v>
      </c>
      <c r="AK4" s="33">
        <v>1983</v>
      </c>
      <c r="AL4" s="33">
        <v>1984</v>
      </c>
      <c r="AM4" s="33">
        <v>1985</v>
      </c>
      <c r="AN4" s="33">
        <v>1986</v>
      </c>
      <c r="AO4" s="33">
        <v>1987</v>
      </c>
      <c r="AP4" s="33">
        <v>1988</v>
      </c>
      <c r="AQ4" s="33">
        <v>1989</v>
      </c>
      <c r="AR4" s="33">
        <v>1990</v>
      </c>
      <c r="AS4" s="33">
        <v>1991</v>
      </c>
      <c r="AT4" s="33">
        <v>1992</v>
      </c>
      <c r="AU4" s="33">
        <v>1993</v>
      </c>
      <c r="AV4" s="33">
        <v>1994</v>
      </c>
      <c r="AW4" s="33">
        <v>1995</v>
      </c>
      <c r="AX4" s="33">
        <v>1996</v>
      </c>
      <c r="AY4" s="33">
        <v>1997</v>
      </c>
      <c r="AZ4" s="33">
        <v>1998</v>
      </c>
      <c r="BA4" s="33">
        <v>1999</v>
      </c>
      <c r="BB4" s="33">
        <v>2000</v>
      </c>
      <c r="BC4" s="33">
        <v>2001</v>
      </c>
    </row>
    <row r="5" spans="1:307" x14ac:dyDescent="0.25">
      <c r="A5" s="49">
        <v>1963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6">
        <f t="shared" si="0"/>
        <v>0</v>
      </c>
      <c r="I5" s="17"/>
      <c r="J5" s="15"/>
      <c r="K5" s="15"/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43</v>
      </c>
      <c r="Y5" s="33">
        <v>1</v>
      </c>
      <c r="Z5" s="33">
        <v>0</v>
      </c>
      <c r="AA5" s="33">
        <v>0</v>
      </c>
      <c r="AB5" s="33">
        <v>0</v>
      </c>
      <c r="AC5" s="33">
        <v>22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1638</v>
      </c>
      <c r="BB5" s="33">
        <v>1743</v>
      </c>
      <c r="BC5" s="33">
        <v>1820</v>
      </c>
    </row>
    <row r="6" spans="1:307" x14ac:dyDescent="0.25">
      <c r="A6" s="49">
        <v>1964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6">
        <f t="shared" si="0"/>
        <v>0</v>
      </c>
      <c r="I6" s="17"/>
      <c r="J6" s="15"/>
      <c r="K6" s="15"/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2</v>
      </c>
      <c r="Y6" s="33">
        <v>12</v>
      </c>
      <c r="Z6" s="33">
        <v>0</v>
      </c>
      <c r="AA6" s="33">
        <v>0</v>
      </c>
      <c r="AB6" s="33">
        <v>2</v>
      </c>
      <c r="AC6" s="33">
        <v>0</v>
      </c>
      <c r="AD6" s="33">
        <v>9</v>
      </c>
      <c r="AE6" s="33">
        <v>69</v>
      </c>
      <c r="AF6" s="33">
        <v>0</v>
      </c>
      <c r="AG6" s="33">
        <v>0</v>
      </c>
      <c r="AH6" s="33">
        <v>0</v>
      </c>
      <c r="AI6" s="33">
        <v>69</v>
      </c>
      <c r="AJ6" s="33">
        <v>0</v>
      </c>
      <c r="AK6" s="33">
        <v>214</v>
      </c>
      <c r="AL6" s="33">
        <v>20</v>
      </c>
      <c r="AM6" s="33">
        <v>0</v>
      </c>
      <c r="AN6" s="33">
        <v>0</v>
      </c>
      <c r="AO6" s="33">
        <v>0</v>
      </c>
      <c r="AP6" s="33">
        <v>46</v>
      </c>
      <c r="AQ6" s="33">
        <v>477</v>
      </c>
      <c r="AR6" s="33">
        <v>197</v>
      </c>
      <c r="AS6" s="33">
        <v>0</v>
      </c>
      <c r="AT6" s="33">
        <v>6</v>
      </c>
      <c r="AU6" s="33">
        <v>0</v>
      </c>
      <c r="AV6" s="33">
        <v>0</v>
      </c>
      <c r="AW6" s="33">
        <v>0</v>
      </c>
      <c r="AX6" s="33">
        <v>24</v>
      </c>
      <c r="AY6" s="33">
        <v>7</v>
      </c>
      <c r="AZ6" s="33">
        <v>0</v>
      </c>
      <c r="BA6" s="33">
        <v>0</v>
      </c>
      <c r="BB6" s="33">
        <v>0</v>
      </c>
      <c r="BC6" s="33">
        <v>0</v>
      </c>
    </row>
    <row r="7" spans="1:307" x14ac:dyDescent="0.25">
      <c r="A7" s="49">
        <v>1965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6">
        <f t="shared" si="0"/>
        <v>0</v>
      </c>
      <c r="I7" s="17"/>
      <c r="J7" s="15"/>
      <c r="K7" s="15"/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</row>
    <row r="8" spans="1:307" x14ac:dyDescent="0.25">
      <c r="A8" s="49">
        <v>1966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6">
        <f t="shared" si="0"/>
        <v>0</v>
      </c>
      <c r="I8" s="17"/>
      <c r="J8" s="15"/>
      <c r="K8" s="15"/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</row>
    <row r="9" spans="1:307" x14ac:dyDescent="0.25">
      <c r="A9" s="49">
        <v>1967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6">
        <f t="shared" si="0"/>
        <v>0</v>
      </c>
      <c r="I9" s="17"/>
      <c r="J9" s="15"/>
      <c r="K9" s="15"/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  <c r="AP9" s="33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</row>
    <row r="10" spans="1:307" x14ac:dyDescent="0.25">
      <c r="A10" s="49">
        <v>1968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6">
        <f t="shared" si="0"/>
        <v>0</v>
      </c>
      <c r="I10" s="17"/>
      <c r="J10" s="15"/>
      <c r="K10" s="15"/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</row>
    <row r="11" spans="1:307" x14ac:dyDescent="0.25">
      <c r="A11" s="49">
        <v>1969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6">
        <f t="shared" si="0"/>
        <v>0</v>
      </c>
      <c r="I11" s="17"/>
      <c r="J11" s="15"/>
      <c r="K11" s="15"/>
    </row>
    <row r="12" spans="1:307" x14ac:dyDescent="0.25">
      <c r="A12" s="49">
        <v>1970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6">
        <f t="shared" si="0"/>
        <v>0</v>
      </c>
      <c r="I12" s="17"/>
      <c r="J12" s="15"/>
      <c r="K12" s="15"/>
      <c r="N12">
        <v>2002</v>
      </c>
      <c r="O12">
        <v>1953</v>
      </c>
      <c r="P12">
        <v>0</v>
      </c>
      <c r="Q12">
        <v>0</v>
      </c>
      <c r="R12">
        <v>0</v>
      </c>
      <c r="S12">
        <v>0</v>
      </c>
      <c r="T12">
        <v>0</v>
      </c>
      <c r="U12">
        <v>2003</v>
      </c>
      <c r="V12">
        <v>2079</v>
      </c>
      <c r="W12">
        <v>0</v>
      </c>
      <c r="X12">
        <v>0</v>
      </c>
      <c r="Y12">
        <v>0</v>
      </c>
      <c r="Z12">
        <v>0</v>
      </c>
      <c r="AA12">
        <v>0</v>
      </c>
      <c r="AB12">
        <v>2004</v>
      </c>
      <c r="AC12">
        <v>2660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2005</v>
      </c>
      <c r="AJ12">
        <v>2751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2006</v>
      </c>
      <c r="AQ12">
        <v>3437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2007</v>
      </c>
      <c r="AX12">
        <v>3373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2008</v>
      </c>
      <c r="BE12">
        <v>3018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2009</v>
      </c>
      <c r="BL12">
        <v>5218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2010</v>
      </c>
      <c r="BS12">
        <v>1853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2011</v>
      </c>
      <c r="BZ12">
        <v>1722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2012</v>
      </c>
      <c r="CG12">
        <v>5428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2013</v>
      </c>
      <c r="CN12">
        <v>3500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307" x14ac:dyDescent="0.25">
      <c r="A13" s="49">
        <v>1971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6">
        <f t="shared" si="0"/>
        <v>0</v>
      </c>
      <c r="I13" s="17"/>
      <c r="J13" s="15"/>
      <c r="K13" s="15"/>
    </row>
    <row r="14" spans="1:307" x14ac:dyDescent="0.25">
      <c r="A14" s="49">
        <v>1972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6">
        <f t="shared" si="0"/>
        <v>0</v>
      </c>
      <c r="I14" s="17"/>
      <c r="J14" s="15"/>
      <c r="K14" s="15"/>
      <c r="N14" s="33">
        <v>2002</v>
      </c>
      <c r="O14" s="33">
        <v>2003</v>
      </c>
      <c r="P14" s="33">
        <v>2004</v>
      </c>
      <c r="Q14" s="33">
        <v>2005</v>
      </c>
      <c r="R14" s="33">
        <v>2006</v>
      </c>
      <c r="S14" s="33">
        <v>2007</v>
      </c>
      <c r="T14" s="33">
        <v>2008</v>
      </c>
      <c r="U14" s="33">
        <v>2009</v>
      </c>
      <c r="V14" s="33">
        <v>2010</v>
      </c>
      <c r="W14" s="33">
        <v>2011</v>
      </c>
      <c r="X14" s="33">
        <v>2012</v>
      </c>
      <c r="Y14" s="33">
        <v>2013</v>
      </c>
    </row>
    <row r="15" spans="1:307" x14ac:dyDescent="0.25">
      <c r="A15" s="49">
        <v>1973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6">
        <f t="shared" si="0"/>
        <v>0</v>
      </c>
      <c r="I15" s="17"/>
      <c r="J15" s="15"/>
      <c r="K15" s="15"/>
      <c r="N15" s="33">
        <v>1953</v>
      </c>
      <c r="O15" s="33">
        <v>2079</v>
      </c>
      <c r="P15" s="33">
        <v>2660</v>
      </c>
      <c r="Q15" s="33">
        <v>2751</v>
      </c>
      <c r="R15" s="33">
        <v>3437</v>
      </c>
      <c r="S15" s="33">
        <v>3373</v>
      </c>
      <c r="T15" s="33">
        <v>3018</v>
      </c>
      <c r="U15" s="33">
        <v>5218</v>
      </c>
      <c r="V15" s="33">
        <v>1853</v>
      </c>
      <c r="W15" s="33">
        <v>1722</v>
      </c>
      <c r="X15" s="33">
        <v>5428</v>
      </c>
      <c r="Y15" s="33">
        <v>3500</v>
      </c>
    </row>
    <row r="16" spans="1:307" x14ac:dyDescent="0.25">
      <c r="A16" s="49">
        <v>1974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6">
        <f t="shared" si="0"/>
        <v>0</v>
      </c>
      <c r="I16" s="50"/>
      <c r="J16" s="45"/>
      <c r="K16" s="45"/>
      <c r="L16" s="45"/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</row>
    <row r="17" spans="1:25" x14ac:dyDescent="0.25">
      <c r="A17" s="33">
        <v>1975</v>
      </c>
      <c r="B17" s="47">
        <v>43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15">
        <f t="shared" si="0"/>
        <v>43</v>
      </c>
      <c r="I17" s="17">
        <v>519.57787133989029</v>
      </c>
      <c r="J17" s="15">
        <f>H17/I17</f>
        <v>8.2759490678676065E-2</v>
      </c>
      <c r="K17" s="15">
        <f t="shared" ref="K3:K55" si="1">-LOG(1-J17)</f>
        <v>3.7516773189569468E-2</v>
      </c>
      <c r="L17">
        <v>1.2129356692720296E-3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</row>
    <row r="18" spans="1:25" x14ac:dyDescent="0.25">
      <c r="A18" s="33">
        <v>1976</v>
      </c>
      <c r="B18" s="47">
        <v>26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15">
        <f t="shared" si="0"/>
        <v>26</v>
      </c>
      <c r="I18" s="17">
        <v>491.49207289832555</v>
      </c>
      <c r="J18" s="15">
        <f t="shared" ref="J3:J46" si="2">H18/I18</f>
        <v>5.2900141088091553E-2</v>
      </c>
      <c r="K18" s="15">
        <f t="shared" si="1"/>
        <v>2.3604228084334121E-2</v>
      </c>
      <c r="L18">
        <v>4.4391444630402488E-4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</row>
    <row r="19" spans="1:25" x14ac:dyDescent="0.25">
      <c r="A19" s="33">
        <v>1977</v>
      </c>
      <c r="B19" s="47">
        <v>49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15">
        <f t="shared" si="0"/>
        <v>49</v>
      </c>
      <c r="I19" s="17">
        <v>480.68161958414885</v>
      </c>
      <c r="J19" s="15">
        <f t="shared" si="2"/>
        <v>0.10193857639572587</v>
      </c>
      <c r="K19" s="15">
        <f t="shared" si="1"/>
        <v>4.6693958410520174E-2</v>
      </c>
      <c r="L19">
        <v>3.0524832584334382E-3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</row>
    <row r="20" spans="1:25" x14ac:dyDescent="0.25">
      <c r="A20" s="33">
        <v>1978</v>
      </c>
      <c r="B20" s="47">
        <v>44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15">
        <f t="shared" si="0"/>
        <v>44</v>
      </c>
      <c r="I20" s="17">
        <v>458.92672235227519</v>
      </c>
      <c r="J20" s="15">
        <f t="shared" si="2"/>
        <v>9.5875872676303445E-2</v>
      </c>
      <c r="K20" s="15">
        <f t="shared" si="1"/>
        <v>4.3771941083198554E-2</v>
      </c>
      <c r="L20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</row>
    <row r="21" spans="1:25" x14ac:dyDescent="0.25">
      <c r="A21" s="33">
        <v>1979</v>
      </c>
      <c r="B21" s="47">
        <v>44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15">
        <f t="shared" si="0"/>
        <v>44</v>
      </c>
      <c r="I21" s="17">
        <v>446.88049661044835</v>
      </c>
      <c r="J21" s="15">
        <f t="shared" si="2"/>
        <v>9.8460327388947083E-2</v>
      </c>
      <c r="K21" s="15">
        <f t="shared" si="1"/>
        <v>4.5015157220048653E-2</v>
      </c>
      <c r="L21">
        <v>0</v>
      </c>
    </row>
    <row r="22" spans="1:25" x14ac:dyDescent="0.25">
      <c r="A22" s="33">
        <v>1980</v>
      </c>
      <c r="B22" s="47">
        <v>43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15">
        <f t="shared" si="0"/>
        <v>43</v>
      </c>
      <c r="I22" s="17">
        <v>442.57195911467682</v>
      </c>
      <c r="J22" s="15">
        <f t="shared" si="2"/>
        <v>9.7159341242534697E-2</v>
      </c>
      <c r="K22" s="15">
        <f t="shared" si="1"/>
        <v>4.4388891024938343E-2</v>
      </c>
      <c r="L22">
        <v>0</v>
      </c>
    </row>
    <row r="23" spans="1:25" x14ac:dyDescent="0.25">
      <c r="A23" s="33">
        <v>1981</v>
      </c>
      <c r="B23" s="47">
        <v>42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15">
        <f t="shared" si="0"/>
        <v>42</v>
      </c>
      <c r="I23" s="17">
        <v>449.06232519509086</v>
      </c>
      <c r="J23" s="15">
        <f t="shared" si="2"/>
        <v>9.3528220123461708E-2</v>
      </c>
      <c r="K23" s="15">
        <f t="shared" si="1"/>
        <v>4.2645711739095253E-2</v>
      </c>
      <c r="L23">
        <v>1.9587428599696865E-3</v>
      </c>
    </row>
    <row r="24" spans="1:25" x14ac:dyDescent="0.25">
      <c r="A24" s="33">
        <v>1982</v>
      </c>
      <c r="B24" s="47">
        <v>30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15">
        <f t="shared" si="0"/>
        <v>30</v>
      </c>
      <c r="I24" s="17">
        <v>485.89785092030769</v>
      </c>
      <c r="J24" s="15">
        <f t="shared" si="2"/>
        <v>6.1741372066534024E-2</v>
      </c>
      <c r="K24" s="15">
        <f t="shared" si="1"/>
        <v>2.76774332600268E-2</v>
      </c>
      <c r="L24">
        <v>0</v>
      </c>
    </row>
    <row r="25" spans="1:25" x14ac:dyDescent="0.25">
      <c r="A25" s="33">
        <v>1983</v>
      </c>
      <c r="B25" s="47">
        <v>35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15">
        <f t="shared" si="0"/>
        <v>35</v>
      </c>
      <c r="I25" s="17">
        <v>568.05230183185517</v>
      </c>
      <c r="J25" s="15">
        <f t="shared" si="2"/>
        <v>6.1614044846103069E-2</v>
      </c>
      <c r="K25" s="15">
        <f t="shared" si="1"/>
        <v>2.7618500940276489E-2</v>
      </c>
      <c r="L25">
        <v>4.9028682551721338E-3</v>
      </c>
    </row>
    <row r="26" spans="1:25" x14ac:dyDescent="0.25">
      <c r="A26" s="33">
        <v>1984</v>
      </c>
      <c r="B26" s="47">
        <v>36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15">
        <f t="shared" si="0"/>
        <v>36</v>
      </c>
      <c r="I26" s="17">
        <v>669.82246009532969</v>
      </c>
      <c r="J26" s="15">
        <f t="shared" si="2"/>
        <v>5.3745585053801344E-2</v>
      </c>
      <c r="K26" s="15">
        <f t="shared" si="1"/>
        <v>2.3992081196178371E-2</v>
      </c>
      <c r="L26">
        <v>4.1287510733166097E-4</v>
      </c>
    </row>
    <row r="27" spans="1:25" x14ac:dyDescent="0.25">
      <c r="A27" s="33">
        <v>1985</v>
      </c>
      <c r="B27" s="47">
        <v>46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15">
        <f t="shared" si="0"/>
        <v>46</v>
      </c>
      <c r="I27" s="17">
        <v>784.54292177431319</v>
      </c>
      <c r="J27" s="15">
        <f t="shared" si="2"/>
        <v>5.863286599535808E-2</v>
      </c>
      <c r="K27" s="15">
        <f t="shared" si="1"/>
        <v>2.6240968308567165E-2</v>
      </c>
      <c r="L27">
        <v>0</v>
      </c>
    </row>
    <row r="28" spans="1:25" x14ac:dyDescent="0.25">
      <c r="A28" s="33">
        <v>1986</v>
      </c>
      <c r="B28" s="47">
        <v>61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15">
        <f t="shared" si="0"/>
        <v>61</v>
      </c>
      <c r="I28" s="17">
        <v>843.53606508808662</v>
      </c>
      <c r="J28" s="15">
        <f t="shared" si="2"/>
        <v>7.2314631851134958E-2</v>
      </c>
      <c r="K28" s="15">
        <f t="shared" si="1"/>
        <v>3.2599293227169722E-2</v>
      </c>
      <c r="L28">
        <v>0</v>
      </c>
    </row>
    <row r="29" spans="1:25" x14ac:dyDescent="0.25">
      <c r="A29" s="33">
        <v>1987</v>
      </c>
      <c r="B29" s="47">
        <v>58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15">
        <f t="shared" si="0"/>
        <v>58</v>
      </c>
      <c r="I29" s="17">
        <v>828.80638208919447</v>
      </c>
      <c r="J29" s="15">
        <f t="shared" si="2"/>
        <v>6.9980156105697258E-2</v>
      </c>
      <c r="K29" s="15">
        <f t="shared" si="1"/>
        <v>3.1507784777406747E-2</v>
      </c>
      <c r="L29">
        <v>0</v>
      </c>
    </row>
    <row r="30" spans="1:25" x14ac:dyDescent="0.25">
      <c r="A30" s="33">
        <v>1988</v>
      </c>
      <c r="B30" s="47">
        <v>73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15">
        <f t="shared" si="0"/>
        <v>73</v>
      </c>
      <c r="I30" s="17">
        <v>777.74261028867147</v>
      </c>
      <c r="J30" s="15">
        <f t="shared" si="2"/>
        <v>9.3861386831955745E-2</v>
      </c>
      <c r="K30" s="15">
        <f t="shared" si="1"/>
        <v>4.2805362665998783E-2</v>
      </c>
      <c r="L30">
        <v>6.0808912370458696E-4</v>
      </c>
    </row>
    <row r="31" spans="1:25" x14ac:dyDescent="0.25">
      <c r="A31" s="33">
        <v>1989</v>
      </c>
      <c r="B31" s="47">
        <v>68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15">
        <f t="shared" si="0"/>
        <v>68</v>
      </c>
      <c r="I31" s="17">
        <v>681.13093481995622</v>
      </c>
      <c r="J31" s="15">
        <f t="shared" si="2"/>
        <v>9.9833962199902843E-2</v>
      </c>
      <c r="K31" s="15">
        <f t="shared" si="1"/>
        <v>4.5677376505571445E-2</v>
      </c>
      <c r="L31">
        <v>5.6996735467211056E-3</v>
      </c>
    </row>
    <row r="32" spans="1:25" x14ac:dyDescent="0.25">
      <c r="A32" s="33">
        <v>1990</v>
      </c>
      <c r="B32" s="47">
        <v>66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15">
        <f t="shared" si="0"/>
        <v>66</v>
      </c>
      <c r="I32" s="17">
        <v>578.47648904159405</v>
      </c>
      <c r="J32" s="15">
        <f t="shared" si="2"/>
        <v>0.11409279590489013</v>
      </c>
      <c r="K32" s="15">
        <f t="shared" si="1"/>
        <v>5.2611766668310023E-2</v>
      </c>
      <c r="L32">
        <v>2.1293045449109335E-3</v>
      </c>
    </row>
    <row r="33" spans="1:12" x14ac:dyDescent="0.25">
      <c r="A33" s="33">
        <v>1991</v>
      </c>
      <c r="B33" s="47">
        <v>53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15">
        <f t="shared" si="0"/>
        <v>53</v>
      </c>
      <c r="I33" s="17">
        <v>507.13138939838819</v>
      </c>
      <c r="J33" s="15">
        <f t="shared" si="2"/>
        <v>0.10450940546763254</v>
      </c>
      <c r="K33" s="15">
        <f t="shared" si="1"/>
        <v>4.7938971248946076E-2</v>
      </c>
      <c r="L33">
        <v>0</v>
      </c>
    </row>
    <row r="34" spans="1:12" x14ac:dyDescent="0.25">
      <c r="A34" s="33">
        <v>1992</v>
      </c>
      <c r="B34" s="47">
        <v>56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15">
        <f t="shared" si="0"/>
        <v>56</v>
      </c>
      <c r="I34" s="17">
        <v>484.70999224261431</v>
      </c>
      <c r="J34" s="15">
        <f t="shared" si="2"/>
        <v>0.11553300096188246</v>
      </c>
      <c r="K34" s="15">
        <f t="shared" si="1"/>
        <v>5.3318366714707882E-2</v>
      </c>
      <c r="L34">
        <v>5.2230711571770175E-5</v>
      </c>
    </row>
    <row r="35" spans="1:12" x14ac:dyDescent="0.25">
      <c r="A35" s="33">
        <v>1993</v>
      </c>
      <c r="B35" s="47">
        <v>69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15">
        <f t="shared" si="0"/>
        <v>69</v>
      </c>
      <c r="I35" s="17">
        <v>486.72055506401404</v>
      </c>
      <c r="J35" s="15">
        <f t="shared" si="2"/>
        <v>0.1417651243246241</v>
      </c>
      <c r="K35" s="15">
        <f t="shared" si="1"/>
        <v>6.6393841230033557E-2</v>
      </c>
      <c r="L35">
        <v>0</v>
      </c>
    </row>
    <row r="36" spans="1:12" x14ac:dyDescent="0.25">
      <c r="A36" s="33">
        <v>1994</v>
      </c>
      <c r="B36" s="47">
        <v>49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15">
        <f t="shared" si="0"/>
        <v>49</v>
      </c>
      <c r="I36" s="17">
        <v>480.10314384867468</v>
      </c>
      <c r="J36" s="15">
        <f t="shared" si="2"/>
        <v>0.10206140207122759</v>
      </c>
      <c r="K36" s="15">
        <f t="shared" si="1"/>
        <v>4.6753359872157195E-2</v>
      </c>
      <c r="L36">
        <v>0</v>
      </c>
    </row>
    <row r="37" spans="1:12" x14ac:dyDescent="0.25">
      <c r="A37" s="33">
        <v>1995</v>
      </c>
      <c r="B37" s="47">
        <v>49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15">
        <f t="shared" si="0"/>
        <v>49</v>
      </c>
      <c r="I37" s="17">
        <v>480.67571673799387</v>
      </c>
      <c r="J37" s="15">
        <f t="shared" si="2"/>
        <v>0.10193982823290584</v>
      </c>
      <c r="K37" s="15">
        <f t="shared" si="1"/>
        <v>4.6694563788219415E-2</v>
      </c>
      <c r="L37">
        <v>0</v>
      </c>
    </row>
    <row r="38" spans="1:12" x14ac:dyDescent="0.25">
      <c r="A38" s="33">
        <v>1996</v>
      </c>
      <c r="B38" s="47">
        <v>43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15">
        <f t="shared" si="0"/>
        <v>43</v>
      </c>
      <c r="I38" s="17">
        <v>463.84246208641105</v>
      </c>
      <c r="J38" s="15">
        <f t="shared" si="2"/>
        <v>9.2703888743996363E-2</v>
      </c>
      <c r="K38" s="15">
        <f t="shared" si="1"/>
        <v>4.2250950539758671E-2</v>
      </c>
      <c r="L38">
        <v>1.3481279370436395E-4</v>
      </c>
    </row>
    <row r="39" spans="1:12" x14ac:dyDescent="0.25">
      <c r="A39" s="33">
        <v>1997</v>
      </c>
      <c r="B39" s="48">
        <v>45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15">
        <f t="shared" si="0"/>
        <v>45</v>
      </c>
      <c r="I39" s="17">
        <v>437.54358416090844</v>
      </c>
      <c r="J39" s="15">
        <f t="shared" si="2"/>
        <v>0.10284689715265272</v>
      </c>
      <c r="K39" s="15">
        <f t="shared" si="1"/>
        <v>4.7133436501168045E-2</v>
      </c>
      <c r="L39">
        <v>3.5303730448304629E-5</v>
      </c>
    </row>
    <row r="40" spans="1:12" x14ac:dyDescent="0.25">
      <c r="A40" s="33">
        <v>1998</v>
      </c>
      <c r="B40" s="48">
        <v>40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15">
        <f t="shared" si="0"/>
        <v>40</v>
      </c>
      <c r="I40" s="17">
        <v>410.82297766360779</v>
      </c>
      <c r="J40" s="15">
        <f t="shared" si="2"/>
        <v>9.7365537408555095E-2</v>
      </c>
      <c r="K40" s="15">
        <f t="shared" si="1"/>
        <v>4.4488089132320434E-2</v>
      </c>
      <c r="L40">
        <v>0</v>
      </c>
    </row>
    <row r="41" spans="1:12" x14ac:dyDescent="0.25">
      <c r="A41" s="33">
        <v>1999</v>
      </c>
      <c r="B41" s="48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15">
        <f t="shared" si="0"/>
        <v>46</v>
      </c>
      <c r="I41" s="17">
        <v>404.42527637241358</v>
      </c>
      <c r="J41" s="15">
        <f t="shared" si="2"/>
        <v>0.11374165436099266</v>
      </c>
      <c r="K41" s="15">
        <f t="shared" si="1"/>
        <v>5.2439662163851937E-2</v>
      </c>
      <c r="L41">
        <v>6.7083123009517576E-3</v>
      </c>
    </row>
    <row r="42" spans="1:12" x14ac:dyDescent="0.25">
      <c r="A42" s="33">
        <v>2000</v>
      </c>
      <c r="B42" s="48">
        <v>36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15">
        <f t="shared" si="0"/>
        <v>36</v>
      </c>
      <c r="I42" s="17">
        <v>408.8415902262019</v>
      </c>
      <c r="J42" s="15">
        <f t="shared" si="2"/>
        <v>8.8053663963302012E-2</v>
      </c>
      <c r="K42" s="15">
        <f t="shared" si="1"/>
        <v>4.0030717207605246E-2</v>
      </c>
      <c r="L42">
        <v>6.4948614474664625E-3</v>
      </c>
    </row>
    <row r="43" spans="1:12" x14ac:dyDescent="0.25">
      <c r="A43" s="33">
        <v>2001</v>
      </c>
      <c r="B43" s="48">
        <v>33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15">
        <f t="shared" si="0"/>
        <v>33</v>
      </c>
      <c r="I43" s="17">
        <v>425.5707514582694</v>
      </c>
      <c r="J43" s="15">
        <f t="shared" si="2"/>
        <v>7.7542922973257739E-2</v>
      </c>
      <c r="K43" s="15">
        <f t="shared" si="1"/>
        <v>3.5053832913210209E-2</v>
      </c>
      <c r="L43">
        <v>6.3025100594450286E-3</v>
      </c>
    </row>
    <row r="44" spans="1:12" x14ac:dyDescent="0.25">
      <c r="A44" s="33">
        <v>2002</v>
      </c>
      <c r="B44" s="48">
        <v>31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15">
        <f t="shared" si="0"/>
        <v>31</v>
      </c>
      <c r="I44" s="17">
        <v>420.33899986470823</v>
      </c>
      <c r="J44" s="15">
        <f t="shared" si="2"/>
        <v>7.3749997049947225E-2</v>
      </c>
      <c r="K44" s="15">
        <f t="shared" si="1"/>
        <v>3.3271777629412566E-2</v>
      </c>
      <c r="L44">
        <v>6.1742983086614297E-3</v>
      </c>
    </row>
    <row r="45" spans="1:12" x14ac:dyDescent="0.25">
      <c r="A45" s="33">
        <v>2003</v>
      </c>
      <c r="B45" s="48">
        <v>24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15">
        <f t="shared" si="0"/>
        <v>24</v>
      </c>
      <c r="I45" s="17">
        <v>412.3746797107292</v>
      </c>
      <c r="J45" s="15">
        <f t="shared" si="2"/>
        <v>5.8199499583328963E-2</v>
      </c>
      <c r="K45" s="15">
        <f t="shared" si="1"/>
        <v>2.6041083135023693E-2</v>
      </c>
      <c r="L45">
        <v>6.2808408483698286E-3</v>
      </c>
    </row>
    <row r="46" spans="1:12" x14ac:dyDescent="0.25">
      <c r="A46" s="33">
        <v>2004</v>
      </c>
      <c r="B46" s="48">
        <v>14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15">
        <f t="shared" si="0"/>
        <v>14</v>
      </c>
      <c r="I46" s="17">
        <v>384.7333825167774</v>
      </c>
      <c r="J46" s="15">
        <f t="shared" si="2"/>
        <v>3.6388836103634678E-2</v>
      </c>
      <c r="K46" s="15">
        <f t="shared" si="1"/>
        <v>1.6098177135190406E-2</v>
      </c>
      <c r="L46">
        <v>7.1684179928898353E-3</v>
      </c>
    </row>
    <row r="47" spans="1:12" x14ac:dyDescent="0.25">
      <c r="A47" s="33">
        <v>2005</v>
      </c>
      <c r="B47" s="48">
        <v>22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15">
        <f t="shared" si="0"/>
        <v>22</v>
      </c>
      <c r="I47" s="17">
        <v>352.83162930388187</v>
      </c>
      <c r="J47" s="15">
        <f t="shared" ref="J47:J55" si="3">H47/I47</f>
        <v>6.235268658709775E-2</v>
      </c>
      <c r="K47" s="15">
        <f t="shared" si="1"/>
        <v>2.7960486398816486E-2</v>
      </c>
      <c r="L47" s="15">
        <v>6.9212561736954562E-3</v>
      </c>
    </row>
    <row r="48" spans="1:12" x14ac:dyDescent="0.25">
      <c r="A48" s="33">
        <v>2006</v>
      </c>
      <c r="B48" s="48">
        <v>25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15">
        <f t="shared" si="0"/>
        <v>25</v>
      </c>
      <c r="I48" s="17">
        <v>346.95087021223947</v>
      </c>
      <c r="J48" s="15">
        <f t="shared" si="3"/>
        <v>7.2056311559924341E-2</v>
      </c>
      <c r="K48" s="15">
        <f t="shared" si="1"/>
        <v>3.2478377813215872E-2</v>
      </c>
      <c r="L48" s="15">
        <v>8.060594971252449E-3</v>
      </c>
    </row>
    <row r="49" spans="1:12" x14ac:dyDescent="0.25">
      <c r="A49" s="33">
        <v>2007</v>
      </c>
      <c r="B49" s="48">
        <v>21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15">
        <f t="shared" si="0"/>
        <v>21</v>
      </c>
      <c r="I49" s="17">
        <v>353.23099269211917</v>
      </c>
      <c r="J49" s="15">
        <f t="shared" si="3"/>
        <v>5.9451181902104154E-2</v>
      </c>
      <c r="K49" s="15">
        <f t="shared" si="1"/>
        <v>2.6618657976116102E-2</v>
      </c>
      <c r="L49" s="15">
        <v>7.3589107511585648E-3</v>
      </c>
    </row>
    <row r="50" spans="1:12" x14ac:dyDescent="0.25">
      <c r="A50" s="33">
        <v>2008</v>
      </c>
      <c r="B50" s="48">
        <v>29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15">
        <f t="shared" si="0"/>
        <v>29</v>
      </c>
      <c r="I50" s="17">
        <v>399.3095633782375</v>
      </c>
      <c r="J50" s="15">
        <f t="shared" si="3"/>
        <v>7.2625358017109065E-2</v>
      </c>
      <c r="K50" s="15">
        <f t="shared" si="1"/>
        <v>3.274478357226962E-2</v>
      </c>
      <c r="L50" s="15">
        <v>6.2769437108631757E-3</v>
      </c>
    </row>
    <row r="51" spans="1:12" x14ac:dyDescent="0.25">
      <c r="A51" s="33">
        <v>2009</v>
      </c>
      <c r="B51" s="48">
        <v>24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15">
        <f t="shared" si="0"/>
        <v>24</v>
      </c>
      <c r="I51" s="17">
        <v>436.10856008142866</v>
      </c>
      <c r="J51" s="15">
        <f t="shared" si="3"/>
        <v>5.5032169044145346E-2</v>
      </c>
      <c r="K51" s="15">
        <f t="shared" si="1"/>
        <v>2.458297569831237E-2</v>
      </c>
      <c r="L51" s="15">
        <v>1.0159850417106925E-2</v>
      </c>
    </row>
    <row r="52" spans="1:12" x14ac:dyDescent="0.25">
      <c r="A52" s="33">
        <v>2010</v>
      </c>
      <c r="B52" s="48">
        <v>26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15">
        <f t="shared" si="0"/>
        <v>26</v>
      </c>
      <c r="I52" s="17">
        <v>468.45480968067966</v>
      </c>
      <c r="J52" s="15">
        <f t="shared" si="3"/>
        <v>5.5501618219530709E-2</v>
      </c>
      <c r="K52" s="15">
        <f t="shared" si="1"/>
        <v>2.4798781823052569E-2</v>
      </c>
      <c r="L52" s="15">
        <v>3.3657754488852741E-3</v>
      </c>
    </row>
    <row r="53" spans="1:12" x14ac:dyDescent="0.25">
      <c r="A53" s="33">
        <v>2011</v>
      </c>
      <c r="B53" s="48">
        <v>33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15">
        <f t="shared" si="0"/>
        <v>33</v>
      </c>
      <c r="I53" s="17">
        <v>495.07647169096543</v>
      </c>
      <c r="J53" s="15">
        <f t="shared" si="3"/>
        <v>6.6656369039890709E-2</v>
      </c>
      <c r="K53" s="15">
        <f t="shared" si="1"/>
        <v>2.9958431758356361E-2</v>
      </c>
      <c r="L53" s="15">
        <v>3.0449053848319637E-3</v>
      </c>
    </row>
    <row r="54" spans="1:12" x14ac:dyDescent="0.25">
      <c r="A54" s="33">
        <v>2012</v>
      </c>
      <c r="B54" s="48">
        <v>38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15">
        <f t="shared" si="0"/>
        <v>38</v>
      </c>
      <c r="I54" s="17">
        <v>488.50235298801073</v>
      </c>
      <c r="J54" s="15">
        <f t="shared" si="3"/>
        <v>7.7788775770610524E-2</v>
      </c>
      <c r="K54" s="15">
        <f t="shared" si="1"/>
        <v>3.5169596287915876E-2</v>
      </c>
      <c r="L54" s="15">
        <v>8.8953677374728809E-3</v>
      </c>
    </row>
    <row r="55" spans="1:12" x14ac:dyDescent="0.25">
      <c r="A55" s="33">
        <v>2013</v>
      </c>
      <c r="B55" s="48">
        <v>36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15">
        <f t="shared" si="0"/>
        <v>36</v>
      </c>
      <c r="I55" s="17">
        <v>454.7886307818759</v>
      </c>
      <c r="J55" s="15">
        <f t="shared" si="3"/>
        <v>7.9157651628424711E-2</v>
      </c>
      <c r="K55" s="15">
        <f t="shared" si="1"/>
        <v>3.5814716266642538E-2</v>
      </c>
      <c r="L55" s="15">
        <v>5.6010853606378776E-3</v>
      </c>
    </row>
    <row r="56" spans="1:12" x14ac:dyDescent="0.25">
      <c r="A56" s="33">
        <v>2014</v>
      </c>
      <c r="B56" s="48">
        <v>47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15">
        <f t="shared" ref="H56:H58" si="4">SUM(B56:G56)</f>
        <v>47</v>
      </c>
      <c r="I56">
        <v>413.91034773294234</v>
      </c>
      <c r="J56" s="15">
        <f t="shared" ref="J56:J58" si="5">H56/I56</f>
        <v>0.11355115970747537</v>
      </c>
      <c r="K56" s="15">
        <f t="shared" ref="K56:K58" si="6">-LOG(1-J56)</f>
        <v>5.234632381916688E-2</v>
      </c>
      <c r="L56" s="15">
        <v>1.0056010853606401</v>
      </c>
    </row>
    <row r="57" spans="1:12" x14ac:dyDescent="0.25">
      <c r="A57" s="33">
        <v>2015</v>
      </c>
      <c r="B57" s="48">
        <v>32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15">
        <f t="shared" si="4"/>
        <v>32</v>
      </c>
      <c r="I57">
        <v>375.74229728027296</v>
      </c>
      <c r="J57" s="15">
        <f t="shared" si="5"/>
        <v>8.5164753160942699E-2</v>
      </c>
      <c r="K57" s="15">
        <f t="shared" si="6"/>
        <v>3.8657111213497554E-2</v>
      </c>
      <c r="L57" s="15">
        <v>2.0056010853606399</v>
      </c>
    </row>
    <row r="58" spans="1:12" x14ac:dyDescent="0.25">
      <c r="A58" s="33">
        <v>2016</v>
      </c>
      <c r="B58" s="48">
        <v>33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15">
        <f t="shared" si="4"/>
        <v>33</v>
      </c>
      <c r="I58">
        <v>370.00687431196536</v>
      </c>
      <c r="J58" s="15">
        <f t="shared" si="5"/>
        <v>8.9187532154271762E-2</v>
      </c>
      <c r="K58" s="15">
        <f t="shared" si="6"/>
        <v>4.0571033085945556E-2</v>
      </c>
      <c r="L58" s="15">
        <v>3.0056010853606399</v>
      </c>
    </row>
    <row r="59" spans="1:12" x14ac:dyDescent="0.25">
      <c r="G59" s="10"/>
      <c r="H59" s="10"/>
    </row>
    <row r="60" spans="1:12" x14ac:dyDescent="0.25">
      <c r="I60" s="14" t="s">
        <v>282</v>
      </c>
      <c r="J60" s="14"/>
    </row>
    <row r="61" spans="1:12" x14ac:dyDescent="0.25">
      <c r="I61" s="14">
        <f>I58/x.SSB0!D10</f>
        <v>1.0541506390654284E-3</v>
      </c>
      <c r="J61" s="14">
        <f>I58/x.SSB0!E10</f>
        <v>5.0478427600540981E-4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37" sqref="F37"/>
    </sheetView>
  </sheetViews>
  <sheetFormatPr defaultColWidth="8.85546875" defaultRowHeight="15" x14ac:dyDescent="0.25"/>
  <cols>
    <col min="1" max="7" width="8.85546875" style="9"/>
    <col min="8" max="8" width="5.5703125" style="9" customWidth="1"/>
    <col min="9" max="16384" width="8.85546875" style="9"/>
  </cols>
  <sheetData>
    <row r="1" spans="1:9" x14ac:dyDescent="0.25">
      <c r="A1" s="13" t="s">
        <v>114</v>
      </c>
      <c r="B1" s="9">
        <f>COUNT($C$2:$E$2)</f>
        <v>3</v>
      </c>
      <c r="C1" s="12" t="s">
        <v>14</v>
      </c>
      <c r="D1" s="12" t="s">
        <v>11</v>
      </c>
      <c r="E1" s="12" t="s">
        <v>8</v>
      </c>
    </row>
    <row r="2" spans="1:9" x14ac:dyDescent="0.25">
      <c r="A2" s="9">
        <f>{32767,32767,0.000001,0.01,FALSE,FALSE,TRUE,1,1,1,0.0001,TRUE}</f>
        <v>32767</v>
      </c>
      <c r="B2" s="9">
        <f>{0,0,1,100,0,FALSE,TRUE,0.075,0,0,FALSE,30}</f>
        <v>0</v>
      </c>
      <c r="C2" s="12">
        <v>-0.5</v>
      </c>
      <c r="D2" s="12">
        <v>0.1801067509426087</v>
      </c>
      <c r="E2" s="12">
        <v>135.96005517913042</v>
      </c>
      <c r="G2" s="14" t="s">
        <v>116</v>
      </c>
      <c r="H2" s="14"/>
      <c r="I2" s="14" t="s">
        <v>115</v>
      </c>
    </row>
    <row r="3" spans="1:9" x14ac:dyDescent="0.25">
      <c r="A3" s="9">
        <v>0.96111111111111103</v>
      </c>
      <c r="B3" s="9">
        <v>24.676470588235201</v>
      </c>
      <c r="C3" s="9">
        <f>$E$2*(1-EXP(-A3*($D$2-$C$2)))</f>
        <v>65.241854465817028</v>
      </c>
      <c r="D3" s="9">
        <f>LN(B3/C3)</f>
        <v>-0.97225102078620906</v>
      </c>
      <c r="E3" s="9">
        <f>LN(NORMDIST(D3,0,0.1,FALSE))</f>
        <v>-45.879955811201896</v>
      </c>
      <c r="G3" s="14">
        <v>2.75</v>
      </c>
      <c r="H3" s="14"/>
      <c r="I3" s="14">
        <f>$E$2*(1-EXP(-G3*($D$2-$C$2)))</f>
        <v>115.01154426863638</v>
      </c>
    </row>
    <row r="4" spans="1:9" x14ac:dyDescent="0.25">
      <c r="A4" s="9">
        <v>1.9722222222222201</v>
      </c>
      <c r="B4" s="9">
        <v>42.259803921568597</v>
      </c>
      <c r="C4" s="9">
        <f t="shared" ref="C4:C10" si="0">$E$2*(1-EXP(-A4*($D$2-$C$2)))</f>
        <v>100.40652393834907</v>
      </c>
      <c r="D4" s="9">
        <f t="shared" ref="D4:D10" si="1">LN(B4/C4)</f>
        <v>-0.86539081224647496</v>
      </c>
      <c r="E4" s="9">
        <f t="shared" ref="E4:E10" si="2">LN(NORMDIST(D4,0,0.1,FALSE))</f>
        <v>-36.061416336241301</v>
      </c>
      <c r="G4" s="14"/>
      <c r="H4" s="14"/>
      <c r="I4" s="14"/>
    </row>
    <row r="5" spans="1:9" x14ac:dyDescent="0.25">
      <c r="A5" s="9">
        <v>2.9638888888888801</v>
      </c>
      <c r="B5" s="9">
        <v>55.873774509803901</v>
      </c>
      <c r="C5" s="9">
        <f t="shared" si="0"/>
        <v>117.84759175453078</v>
      </c>
      <c r="D5" s="9">
        <f t="shared" si="1"/>
        <v>-0.74629707435418768</v>
      </c>
      <c r="E5" s="9">
        <f t="shared" si="2"/>
        <v>-26.464319599691621</v>
      </c>
      <c r="G5" s="14"/>
      <c r="H5" s="14"/>
      <c r="I5" s="14"/>
    </row>
    <row r="6" spans="1:9" x14ac:dyDescent="0.25">
      <c r="A6" s="9">
        <v>3.9555555555555499</v>
      </c>
      <c r="B6" s="9">
        <v>69.046568627450895</v>
      </c>
      <c r="C6" s="9">
        <f t="shared" si="0"/>
        <v>126.73280489319659</v>
      </c>
      <c r="D6" s="9">
        <f t="shared" si="1"/>
        <v>-0.60729978708255627</v>
      </c>
      <c r="E6" s="9">
        <f t="shared" si="2"/>
        <v>-17.057005009736535</v>
      </c>
      <c r="G6" s="14"/>
      <c r="H6" s="14"/>
      <c r="I6" s="14"/>
    </row>
    <row r="7" spans="1:9" x14ac:dyDescent="0.25">
      <c r="A7" s="9">
        <v>4.9666666666666597</v>
      </c>
      <c r="B7" s="9">
        <v>79.129901960784295</v>
      </c>
      <c r="C7" s="9">
        <f t="shared" si="0"/>
        <v>131.32106086085875</v>
      </c>
      <c r="D7" s="9">
        <f t="shared" si="1"/>
        <v>-0.50655434038525438</v>
      </c>
      <c r="E7" s="9">
        <f t="shared" si="2"/>
        <v>-11.446218428367633</v>
      </c>
      <c r="G7" s="14"/>
      <c r="H7" s="14"/>
      <c r="I7" s="14"/>
    </row>
    <row r="8" spans="1:9" x14ac:dyDescent="0.25">
      <c r="A8" s="9">
        <v>5.9388888888888802</v>
      </c>
      <c r="B8" s="9">
        <v>87.450980392156794</v>
      </c>
      <c r="C8" s="9">
        <f t="shared" si="0"/>
        <v>133.56529592827985</v>
      </c>
      <c r="D8" s="9">
        <f t="shared" si="1"/>
        <v>-0.42351205405315639</v>
      </c>
      <c r="E8" s="9">
        <f t="shared" si="2"/>
        <v>-7.5844764366268098</v>
      </c>
      <c r="G8" s="14"/>
      <c r="H8" s="14"/>
      <c r="I8" s="14"/>
    </row>
    <row r="9" spans="1:9" x14ac:dyDescent="0.25">
      <c r="A9" s="9">
        <v>6.9694444444444397</v>
      </c>
      <c r="B9" s="9">
        <v>93.5625</v>
      </c>
      <c r="C9" s="9">
        <f t="shared" si="0"/>
        <v>134.77190822305548</v>
      </c>
      <c r="D9" s="9">
        <f t="shared" si="1"/>
        <v>-0.36495411860950322</v>
      </c>
      <c r="E9" s="9">
        <f t="shared" si="2"/>
        <v>-5.2759288747125934</v>
      </c>
      <c r="G9" s="14"/>
      <c r="H9" s="14"/>
      <c r="I9" s="14"/>
    </row>
    <row r="10" spans="1:9" x14ac:dyDescent="0.25">
      <c r="A10" s="9">
        <v>7.9611111111111104</v>
      </c>
      <c r="B10" s="9">
        <v>100.117647058823</v>
      </c>
      <c r="C10" s="9">
        <f t="shared" si="0"/>
        <v>135.35476317200985</v>
      </c>
      <c r="D10" s="9">
        <f t="shared" si="1"/>
        <v>-0.30155324188236393</v>
      </c>
      <c r="E10" s="9">
        <f t="shared" si="2"/>
        <v>-3.1630713246988016</v>
      </c>
      <c r="F10" s="9">
        <f>-SUM(E3:E10)</f>
        <v>152.93239182127718</v>
      </c>
      <c r="G10" s="14"/>
      <c r="H10" s="14"/>
      <c r="I10" s="14"/>
    </row>
    <row r="11" spans="1:9" x14ac:dyDescent="0.25">
      <c r="G11" s="14"/>
      <c r="H11" s="14"/>
      <c r="I11" s="14"/>
    </row>
    <row r="12" spans="1:9" x14ac:dyDescent="0.25">
      <c r="A12" s="11"/>
      <c r="C12" s="10"/>
      <c r="D12" s="10"/>
      <c r="E12" s="10"/>
      <c r="G12" s="14"/>
      <c r="H12" s="14"/>
      <c r="I12" s="14"/>
    </row>
    <row r="13" spans="1:9" x14ac:dyDescent="0.25">
      <c r="C13" s="10"/>
      <c r="D13" s="10"/>
      <c r="E13" s="10"/>
      <c r="G13" s="14"/>
      <c r="H13" s="14"/>
      <c r="I13" s="14" t="s">
        <v>117</v>
      </c>
    </row>
    <row r="14" spans="1:9" x14ac:dyDescent="0.25">
      <c r="G14" s="14"/>
      <c r="H14" s="14"/>
      <c r="I14" s="14">
        <f>$E$13*(1-EXP(-G14*($D$13-$C$13)))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A7" workbookViewId="0">
      <selection activeCell="D10" sqref="D10"/>
    </sheetView>
  </sheetViews>
  <sheetFormatPr defaultRowHeight="15" x14ac:dyDescent="0.25"/>
  <cols>
    <col min="1" max="1" width="20.5703125" style="15" customWidth="1"/>
    <col min="2" max="2" width="13.140625" customWidth="1"/>
    <col min="3" max="3" width="11.5703125" bestFit="1" customWidth="1"/>
    <col min="4" max="5" width="11" style="9" customWidth="1"/>
    <col min="6" max="7" width="6.140625" style="9" customWidth="1"/>
    <col min="8" max="24" width="6.140625" customWidth="1"/>
    <col min="25" max="27" width="4.85546875" customWidth="1"/>
  </cols>
  <sheetData>
    <row r="1" spans="1:37" s="9" customFormat="1" x14ac:dyDescent="0.25">
      <c r="A1" s="15"/>
      <c r="C1" s="9" t="s">
        <v>249</v>
      </c>
    </row>
    <row r="2" spans="1:37" s="9" customFormat="1" x14ac:dyDescent="0.25">
      <c r="A2" s="15"/>
      <c r="B2" s="9" t="s">
        <v>250</v>
      </c>
      <c r="C2" s="9">
        <v>542000</v>
      </c>
    </row>
    <row r="3" spans="1:37" s="9" customFormat="1" x14ac:dyDescent="0.25">
      <c r="A3" s="15"/>
      <c r="B3" s="9" t="s">
        <v>124</v>
      </c>
      <c r="C3" s="9">
        <v>191000</v>
      </c>
    </row>
    <row r="4" spans="1:37" s="9" customFormat="1" x14ac:dyDescent="0.25">
      <c r="A4" s="15"/>
      <c r="B4" s="9" t="s">
        <v>251</v>
      </c>
      <c r="C4" s="9">
        <f>C2-C3</f>
        <v>351000</v>
      </c>
    </row>
    <row r="5" spans="1:37" s="9" customFormat="1" x14ac:dyDescent="0.25">
      <c r="A5" s="15"/>
      <c r="B5" s="9" t="s">
        <v>252</v>
      </c>
      <c r="C5" s="9">
        <f>C2+C3</f>
        <v>733000</v>
      </c>
    </row>
    <row r="6" spans="1:37" s="9" customFormat="1" x14ac:dyDescent="0.25">
      <c r="A6" s="15"/>
    </row>
    <row r="7" spans="1:37" s="15" customFormat="1" x14ac:dyDescent="0.25"/>
    <row r="8" spans="1:37" s="9" customFormat="1" x14ac:dyDescent="0.25">
      <c r="A8" s="15"/>
      <c r="B8" s="9" t="s">
        <v>253</v>
      </c>
      <c r="C8" s="9">
        <f>1/1.69</f>
        <v>0.59171597633136097</v>
      </c>
    </row>
    <row r="9" spans="1:37" ht="21.6" customHeight="1" x14ac:dyDescent="0.25">
      <c r="B9" s="10" t="s">
        <v>254</v>
      </c>
      <c r="D9" s="35" t="s">
        <v>11</v>
      </c>
      <c r="E9" s="35"/>
      <c r="J9" s="9"/>
      <c r="K9" s="9"/>
      <c r="L9" s="9"/>
      <c r="M9" s="9"/>
      <c r="N9" s="9"/>
      <c r="O9" s="9"/>
      <c r="P9" s="9"/>
    </row>
    <row r="10" spans="1:37" x14ac:dyDescent="0.25">
      <c r="C10" s="25"/>
      <c r="D10" s="28">
        <f>C4</f>
        <v>351000</v>
      </c>
      <c r="E10" s="28">
        <f>C5</f>
        <v>733000</v>
      </c>
      <c r="H10" s="9"/>
      <c r="J10" s="9"/>
      <c r="K10" s="9"/>
      <c r="L10" s="15"/>
      <c r="M10" s="9"/>
      <c r="N10" s="9"/>
      <c r="O10" s="9"/>
      <c r="P10" s="9"/>
    </row>
    <row r="11" spans="1:37" ht="18" customHeight="1" x14ac:dyDescent="0.25">
      <c r="A11" s="36" t="s">
        <v>270</v>
      </c>
      <c r="B11" s="31" t="s">
        <v>268</v>
      </c>
      <c r="C11" s="32">
        <f>B21</f>
        <v>2.7944857926721416</v>
      </c>
      <c r="D11" s="27">
        <f>(D$10*$C$8)/($C11)</f>
        <v>74322.191308658716</v>
      </c>
      <c r="E11" s="27">
        <f>(E$10*$C$8)/($C11)</f>
        <v>155208.45079557505</v>
      </c>
      <c r="J11" s="9"/>
      <c r="K11" s="9"/>
      <c r="L11" s="15"/>
      <c r="M11" s="9"/>
      <c r="N11" s="9"/>
      <c r="O11" s="9"/>
      <c r="P11" s="9"/>
    </row>
    <row r="12" spans="1:37" ht="18" customHeight="1" x14ac:dyDescent="0.25">
      <c r="A12" s="36"/>
      <c r="B12" s="31" t="s">
        <v>269</v>
      </c>
      <c r="C12" s="32">
        <f>B29</f>
        <v>2.6333332029363579</v>
      </c>
      <c r="D12" s="27">
        <f>(D$10*$C$8)/($C12)</f>
        <v>78870.500497512301</v>
      </c>
      <c r="E12" s="27">
        <f>(E$10*$C$8)/($C12)</f>
        <v>164706.77169423513</v>
      </c>
      <c r="H12" s="9"/>
      <c r="J12" s="9"/>
      <c r="K12" s="15"/>
      <c r="L12" s="15"/>
      <c r="M12" s="9"/>
      <c r="N12" s="9"/>
      <c r="O12" s="9"/>
      <c r="P12" s="9"/>
    </row>
    <row r="13" spans="1:37" x14ac:dyDescent="0.25">
      <c r="B13" s="9"/>
      <c r="C13" s="17"/>
      <c r="D13" s="15"/>
      <c r="H13" s="9"/>
      <c r="J13" s="9"/>
      <c r="K13" s="15"/>
      <c r="L13" s="15"/>
      <c r="M13" s="9"/>
      <c r="N13" s="9"/>
      <c r="O13" s="9"/>
      <c r="P13" s="9"/>
    </row>
    <row r="14" spans="1:37" x14ac:dyDescent="0.25">
      <c r="B14" s="29"/>
      <c r="C14" s="17"/>
      <c r="D14" s="15"/>
      <c r="E14" s="15"/>
      <c r="H14" s="9"/>
      <c r="J14" s="9"/>
      <c r="K14" s="15"/>
      <c r="L14" s="15"/>
      <c r="M14" s="9"/>
      <c r="N14" s="9"/>
      <c r="O14" s="9"/>
      <c r="P14" s="9"/>
    </row>
    <row r="15" spans="1:37" x14ac:dyDescent="0.25">
      <c r="B15" s="9"/>
      <c r="C15" s="17"/>
      <c r="D15" s="15"/>
      <c r="H15" s="9"/>
      <c r="J15" s="9"/>
      <c r="K15" s="9"/>
      <c r="L15" s="15"/>
      <c r="M15" s="9"/>
      <c r="N15" s="9"/>
      <c r="O15" s="9"/>
      <c r="P15" s="9"/>
    </row>
    <row r="16" spans="1:37" x14ac:dyDescent="0.25">
      <c r="A16" s="15" t="s">
        <v>266</v>
      </c>
      <c r="B16">
        <v>1</v>
      </c>
      <c r="C16" s="17">
        <v>2</v>
      </c>
      <c r="D16" s="15">
        <v>3</v>
      </c>
      <c r="E16" s="17">
        <v>4</v>
      </c>
      <c r="F16" s="15">
        <v>5</v>
      </c>
      <c r="G16" s="17">
        <v>6</v>
      </c>
      <c r="H16" s="15">
        <v>7</v>
      </c>
      <c r="I16" s="17">
        <v>8</v>
      </c>
      <c r="J16" s="15">
        <v>9</v>
      </c>
      <c r="K16" s="17">
        <v>10</v>
      </c>
      <c r="L16" s="15">
        <v>11</v>
      </c>
      <c r="M16" s="17">
        <v>12</v>
      </c>
      <c r="N16" s="15">
        <v>13</v>
      </c>
      <c r="O16" s="17">
        <v>14</v>
      </c>
      <c r="P16" s="15">
        <v>15</v>
      </c>
      <c r="Q16" s="17">
        <v>16</v>
      </c>
      <c r="R16" s="15">
        <v>17</v>
      </c>
      <c r="S16" s="17">
        <v>18</v>
      </c>
      <c r="T16" s="15">
        <v>19</v>
      </c>
      <c r="U16" s="17">
        <v>20</v>
      </c>
      <c r="V16" s="15">
        <v>21</v>
      </c>
      <c r="W16" s="17">
        <v>22</v>
      </c>
      <c r="X16" s="15">
        <v>23</v>
      </c>
      <c r="Y16" s="17">
        <v>24</v>
      </c>
      <c r="Z16" s="15">
        <v>25</v>
      </c>
      <c r="AA16" s="17">
        <v>26</v>
      </c>
      <c r="AB16" s="15">
        <v>27</v>
      </c>
      <c r="AC16" s="17">
        <v>28</v>
      </c>
      <c r="AD16" s="15">
        <v>29</v>
      </c>
      <c r="AE16" s="17">
        <v>30</v>
      </c>
      <c r="AF16" s="15">
        <v>31</v>
      </c>
      <c r="AG16" s="17">
        <v>32</v>
      </c>
      <c r="AH16" s="15">
        <v>33</v>
      </c>
      <c r="AI16" s="17">
        <v>34</v>
      </c>
      <c r="AJ16" s="15">
        <v>35</v>
      </c>
      <c r="AK16" s="17">
        <v>36</v>
      </c>
    </row>
    <row r="17" spans="1:37" x14ac:dyDescent="0.25">
      <c r="A17" s="9" t="s">
        <v>256</v>
      </c>
      <c r="B17" s="15">
        <f>Stock!B7</f>
        <v>0.54300452213022588</v>
      </c>
      <c r="C17" s="15">
        <f>Stock!C7</f>
        <v>7.3646540168298483E-2</v>
      </c>
      <c r="D17" s="15">
        <f>Stock!D7</f>
        <v>3.1490667091370848E-2</v>
      </c>
      <c r="E17" s="15">
        <f>Stock!E7</f>
        <v>4.0821994520255166E-2</v>
      </c>
      <c r="F17" s="15">
        <f>Stock!F7</f>
        <v>5.1293294387550578E-2</v>
      </c>
      <c r="G17" s="15">
        <f>Stock!G7</f>
        <v>6.2939799773874081E-2</v>
      </c>
      <c r="H17" s="15">
        <f>Stock!H7</f>
        <v>9.7612828867000415E-2</v>
      </c>
      <c r="I17" s="15">
        <f>Stock!I7</f>
        <v>0.15431736038435728</v>
      </c>
      <c r="J17" s="15">
        <f>Stock!J7</f>
        <v>0.25618340539240991</v>
      </c>
      <c r="K17" s="15">
        <f>Stock!K7</f>
        <v>0.41248972304512882</v>
      </c>
      <c r="L17" s="15">
        <f>Stock!L7</f>
        <v>0.76571787339478081</v>
      </c>
      <c r="M17" s="15">
        <f>Stock!M7</f>
        <v>1.2039728043259359</v>
      </c>
      <c r="N17" s="15">
        <f>Stock!N7</f>
        <v>1.2039728043259359</v>
      </c>
      <c r="O17" s="15">
        <f>Stock!O7</f>
        <v>1.2039728043259359</v>
      </c>
      <c r="P17" s="15">
        <f>Stock!P7</f>
        <v>1.2039728043259359</v>
      </c>
      <c r="Q17" s="15">
        <f>Stock!Q7</f>
        <v>1.2039728043259359</v>
      </c>
      <c r="R17" s="15">
        <f>Stock!R7</f>
        <v>0</v>
      </c>
      <c r="S17" s="15">
        <f>Stock!S7</f>
        <v>0</v>
      </c>
      <c r="T17" s="15">
        <f>Stock!T7</f>
        <v>0</v>
      </c>
      <c r="U17" s="15">
        <f>Stock!U7</f>
        <v>0</v>
      </c>
      <c r="V17" s="15">
        <f>Stock!V7</f>
        <v>0</v>
      </c>
      <c r="W17" s="15">
        <f>Stock!W7</f>
        <v>0</v>
      </c>
      <c r="X17" s="15">
        <f>Stock!X7</f>
        <v>0</v>
      </c>
      <c r="Y17" s="15">
        <f>Stock!Y7</f>
        <v>0</v>
      </c>
      <c r="Z17" s="15">
        <f>Stock!Z7</f>
        <v>0</v>
      </c>
      <c r="AA17" s="15">
        <f>Stock!AA7</f>
        <v>0</v>
      </c>
      <c r="AB17" s="15">
        <f>Stock!AB7</f>
        <v>0</v>
      </c>
      <c r="AC17" s="15">
        <f>Stock!AC7</f>
        <v>0</v>
      </c>
      <c r="AD17" s="15">
        <f>Stock!AD7</f>
        <v>0</v>
      </c>
      <c r="AE17" s="15">
        <f>Stock!AE7</f>
        <v>0</v>
      </c>
      <c r="AF17" s="15">
        <f>Stock!AF7</f>
        <v>0</v>
      </c>
      <c r="AG17" s="15">
        <f>Stock!AG7</f>
        <v>0</v>
      </c>
      <c r="AH17" s="15">
        <f>Stock!AH7</f>
        <v>0</v>
      </c>
      <c r="AI17" s="15">
        <f>Stock!AI7</f>
        <v>0</v>
      </c>
      <c r="AJ17" s="15">
        <f>Stock!AJ7</f>
        <v>0</v>
      </c>
      <c r="AK17" s="15">
        <f>Stock!AK7</f>
        <v>0</v>
      </c>
    </row>
    <row r="18" spans="1:37" x14ac:dyDescent="0.25">
      <c r="A18" s="15" t="s">
        <v>257</v>
      </c>
      <c r="B18" s="9">
        <f>EXP(-SUM(B17))</f>
        <v>0.58099999999999996</v>
      </c>
      <c r="C18" s="15">
        <f>EXP(-SUM($B17:C17))</f>
        <v>0.53974899999999992</v>
      </c>
      <c r="D18" s="15">
        <f>EXP(-SUM($B17:D17))</f>
        <v>0.52301678099999993</v>
      </c>
      <c r="E18" s="15">
        <f>EXP(-SUM($B17:E17))</f>
        <v>0.50209610975999996</v>
      </c>
      <c r="F18" s="15">
        <f>EXP(-SUM($B17:F17))</f>
        <v>0.47699130427199993</v>
      </c>
      <c r="G18" s="15">
        <f>EXP(-SUM($B17:G17))</f>
        <v>0.44789483471140795</v>
      </c>
      <c r="H18" s="15">
        <f>EXP(-SUM($B17:H17))</f>
        <v>0.40624061508324705</v>
      </c>
      <c r="I18" s="15">
        <f>EXP(-SUM($B17:I17))</f>
        <v>0.34814820712634276</v>
      </c>
      <c r="J18" s="15">
        <f>EXP(-SUM($B17:J17))</f>
        <v>0.26946671231578928</v>
      </c>
      <c r="K18" s="15">
        <f>EXP(-SUM($B17:K17))</f>
        <v>0.17838696355305253</v>
      </c>
      <c r="L18" s="15">
        <f>EXP(-SUM($B17:L17))</f>
        <v>8.2949938052169422E-2</v>
      </c>
      <c r="M18" s="15">
        <f>EXP(-SUM($B17:M17))</f>
        <v>2.488498141565083E-2</v>
      </c>
      <c r="N18" s="15">
        <f>EXP(-SUM($B17:N17))</f>
        <v>7.4654944246952499E-3</v>
      </c>
      <c r="O18" s="15">
        <f>EXP(-SUM($B17:O17))</f>
        <v>2.2396483274085754E-3</v>
      </c>
      <c r="P18" s="15">
        <f>EXP(-SUM($B17:P17))</f>
        <v>6.718944982225726E-4</v>
      </c>
      <c r="Q18" s="15">
        <f>EXP(-SUM($B17:Q17))</f>
        <v>2.0156834946677199E-4</v>
      </c>
      <c r="R18" s="15">
        <f>EXP(-SUM($B17:R17))</f>
        <v>2.0156834946677199E-4</v>
      </c>
      <c r="S18" s="15">
        <f>EXP(-SUM($B17:S17))</f>
        <v>2.0156834946677199E-4</v>
      </c>
      <c r="T18" s="15">
        <f>EXP(-SUM($B17:T17))</f>
        <v>2.0156834946677199E-4</v>
      </c>
      <c r="U18" s="15">
        <f>EXP(-SUM($B17:U17))</f>
        <v>2.0156834946677199E-4</v>
      </c>
      <c r="V18" s="15">
        <f>EXP(-SUM($B17:V17))</f>
        <v>2.0156834946677199E-4</v>
      </c>
      <c r="W18" s="15">
        <f>EXP(-SUM($B17:W17))</f>
        <v>2.0156834946677199E-4</v>
      </c>
      <c r="X18" s="15">
        <f>EXP(-SUM($B17:X17))</f>
        <v>2.0156834946677199E-4</v>
      </c>
      <c r="Y18" s="15">
        <f>EXP(-SUM($B17:Y17))</f>
        <v>2.0156834946677199E-4</v>
      </c>
      <c r="Z18" s="15">
        <f>EXP(-SUM($B17:Z17))</f>
        <v>2.0156834946677199E-4</v>
      </c>
      <c r="AA18" s="15">
        <f>EXP(-SUM($B17:AA17))</f>
        <v>2.0156834946677199E-4</v>
      </c>
      <c r="AB18" s="15">
        <f>EXP(-SUM($B17:AB17))</f>
        <v>2.0156834946677199E-4</v>
      </c>
      <c r="AC18" s="15">
        <f>EXP(-SUM($B17:AC17))</f>
        <v>2.0156834946677199E-4</v>
      </c>
      <c r="AD18" s="15">
        <f>EXP(-SUM($B17:AD17))</f>
        <v>2.0156834946677199E-4</v>
      </c>
      <c r="AE18" s="15">
        <f>EXP(-SUM($B17:AE17))</f>
        <v>2.0156834946677199E-4</v>
      </c>
      <c r="AF18" s="15">
        <f>EXP(-SUM($B17:AF17))</f>
        <v>2.0156834946677199E-4</v>
      </c>
      <c r="AG18" s="15">
        <f>EXP(-SUM($B17:AG17))</f>
        <v>2.0156834946677199E-4</v>
      </c>
      <c r="AH18" s="15">
        <f>EXP(-SUM($B17:AH17))</f>
        <v>2.0156834946677199E-4</v>
      </c>
      <c r="AI18" s="15">
        <f>EXP(-SUM($B17:AI17))</f>
        <v>2.0156834946677199E-4</v>
      </c>
      <c r="AJ18" s="15">
        <f>EXP(-SUM($B17:AJ17))</f>
        <v>2.0156834946677199E-4</v>
      </c>
      <c r="AK18" s="15">
        <f>EXP(-SUM($B17:AK17))</f>
        <v>2.0156834946677199E-4</v>
      </c>
    </row>
    <row r="19" spans="1:37" x14ac:dyDescent="0.25">
      <c r="A19" s="15" t="s">
        <v>271</v>
      </c>
      <c r="B19" s="15">
        <v>1.0004494417005599E-2</v>
      </c>
      <c r="C19" s="15">
        <v>0.17900740066563478</v>
      </c>
      <c r="D19" s="15">
        <v>0.72276996126933812</v>
      </c>
      <c r="E19" s="15">
        <v>0.83584725823944706</v>
      </c>
      <c r="F19" s="15">
        <v>0.84171200175739114</v>
      </c>
      <c r="G19" s="15">
        <v>0.8419751082314737</v>
      </c>
      <c r="H19" s="15">
        <v>0.84198682973962102</v>
      </c>
      <c r="I19" s="15">
        <v>0.84198735177506345</v>
      </c>
      <c r="J19" s="15">
        <v>0.84198737502439402</v>
      </c>
      <c r="K19" s="15">
        <v>0.84198737605982377</v>
      </c>
      <c r="L19" s="15">
        <v>0.84198737610593744</v>
      </c>
      <c r="M19" s="15">
        <v>0.84198737610799124</v>
      </c>
      <c r="N19" s="15">
        <v>0.84198737610808261</v>
      </c>
      <c r="O19" s="15">
        <v>0.84198737610808672</v>
      </c>
      <c r="P19" s="15">
        <v>0.84198737610808694</v>
      </c>
      <c r="Q19" s="15">
        <v>0.84198737610808694</v>
      </c>
      <c r="R19" s="15">
        <v>0.84198737610808694</v>
      </c>
      <c r="S19" s="15">
        <v>0.84198737610808694</v>
      </c>
      <c r="T19" s="15">
        <v>0.84198737610808694</v>
      </c>
      <c r="U19" s="15">
        <v>0.84198737610808694</v>
      </c>
      <c r="V19" s="15">
        <v>0.84198737610808694</v>
      </c>
      <c r="W19" s="15">
        <v>0.84198737610808694</v>
      </c>
      <c r="X19" s="15">
        <v>0.84198737610808694</v>
      </c>
      <c r="Y19" s="15">
        <v>0.84198737610808694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6">
        <v>1</v>
      </c>
      <c r="AF19" s="26">
        <v>1</v>
      </c>
      <c r="AG19" s="26">
        <v>1</v>
      </c>
      <c r="AH19" s="26">
        <v>1</v>
      </c>
      <c r="AI19" s="26">
        <v>1</v>
      </c>
      <c r="AJ19" s="26">
        <v>1</v>
      </c>
      <c r="AK19" s="26">
        <v>1</v>
      </c>
    </row>
    <row r="20" spans="1:37" x14ac:dyDescent="0.25">
      <c r="A20" s="15" t="s">
        <v>264</v>
      </c>
      <c r="B20" s="9">
        <f>PRODUCT(B18:B19)</f>
        <v>5.8126112562802527E-3</v>
      </c>
      <c r="C20" s="15">
        <f t="shared" ref="C20:AK20" si="0">PRODUCT(C18:C19)</f>
        <v>9.6619065501875698E-2</v>
      </c>
      <c r="D20" s="15">
        <f t="shared" si="0"/>
        <v>0.37802081854658387</v>
      </c>
      <c r="E20" s="15">
        <f t="shared" si="0"/>
        <v>0.41967565671558843</v>
      </c>
      <c r="F20" s="15">
        <f t="shared" si="0"/>
        <v>0.4014893055396539</v>
      </c>
      <c r="G20" s="15">
        <f t="shared" si="0"/>
        <v>0.37711630193245571</v>
      </c>
      <c r="H20" s="15">
        <f t="shared" si="0"/>
        <v>0.34204924760541683</v>
      </c>
      <c r="I20" s="15">
        <f t="shared" si="0"/>
        <v>0.2931363869435456</v>
      </c>
      <c r="J20" s="15">
        <f t="shared" si="0"/>
        <v>0.22688756975922497</v>
      </c>
      <c r="K20" s="15">
        <f t="shared" si="0"/>
        <v>0.15019957136531412</v>
      </c>
      <c r="L20" s="15">
        <f t="shared" si="0"/>
        <v>6.984280068869618E-2</v>
      </c>
      <c r="M20" s="15">
        <f t="shared" si="0"/>
        <v>2.0952840206659967E-2</v>
      </c>
      <c r="N20" s="15">
        <f t="shared" si="0"/>
        <v>6.2858520619986733E-3</v>
      </c>
      <c r="O20" s="15">
        <f t="shared" si="0"/>
        <v>1.8857556185996114E-3</v>
      </c>
      <c r="P20" s="15">
        <f t="shared" si="0"/>
        <v>5.6572668557988356E-4</v>
      </c>
      <c r="Q20" s="15">
        <f t="shared" si="0"/>
        <v>1.6971800567396525E-4</v>
      </c>
      <c r="R20" s="15">
        <f t="shared" si="0"/>
        <v>1.6971800567396525E-4</v>
      </c>
      <c r="S20" s="15">
        <f t="shared" si="0"/>
        <v>1.6971800567396525E-4</v>
      </c>
      <c r="T20" s="15">
        <f t="shared" si="0"/>
        <v>1.6971800567396525E-4</v>
      </c>
      <c r="U20" s="15">
        <f t="shared" si="0"/>
        <v>1.6971800567396525E-4</v>
      </c>
      <c r="V20" s="15">
        <f t="shared" si="0"/>
        <v>1.6971800567396525E-4</v>
      </c>
      <c r="W20" s="15">
        <f t="shared" si="0"/>
        <v>1.6971800567396525E-4</v>
      </c>
      <c r="X20" s="15">
        <f t="shared" si="0"/>
        <v>1.6971800567396525E-4</v>
      </c>
      <c r="Y20" s="15">
        <f t="shared" si="0"/>
        <v>1.6971800567396525E-4</v>
      </c>
      <c r="Z20" s="15">
        <f t="shared" si="0"/>
        <v>2.0156834946677199E-4</v>
      </c>
      <c r="AA20" s="15">
        <f t="shared" si="0"/>
        <v>2.0156834946677199E-4</v>
      </c>
      <c r="AB20" s="15">
        <f t="shared" si="0"/>
        <v>2.0156834946677199E-4</v>
      </c>
      <c r="AC20" s="15">
        <f t="shared" si="0"/>
        <v>2.0156834946677199E-4</v>
      </c>
      <c r="AD20" s="15">
        <f t="shared" si="0"/>
        <v>2.0156834946677199E-4</v>
      </c>
      <c r="AE20" s="15">
        <f t="shared" si="0"/>
        <v>2.0156834946677199E-4</v>
      </c>
      <c r="AF20" s="15">
        <f t="shared" si="0"/>
        <v>2.0156834946677199E-4</v>
      </c>
      <c r="AG20" s="15">
        <f t="shared" si="0"/>
        <v>2.0156834946677199E-4</v>
      </c>
      <c r="AH20" s="15">
        <f t="shared" si="0"/>
        <v>2.0156834946677199E-4</v>
      </c>
      <c r="AI20" s="15">
        <f t="shared" si="0"/>
        <v>2.0156834946677199E-4</v>
      </c>
      <c r="AJ20" s="15">
        <f t="shared" si="0"/>
        <v>2.0156834946677199E-4</v>
      </c>
      <c r="AK20" s="15">
        <f t="shared" si="0"/>
        <v>2.0156834946677199E-4</v>
      </c>
    </row>
    <row r="21" spans="1:37" ht="30" x14ac:dyDescent="0.25">
      <c r="A21" s="30" t="s">
        <v>265</v>
      </c>
      <c r="B21" s="12">
        <f>SUM(B20:AK20)</f>
        <v>2.7944857926721416</v>
      </c>
      <c r="C21" s="17"/>
      <c r="D21" s="15"/>
      <c r="H21" s="9"/>
      <c r="J21" s="9"/>
      <c r="K21" s="9"/>
      <c r="L21" s="15"/>
      <c r="M21" s="9"/>
      <c r="N21" s="9"/>
      <c r="O21" s="9"/>
      <c r="P21" s="9"/>
    </row>
    <row r="22" spans="1:37" x14ac:dyDescent="0.25">
      <c r="B22" s="9"/>
      <c r="C22" s="17"/>
      <c r="D22" s="15"/>
      <c r="H22" s="9"/>
      <c r="J22" s="9"/>
      <c r="K22" s="9"/>
      <c r="L22" s="15"/>
      <c r="M22" s="9"/>
      <c r="N22" s="9"/>
      <c r="O22" s="9"/>
      <c r="P22" s="9"/>
    </row>
    <row r="23" spans="1:37" x14ac:dyDescent="0.25">
      <c r="B23" s="9"/>
      <c r="C23" s="17"/>
      <c r="D23" s="15"/>
      <c r="H23" s="9"/>
      <c r="J23" s="9"/>
      <c r="K23" s="9"/>
      <c r="L23" s="15"/>
      <c r="M23" s="9"/>
      <c r="N23" s="9"/>
      <c r="O23" s="9"/>
      <c r="P23" s="9"/>
    </row>
    <row r="24" spans="1:37" x14ac:dyDescent="0.25">
      <c r="A24" s="15" t="s">
        <v>267</v>
      </c>
      <c r="B24" s="15">
        <v>1</v>
      </c>
      <c r="C24" s="17">
        <v>2</v>
      </c>
      <c r="D24" s="15">
        <v>3</v>
      </c>
      <c r="E24" s="17">
        <v>4</v>
      </c>
      <c r="F24" s="15">
        <v>5</v>
      </c>
      <c r="G24" s="17">
        <v>6</v>
      </c>
      <c r="H24" s="15">
        <v>7</v>
      </c>
      <c r="I24" s="17">
        <v>8</v>
      </c>
      <c r="J24" s="15">
        <v>9</v>
      </c>
      <c r="K24" s="17">
        <v>10</v>
      </c>
      <c r="L24" s="15">
        <v>11</v>
      </c>
      <c r="M24" s="17">
        <v>12</v>
      </c>
      <c r="N24" s="15">
        <v>13</v>
      </c>
      <c r="O24" s="17">
        <v>14</v>
      </c>
      <c r="P24" s="15">
        <v>15</v>
      </c>
      <c r="Q24" s="17">
        <v>16</v>
      </c>
      <c r="R24" s="15">
        <v>17</v>
      </c>
      <c r="S24" s="17">
        <v>18</v>
      </c>
      <c r="T24" s="15">
        <v>19</v>
      </c>
      <c r="U24" s="17">
        <v>20</v>
      </c>
      <c r="V24" s="15">
        <v>21</v>
      </c>
      <c r="W24" s="17">
        <v>22</v>
      </c>
      <c r="X24" s="15">
        <v>23</v>
      </c>
      <c r="Y24" s="17">
        <v>24</v>
      </c>
      <c r="Z24" s="15">
        <v>25</v>
      </c>
      <c r="AA24" s="17">
        <v>26</v>
      </c>
      <c r="AB24" s="17">
        <v>27</v>
      </c>
      <c r="AC24" s="15">
        <v>28</v>
      </c>
      <c r="AD24" s="17">
        <v>29</v>
      </c>
      <c r="AE24" s="17">
        <v>30</v>
      </c>
      <c r="AF24" s="15">
        <v>31</v>
      </c>
      <c r="AG24" s="17">
        <v>32</v>
      </c>
      <c r="AH24" s="17">
        <v>33</v>
      </c>
      <c r="AI24" s="15">
        <v>34</v>
      </c>
      <c r="AJ24" s="17">
        <v>35</v>
      </c>
      <c r="AK24" s="17">
        <v>36</v>
      </c>
    </row>
    <row r="25" spans="1:37" x14ac:dyDescent="0.25">
      <c r="A25" s="15" t="s">
        <v>256</v>
      </c>
      <c r="B25" s="15">
        <f>Stock!B8</f>
        <v>0.55300452213022588</v>
      </c>
      <c r="C25" s="15">
        <f>Stock!C8</f>
        <v>8.3646540168298478E-2</v>
      </c>
      <c r="D25" s="15">
        <f>Stock!D8</f>
        <v>4.149066709137085E-2</v>
      </c>
      <c r="E25" s="15">
        <f>Stock!E8</f>
        <v>5.0821994520255168E-2</v>
      </c>
      <c r="F25" s="15">
        <f>Stock!F8</f>
        <v>6.129329438755058E-2</v>
      </c>
      <c r="G25" s="15">
        <f>Stock!G8</f>
        <v>7.2939799773874076E-2</v>
      </c>
      <c r="H25" s="15">
        <f>Stock!H8</f>
        <v>0.10761282886700041</v>
      </c>
      <c r="I25" s="15">
        <f>Stock!I8</f>
        <v>0.16431736038435729</v>
      </c>
      <c r="J25" s="15">
        <f>Stock!J8</f>
        <v>0.26618340539240992</v>
      </c>
      <c r="K25" s="15">
        <f>Stock!K8</f>
        <v>0.42248972304512883</v>
      </c>
      <c r="L25" s="15">
        <f>Stock!L8</f>
        <v>0.77571787339478082</v>
      </c>
      <c r="M25" s="15">
        <f>Stock!M8</f>
        <v>1.2139728043259359</v>
      </c>
      <c r="N25" s="15">
        <f>Stock!N8</f>
        <v>1.2139728043259359</v>
      </c>
      <c r="O25" s="15">
        <f>Stock!O8</f>
        <v>1.2139728043259359</v>
      </c>
      <c r="P25" s="15">
        <f>Stock!P8</f>
        <v>1.2139728043259359</v>
      </c>
      <c r="Q25" s="15">
        <f>Stock!Q8</f>
        <v>1.2139728043259359</v>
      </c>
      <c r="R25" s="15">
        <f>Stock!R8</f>
        <v>0</v>
      </c>
      <c r="S25" s="15">
        <f>Stock!S8</f>
        <v>0</v>
      </c>
      <c r="T25" s="15">
        <f>Stock!T8</f>
        <v>0</v>
      </c>
      <c r="U25" s="15">
        <f>Stock!U8</f>
        <v>0</v>
      </c>
      <c r="V25" s="15">
        <f>Stock!V8</f>
        <v>0</v>
      </c>
      <c r="W25" s="15">
        <f>Stock!W8</f>
        <v>0</v>
      </c>
      <c r="X25" s="15">
        <f>Stock!X8</f>
        <v>0</v>
      </c>
      <c r="Y25" s="15">
        <f>Stock!Y8</f>
        <v>0</v>
      </c>
      <c r="Z25" s="15">
        <f>Stock!Z8</f>
        <v>0</v>
      </c>
      <c r="AA25" s="15">
        <f>Stock!AA8</f>
        <v>0</v>
      </c>
      <c r="AB25" s="15">
        <f>Stock!AB8</f>
        <v>0</v>
      </c>
      <c r="AC25" s="15">
        <f>Stock!AC8</f>
        <v>0</v>
      </c>
      <c r="AD25" s="15">
        <f>Stock!AD8</f>
        <v>0</v>
      </c>
      <c r="AE25" s="15">
        <f>Stock!AE8</f>
        <v>0</v>
      </c>
      <c r="AF25" s="15">
        <f>Stock!AF8</f>
        <v>0</v>
      </c>
      <c r="AG25" s="15">
        <f>Stock!AG8</f>
        <v>0</v>
      </c>
      <c r="AH25" s="15">
        <f>Stock!AH8</f>
        <v>0</v>
      </c>
      <c r="AI25" s="15">
        <f>Stock!AI8</f>
        <v>0</v>
      </c>
      <c r="AJ25" s="15">
        <f>Stock!AJ8</f>
        <v>0</v>
      </c>
      <c r="AK25" s="15">
        <f>Stock!AK8</f>
        <v>0</v>
      </c>
    </row>
    <row r="26" spans="1:37" x14ac:dyDescent="0.25">
      <c r="A26" s="15" t="s">
        <v>257</v>
      </c>
      <c r="B26" s="15">
        <f>EXP(-SUM(B25))</f>
        <v>0.57521895340826656</v>
      </c>
      <c r="C26" s="15">
        <f>EXP(-SUM($B25:C25))</f>
        <v>0.52906125371864787</v>
      </c>
      <c r="D26" s="15">
        <f>EXP(-SUM($B25:D25))</f>
        <v>0.50755929909236819</v>
      </c>
      <c r="E26" s="15">
        <f>EXP(-SUM($B25:E25))</f>
        <v>0.48240863969687364</v>
      </c>
      <c r="F26" s="15">
        <f>EXP(-SUM($B25:F25))</f>
        <v>0.45372816385449943</v>
      </c>
      <c r="G26" s="15">
        <f>EXP(-SUM($B25:G25))</f>
        <v>0.42181147010678327</v>
      </c>
      <c r="H26" s="15">
        <f>EXP(-SUM($B25:H25))</f>
        <v>0.37877623889841067</v>
      </c>
      <c r="I26" s="15">
        <f>EXP(-SUM($B25:I25))</f>
        <v>0.32138130096352724</v>
      </c>
      <c r="J26" s="15">
        <f>EXP(-SUM($B25:J25))</f>
        <v>0.24627403177791035</v>
      </c>
      <c r="K26" s="15">
        <f>EXP(-SUM($B25:K25))</f>
        <v>0.16141119951261887</v>
      </c>
      <c r="L26" s="15">
        <f>EXP(-SUM($B25:L25))</f>
        <v>7.4309386027865756E-2</v>
      </c>
      <c r="M26" s="15">
        <f>EXP(-SUM($B25:M25))</f>
        <v>2.2070998584867382E-2</v>
      </c>
      <c r="N26" s="15">
        <f>EXP(-SUM($B25:N25))</f>
        <v>6.5554165438878242E-3</v>
      </c>
      <c r="O26" s="15">
        <f>EXP(-SUM($B25:O25))</f>
        <v>1.9470567178298064E-3</v>
      </c>
      <c r="P26" s="15">
        <f>EXP(-SUM($B25:P25))</f>
        <v>5.7830495393628042E-4</v>
      </c>
      <c r="Q26" s="15">
        <f>EXP(-SUM($B25:Q25))</f>
        <v>1.7176521705028047E-4</v>
      </c>
      <c r="R26" s="15">
        <f>EXP(-SUM($B25:R25))</f>
        <v>1.7176521705028047E-4</v>
      </c>
      <c r="S26" s="15">
        <f>EXP(-SUM($B25:S25))</f>
        <v>1.7176521705028047E-4</v>
      </c>
      <c r="T26" s="15">
        <f>EXP(-SUM($B25:T25))</f>
        <v>1.7176521705028047E-4</v>
      </c>
      <c r="U26" s="15">
        <f>EXP(-SUM($B25:U25))</f>
        <v>1.7176521705028047E-4</v>
      </c>
      <c r="V26" s="15">
        <f>EXP(-SUM($B25:V25))</f>
        <v>1.7176521705028047E-4</v>
      </c>
      <c r="W26" s="15">
        <f>EXP(-SUM($B25:W25))</f>
        <v>1.7176521705028047E-4</v>
      </c>
      <c r="X26" s="15">
        <f>EXP(-SUM($B25:X25))</f>
        <v>1.7176521705028047E-4</v>
      </c>
      <c r="Y26" s="15">
        <f>EXP(-SUM($B25:Y25))</f>
        <v>1.7176521705028047E-4</v>
      </c>
      <c r="Z26" s="15">
        <f>EXP(-SUM($B25:Z25))</f>
        <v>1.7176521705028047E-4</v>
      </c>
      <c r="AA26" s="15">
        <f>EXP(-SUM($B25:AA25))</f>
        <v>1.7176521705028047E-4</v>
      </c>
      <c r="AB26" s="15">
        <f>EXP(-SUM($B25:AB25))</f>
        <v>1.7176521705028047E-4</v>
      </c>
      <c r="AC26" s="15">
        <f>EXP(-SUM($B25:AC25))</f>
        <v>1.7176521705028047E-4</v>
      </c>
      <c r="AD26" s="15">
        <f>EXP(-SUM($B25:AD25))</f>
        <v>1.7176521705028047E-4</v>
      </c>
      <c r="AE26" s="15">
        <f>EXP(-SUM($B25:AE25))</f>
        <v>1.7176521705028047E-4</v>
      </c>
      <c r="AF26" s="15">
        <f>EXP(-SUM($B25:AF25))</f>
        <v>1.7176521705028047E-4</v>
      </c>
      <c r="AG26" s="15">
        <f>EXP(-SUM($B25:AG25))</f>
        <v>1.7176521705028047E-4</v>
      </c>
      <c r="AH26" s="15">
        <f>EXP(-SUM($B25:AH25))</f>
        <v>1.7176521705028047E-4</v>
      </c>
      <c r="AI26" s="15">
        <f>EXP(-SUM($B25:AI25))</f>
        <v>1.7176521705028047E-4</v>
      </c>
      <c r="AJ26" s="15">
        <f>EXP(-SUM($B25:AJ25))</f>
        <v>1.7176521705028047E-4</v>
      </c>
      <c r="AK26" s="15">
        <f>EXP(-SUM($B25:AK25))</f>
        <v>1.7176521705028047E-4</v>
      </c>
    </row>
    <row r="27" spans="1:37" x14ac:dyDescent="0.25">
      <c r="A27" s="15" t="s">
        <v>271</v>
      </c>
      <c r="B27" s="15">
        <v>1.000449441700561E-2</v>
      </c>
      <c r="C27" s="15">
        <v>0.17900740066563478</v>
      </c>
      <c r="D27" s="15">
        <v>0.72276996126933812</v>
      </c>
      <c r="E27" s="15">
        <v>0.83584725823944706</v>
      </c>
      <c r="F27" s="15">
        <v>0.84171200175739114</v>
      </c>
      <c r="G27" s="15">
        <v>0.8419751082314737</v>
      </c>
      <c r="H27" s="15">
        <v>0.84198682973962102</v>
      </c>
      <c r="I27" s="15">
        <v>0.84198735177506345</v>
      </c>
      <c r="J27" s="15">
        <v>0.84198737502439402</v>
      </c>
      <c r="K27" s="15">
        <v>0.84198737605982377</v>
      </c>
      <c r="L27" s="15">
        <v>0.84198737610593744</v>
      </c>
      <c r="M27" s="15">
        <v>0.84198737610799124</v>
      </c>
      <c r="N27" s="15">
        <v>0.84198737610808261</v>
      </c>
      <c r="O27" s="15">
        <v>0.84198737610808672</v>
      </c>
      <c r="P27" s="15">
        <v>0.84198737610808694</v>
      </c>
      <c r="Q27" s="15">
        <v>0.84198737610808694</v>
      </c>
      <c r="R27" s="15">
        <v>0.84198737610808694</v>
      </c>
      <c r="S27" s="15">
        <v>0.84198737610808694</v>
      </c>
      <c r="T27" s="15">
        <v>0.84198737610808694</v>
      </c>
      <c r="U27" s="15">
        <v>0.84198737610808694</v>
      </c>
      <c r="V27" s="15">
        <v>0.84198737610808694</v>
      </c>
      <c r="W27" s="15">
        <v>0.84198737610808694</v>
      </c>
      <c r="X27" s="15">
        <v>0.84198737610808694</v>
      </c>
      <c r="Y27" s="15">
        <v>0.84198737610808694</v>
      </c>
      <c r="Z27" s="26">
        <v>1</v>
      </c>
      <c r="AA27" s="26">
        <v>1</v>
      </c>
      <c r="AB27" s="15">
        <v>1.10534174926128</v>
      </c>
      <c r="AC27" s="26">
        <v>1.1843480612072299</v>
      </c>
      <c r="AD27" s="26">
        <v>1.26335437315319</v>
      </c>
      <c r="AE27" s="15">
        <v>1.3423606850991401</v>
      </c>
      <c r="AF27" s="26">
        <v>1.4213669970450999</v>
      </c>
      <c r="AG27" s="26">
        <v>1.50037330899106</v>
      </c>
      <c r="AH27" s="15">
        <v>1.5793796209370099</v>
      </c>
      <c r="AI27" s="26">
        <v>1.65838593288297</v>
      </c>
      <c r="AJ27" s="26">
        <v>1.7373922448289301</v>
      </c>
      <c r="AK27" s="15">
        <v>1.8163985567748799</v>
      </c>
    </row>
    <row r="28" spans="1:37" x14ac:dyDescent="0.25">
      <c r="A28" s="15" t="s">
        <v>264</v>
      </c>
      <c r="B28" s="15">
        <f>PRODUCT(B26:B27)</f>
        <v>5.7547748079288131E-3</v>
      </c>
      <c r="C28" s="15">
        <f t="shared" ref="C28:AK28" si="1">PRODUCT(C26:C27)</f>
        <v>9.470587982107706E-2</v>
      </c>
      <c r="D28" s="15">
        <f t="shared" si="1"/>
        <v>0.36684861494688337</v>
      </c>
      <c r="E28" s="15">
        <f t="shared" si="1"/>
        <v>0.40321993884165314</v>
      </c>
      <c r="F28" s="15">
        <f t="shared" si="1"/>
        <v>0.38190844105167626</v>
      </c>
      <c r="G28" s="15">
        <f t="shared" si="1"/>
        <v>0.35515475819643588</v>
      </c>
      <c r="H28" s="15">
        <f t="shared" si="1"/>
        <v>0.3189246045707701</v>
      </c>
      <c r="I28" s="15">
        <f t="shared" si="1"/>
        <v>0.27059899050830494</v>
      </c>
      <c r="J28" s="15">
        <f t="shared" si="1"/>
        <v>0.20735962555335694</v>
      </c>
      <c r="K28" s="15">
        <f t="shared" si="1"/>
        <v>0.13590619234429865</v>
      </c>
      <c r="L28" s="15">
        <f t="shared" si="1"/>
        <v>6.2567564961645894E-2</v>
      </c>
      <c r="M28" s="15">
        <f t="shared" si="1"/>
        <v>1.8583502186555675E-2</v>
      </c>
      <c r="N28" s="15">
        <f t="shared" si="1"/>
        <v>5.5195779750836244E-3</v>
      </c>
      <c r="O28" s="15">
        <f t="shared" si="1"/>
        <v>1.6393971769791422E-3</v>
      </c>
      <c r="P28" s="15">
        <f t="shared" si="1"/>
        <v>4.8692547075511683E-4</v>
      </c>
      <c r="Q28" s="15">
        <f t="shared" si="1"/>
        <v>1.4462414441080169E-4</v>
      </c>
      <c r="R28" s="15">
        <f t="shared" si="1"/>
        <v>1.4462414441080169E-4</v>
      </c>
      <c r="S28" s="15">
        <f t="shared" si="1"/>
        <v>1.4462414441080169E-4</v>
      </c>
      <c r="T28" s="15">
        <f t="shared" si="1"/>
        <v>1.4462414441080169E-4</v>
      </c>
      <c r="U28" s="15">
        <f t="shared" si="1"/>
        <v>1.4462414441080169E-4</v>
      </c>
      <c r="V28" s="15">
        <f t="shared" si="1"/>
        <v>1.4462414441080169E-4</v>
      </c>
      <c r="W28" s="15">
        <f t="shared" si="1"/>
        <v>1.4462414441080169E-4</v>
      </c>
      <c r="X28" s="15">
        <f t="shared" si="1"/>
        <v>1.4462414441080169E-4</v>
      </c>
      <c r="Y28" s="15">
        <f t="shared" si="1"/>
        <v>1.4462414441080169E-4</v>
      </c>
      <c r="Z28" s="15">
        <f t="shared" si="1"/>
        <v>1.7176521705028047E-4</v>
      </c>
      <c r="AA28" s="15">
        <f t="shared" si="1"/>
        <v>1.7176521705028047E-4</v>
      </c>
      <c r="AB28" s="15">
        <f t="shared" si="1"/>
        <v>1.8985926547660046E-4</v>
      </c>
      <c r="AC28" s="15">
        <f t="shared" si="1"/>
        <v>2.0342980179633869E-4</v>
      </c>
      <c r="AD28" s="15">
        <f t="shared" si="1"/>
        <v>2.1700033811607869E-4</v>
      </c>
      <c r="AE28" s="15">
        <f t="shared" si="1"/>
        <v>2.3057087443581698E-4</v>
      </c>
      <c r="AF28" s="15">
        <f t="shared" si="1"/>
        <v>2.4414141075555692E-4</v>
      </c>
      <c r="AG28" s="15">
        <f t="shared" si="1"/>
        <v>2.5771194707529697E-4</v>
      </c>
      <c r="AH28" s="15">
        <f t="shared" si="1"/>
        <v>2.7128248339503518E-4</v>
      </c>
      <c r="AI28" s="15">
        <f t="shared" si="1"/>
        <v>2.8485301971477517E-4</v>
      </c>
      <c r="AJ28" s="15">
        <f t="shared" si="1"/>
        <v>2.9842355603451517E-4</v>
      </c>
      <c r="AK28" s="15">
        <f t="shared" si="1"/>
        <v>3.1199409235425343E-4</v>
      </c>
    </row>
    <row r="29" spans="1:37" ht="30" x14ac:dyDescent="0.25">
      <c r="A29" s="30" t="s">
        <v>265</v>
      </c>
      <c r="B29" s="12">
        <f>SUM(B28:AK28)</f>
        <v>2.6333332029363579</v>
      </c>
      <c r="C29" s="1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1" spans="1:37" x14ac:dyDescent="0.25">
      <c r="P31" s="15"/>
    </row>
  </sheetData>
  <mergeCells count="2">
    <mergeCell ref="D9:E9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Stock</vt:lpstr>
      <vt:lpstr>Fleet</vt:lpstr>
      <vt:lpstr>Obs</vt:lpstr>
      <vt:lpstr>Imp</vt:lpstr>
      <vt:lpstr>OM</vt:lpstr>
      <vt:lpstr>x.SR</vt:lpstr>
      <vt:lpstr>F D</vt:lpstr>
      <vt:lpstr>x.Growth</vt:lpstr>
      <vt:lpstr>x.SSB0</vt:lpstr>
      <vt:lpstr>x.Pregnancy</vt:lpstr>
      <vt:lpstr>Pup_estimates</vt:lpstr>
      <vt:lpstr>Model_output</vt:lpstr>
      <vt:lpstr>x.SR!hs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Deith, Mairin</cp:lastModifiedBy>
  <dcterms:created xsi:type="dcterms:W3CDTF">2017-06-29T22:07:42Z</dcterms:created>
  <dcterms:modified xsi:type="dcterms:W3CDTF">2018-04-17T21:30:46Z</dcterms:modified>
</cp:coreProperties>
</file>