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50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42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41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40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5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51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47.xml"/>
  <Override ContentType="application/vnd.openxmlformats-officedocument.spreadsheetml.pivotTable+xml" PartName="/xl/pivotTables/pivotTable46.xml"/>
  <Override ContentType="application/vnd.openxmlformats-officedocument.spreadsheetml.pivotTable+xml" PartName="/xl/pivotTables/pivotTable3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48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45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53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49.xml"/>
  <Override ContentType="application/vnd.openxmlformats-officedocument.spreadsheetml.pivotTable+xml" PartName="/xl/pivotTables/pivotTable3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44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37.xml"/>
  <Override ContentType="application/vnd.openxmlformats-officedocument.spreadsheetml.pivotTable+xml" PartName="/xl/pivotTables/pivotTable43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8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 Refresh Execution Log" sheetId="1" r:id="rId5"/>
    <sheet state="visible" name="SF Kitchen Data" sheetId="2" r:id="rId6"/>
    <sheet state="hidden" name="Sellable No Status" sheetId="3" r:id="rId7"/>
    <sheet state="hidden" name="All no status kitchens" sheetId="4" r:id="rId8"/>
    <sheet state="visible" name="LF Comp" sheetId="5" r:id="rId9"/>
    <sheet state="visible" name="Pivot Table 10" sheetId="6" r:id="rId10"/>
    <sheet state="visible" name="Area Data" sheetId="7" r:id="rId11"/>
    <sheet state="visible" name="SF Churn Data" sheetId="8" r:id="rId12"/>
    <sheet state="visible" name="KSA Facility details" sheetId="9" r:id="rId13"/>
    <sheet state="visible" name="Inflation FPx" sheetId="10" r:id="rId14"/>
    <sheet state="visible" name="Price Multipliers" sheetId="11" r:id="rId15"/>
    <sheet state="visible" name="Occupancy" sheetId="12" r:id="rId16"/>
    <sheet state="hidden" name="Pivot Table 4" sheetId="13" r:id="rId17"/>
    <sheet state="hidden" name="All Available Kitchens" sheetId="14" r:id="rId18"/>
    <sheet state="visible" name="Riyadh ---&gt;" sheetId="15" r:id="rId19"/>
    <sheet state="visible" name="Qurtoba" sheetId="16" r:id="rId20"/>
    <sheet state="visible" name="Olaya" sheetId="17" r:id="rId21"/>
    <sheet state="visible" name="Sulimaniah" sheetId="18" r:id="rId22"/>
    <sheet state="visible" name="Wadi" sheetId="19" r:id="rId23"/>
    <sheet state="visible" name="Dahrat Laban" sheetId="20" r:id="rId24"/>
    <sheet state="visible" name="Suweidi" sheetId="21" r:id="rId25"/>
    <sheet state="visible" name="Suweidi 2" sheetId="22" r:id="rId26"/>
    <sheet state="visible" name="Malga 1" sheetId="23" r:id="rId27"/>
    <sheet state="visible" name="Malga 2" sheetId="24" r:id="rId28"/>
    <sheet state="visible" name="Khaleej" sheetId="25" r:id="rId29"/>
    <sheet state="visible" name="Salam" sheetId="26" r:id="rId30"/>
    <sheet state="visible" name="Aqiq" sheetId="27" r:id="rId31"/>
    <sheet state="visible" name="Aqiq 2" sheetId="28" r:id="rId32"/>
    <sheet state="visible" name="Jarir" sheetId="29" r:id="rId33"/>
    <sheet state="visible" name="King Fahd" sheetId="30" r:id="rId34"/>
    <sheet state="visible" name="Arid 2" sheetId="31" r:id="rId35"/>
    <sheet state="hidden" name="Sheet32" sheetId="32" r:id="rId36"/>
    <sheet state="visible" name="Narjis" sheetId="33" r:id="rId37"/>
    <sheet state="visible" name="King Faisal" sheetId="34" r:id="rId38"/>
    <sheet state="visible" name="Yasmin" sheetId="35" r:id="rId39"/>
    <sheet state="visible" name="Wurud" sheetId="36" r:id="rId40"/>
    <sheet state="visible" name="Copy of Wurud" sheetId="37" r:id="rId41"/>
    <sheet state="visible" name="Eastern Province ---&gt;" sheetId="38" r:id="rId42"/>
    <sheet state="visible" name="Aqrabiya - KBR" sheetId="39" r:id="rId43"/>
    <sheet state="visible" name="Rakah - KBR" sheetId="40" r:id="rId44"/>
    <sheet state="visible" name="Zuhur - DMM" sheetId="41" r:id="rId45"/>
    <sheet state="visible" name="Rawda - DMM" sheetId="42" r:id="rId46"/>
    <sheet state="visible" name="Tertiary Cities ---&gt;" sheetId="43" r:id="rId47"/>
    <sheet state="visible" name="Hofuf" sheetId="44" r:id="rId48"/>
    <sheet state="visible" name="Bishr" sheetId="45" r:id="rId49"/>
    <sheet state="hidden" name="Olaya - Old" sheetId="46" r:id="rId50"/>
    <sheet state="hidden" name="Sulimaniah - Old" sheetId="47" r:id="rId51"/>
    <sheet state="hidden" name="Qurtoba - Old" sheetId="48" r:id="rId52"/>
    <sheet state="hidden" name="Dahrat Laban - Old" sheetId="49" r:id="rId53"/>
    <sheet state="hidden" name="Suweidi - Old" sheetId="50" r:id="rId54"/>
    <sheet state="hidden" name="Malga 1 - Old" sheetId="51" r:id="rId55"/>
    <sheet state="hidden" name="Malga 2 - Old" sheetId="52" r:id="rId56"/>
    <sheet state="hidden" name="Aqiq - Old" sheetId="53" r:id="rId57"/>
    <sheet state="hidden" name="Jarir - Old" sheetId="54" r:id="rId58"/>
    <sheet state="hidden" name="Khaleej - Old" sheetId="55" r:id="rId59"/>
    <sheet state="hidden" name="King Fahad - Old" sheetId="56" r:id="rId60"/>
    <sheet state="hidden" name="Salam - Old" sheetId="57" r:id="rId61"/>
    <sheet state="hidden" name="Narjis - Old" sheetId="58" r:id="rId62"/>
    <sheet state="hidden" name="Yasmin - Old" sheetId="59" r:id="rId63"/>
    <sheet state="hidden" name="Aqrabiya - Old" sheetId="60" r:id="rId64"/>
    <sheet state="hidden" name="Rawdah - DMM - Old" sheetId="61" r:id="rId65"/>
    <sheet state="hidden" name="Zuhur - Old" sheetId="62" r:id="rId66"/>
    <sheet state="hidden" name="Hofuf - Old" sheetId="63" r:id="rId67"/>
    <sheet state="hidden" name="Qassim - Old" sheetId="64" r:id="rId68"/>
    <sheet state="visible" name="ProFood Facilities ---&gt;" sheetId="65" r:id="rId69"/>
    <sheet state="visible" name="Tuwaiq" sheetId="66" r:id="rId70"/>
    <sheet state="visible" name="Arid 1" sheetId="67" r:id="rId71"/>
    <sheet state="visible" name="Rawda" sheetId="68" r:id="rId72"/>
    <sheet state="visible" name="Mursalat" sheetId="69" r:id="rId73"/>
  </sheets>
  <definedNames>
    <definedName hidden="1" localSheetId="1" name="_xlnm._FilterDatabase">'SF Kitchen Data'!$A$1:$U$985</definedName>
    <definedName hidden="1" localSheetId="3" name="_xlnm._FilterDatabase">'All no status kitchens'!$A$1:$Z$64</definedName>
    <definedName hidden="1" localSheetId="8" name="_xlnm._FilterDatabase">'KSA Facility details'!$A$1:$AC$33</definedName>
    <definedName hidden="1" localSheetId="15" name="_xlnm._FilterDatabase">Qurtoba!$A$1:$I$53</definedName>
    <definedName hidden="1" localSheetId="17" name="_xlnm._FilterDatabase">Sulimaniah!$A$1:$I$27</definedName>
    <definedName hidden="1" localSheetId="19" name="_xlnm._FilterDatabase">'Dahrat Laban'!$A$1:$I$39</definedName>
    <definedName hidden="1" localSheetId="21" name="_xlnm._FilterDatabase">'Suweidi 2'!$A$1:$I$14</definedName>
    <definedName hidden="1" localSheetId="25" name="_xlnm._FilterDatabase">Salam!$A$1:$I$23</definedName>
    <definedName hidden="1" localSheetId="29" name="_xlnm._FilterDatabase">'King Fahd'!$A$1:$I$30</definedName>
    <definedName hidden="1" localSheetId="32" name="_xlnm._FilterDatabase">Narjis!$A$1:$I$29</definedName>
    <definedName hidden="1" localSheetId="33" name="_xlnm._FilterDatabase">'King Faisal'!$H$1:$H$1000</definedName>
    <definedName hidden="1" localSheetId="34" name="_xlnm._FilterDatabase">Yasmin!$A$1:$I$22</definedName>
    <definedName hidden="1" localSheetId="35" name="_xlnm._FilterDatabase">Wurud!$A$1:$I$23</definedName>
    <definedName hidden="1" localSheetId="36" name="_xlnm._FilterDatabase">'Copy of Wurud'!$A$1:$I$23</definedName>
    <definedName hidden="1" localSheetId="38" name="_xlnm._FilterDatabase">'Aqrabiya - KBR'!$A$1:$I$31</definedName>
    <definedName hidden="1" localSheetId="40" name="_xlnm._FilterDatabase">'Zuhur - DMM'!$A$1:$I$26</definedName>
    <definedName hidden="1" localSheetId="43" name="_xlnm._FilterDatabase">Hofuf!$A$1:$I$21</definedName>
    <definedName hidden="1" localSheetId="44" name="_xlnm._FilterDatabase">Bishr!$A$1:$I$19</definedName>
    <definedName hidden="1" localSheetId="47" name="_xlnm._FilterDatabase">'Qurtoba - Old'!$A$1:$BM$987</definedName>
  </definedNames>
  <calcPr/>
  <pivotCaches>
    <pivotCache cacheId="0" r:id="rId74"/>
    <pivotCache cacheId="1" r:id="rId75"/>
    <pivotCache cacheId="2" r:id="rId76"/>
    <pivotCache cacheId="3" r:id="rId7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tc={0c86671e-baa1-44fb-83e4-b18e85c40fc1}</author>
    <author>tc={42f6ac60-432c-429b-9ca8-6b2f2348f948}</author>
    <author>tc={57ca615f-15ea-47fc-b13e-368dadf67335}</author>
    <author>tc={65dff0f1-ff49-44a4-b1ac-dcd2611e8b63}</author>
    <author>tc={8a3eafe4-adaa-4360-8fc4-2c41c542e6c1}</author>
    <author>tc={a411ed3e-1b54-4acf-a328-afb8bcaf0292}</author>
  </authors>
  <commentList>
    <comment authorId="0" xr:uid="{0c86671e-baa1-44fb-83e4-b18e85c40f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we can do Wadi 0.9 to get it closer to yasmin prices if TT approves @jad.hajjar@cloudkitchens.com
Assigned to jad.hajjar@cloudkitchens.com
Reply:
	Not me, tell Maher.
</t>
      </text>
    </comment>
    <comment authorId="1" xr:uid="{42f6ac60-432c-429b-9ca8-6b2f2348f9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@jad.hajjar@cloudkitchens.com Can we add MSRP please? Same for UAH.
Assigned to jad.hajjar@cloudkitchens.com
Reply:
	Done
</t>
      </text>
    </comment>
    <comment authorId="2" xr:uid="{57ca615f-15ea-47fc-b13e-368dadf6733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@mark.grehan@cloudkitchens.com
</t>
      </text>
    </comment>
    <comment authorId="3" xr:uid="{65dff0f1-ff49-44a4-b1ac-dcd2611e8b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we can do wadi 0.90 to make it near to yasmin prices if TT approves @jad.hajjar@cloudkitchens.com
</t>
      </text>
    </comment>
    <comment authorId="4" xr:uid="{8a3eafe4-adaa-4360-8fc4-2c41c542e6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@jad.hajjar@cloudkitchens.com I assume you made this outrageous formula. Can you please add the same logic for the below kitchens. 
K17 (Hot) - SA - RUH - Yasmin
K18 (Hot) - SA - RUH - Yasmin
K19 (Hot) - SA - RUH - Yasmin
Assigned to jad.hajjar@cloudkitchens.com
</t>
      </text>
    </comment>
    <comment authorId="5" xr:uid="{a411ed3e-1b54-4acf-a328-afb8bcaf02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@tala.zeineddine@cloudkitchens.com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SF Kitchen Data - KSA
Field: Account.Name</t>
      </text>
    </comment>
    <comment authorId="0" ref="B1">
      <text>
        <t xml:space="preserve">Salesforce Report Data
Report: SF Kitchen Data - KSA
Field: Kitchen_Number__c.Type__c</t>
      </text>
    </comment>
    <comment authorId="0" ref="C1">
      <text>
        <t xml:space="preserve">Salesforce Report Data
Report: SF Kitchen Data - KSA
Field: Kitchen_Number__c.Category__c</t>
      </text>
    </comment>
    <comment authorId="0" ref="D1">
      <text>
        <t xml:space="preserve">Salesforce Report Data
Report: SF Kitchen Data - KSA
Field: Kitchen_Number__c.Kitchen_Number_ID_18__c</t>
      </text>
    </comment>
    <comment authorId="0" ref="E1">
      <text>
        <t xml:space="preserve">Salesforce Report Data
Report: SF Kitchen Data - KSA
Field: Kitchen_Number__c.Name</t>
      </text>
    </comment>
    <comment authorId="0" ref="F1">
      <text>
        <t xml:space="preserve">Salesforce Report Data
Report: SF Kitchen Data - KSA
Field: Kitchen_Number__c.Status__c</t>
      </text>
    </comment>
    <comment authorId="0" ref="G1">
      <text>
        <t xml:space="preserve">Salesforce Report Data
Report: SF Kitchen Data - KSA
Field: Kitchen_Number__c.Kitchen_Size_Sq_Meters__c</t>
      </text>
    </comment>
    <comment authorId="0" ref="H1">
      <text>
        <t xml:space="preserve">Salesforce Report Data
Report: SF Kitchen Data - KSA
Field: Kitchen_Number__c.Hood_Size__c</t>
      </text>
    </comment>
    <comment authorId="0" ref="I1">
      <text>
        <t xml:space="preserve">Salesforce Report Data
Report: SF Kitchen Data - KSA
Field: Kitchen_Number__c.Floor_Price__c</t>
      </text>
    </comment>
    <comment authorId="0" ref="J1">
      <text>
        <t xml:space="preserve">Salesforce Report Data
Report: SF Kitchen Data - KSA
Field: Kitchen_Number__c.Sell_Price__c</t>
      </text>
    </comment>
    <comment authorId="0" ref="K1">
      <text>
        <t xml:space="preserve">Salesforce Report Data
Report: SF Kitchen Data - KSA
Field: Kitchen_Number__c.Activation_Fee__c</t>
      </text>
    </comment>
    <comment authorId="0" ref="L1">
      <text>
        <t xml:space="preserve">Salesforce Report Data
Report: SF Kitchen Data - KSA
Field: Opportunity.Opportunity_ID_18__c</t>
      </text>
    </comment>
    <comment authorId="0" ref="M1">
      <text>
        <t xml:space="preserve">Salesforce Report Data
Report: SF Kitchen Data - KSA
Field: Opportunity.Name</t>
      </text>
    </comment>
    <comment authorId="0" ref="N1">
      <text>
        <t xml:space="preserve">Salesforce Report Data
Report: SF Kitchen Data - KSA
Field: Opportunity.Owner.Name</t>
      </text>
    </comment>
    <comment authorId="0" ref="O1">
      <text>
        <t xml:space="preserve">Salesforce Report Data
Report: SF Kitchen Data - KSA
Field: Kitchen_Number__c.Floor__c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Removed Kitchens Available to Sell
Field: Kitchen_Number__c.Type__c</t>
      </text>
    </comment>
    <comment authorId="0" ref="B1">
      <text>
        <t xml:space="preserve">Salesforce Report Data
Report: Removed Kitchens Available to Sell
Field: Kitchen_Number__c.Category__c</t>
      </text>
    </comment>
    <comment authorId="0" ref="C1">
      <text>
        <t xml:space="preserve">Salesforce Report Data
Report: Removed Kitchens Available to Sell
Field: Kitchen_Number__c.Kitchen_Number_ID_18__c</t>
      </text>
    </comment>
    <comment authorId="0" ref="D1">
      <text>
        <t xml:space="preserve">Salesforce Report Data
Report: Removed Kitchens Available to Sell
Field: Kitchen_Number__c.Name</t>
      </text>
    </comment>
    <comment authorId="0" ref="E1">
      <text>
        <t xml:space="preserve">Salesforce Report Data
Report: Removed Kitchens Available to Sell
Field: Kitchen_Number__c.Status__c</t>
      </text>
    </comment>
    <comment authorId="0" ref="F1">
      <text>
        <t xml:space="preserve">Salesforce Report Data
Report: Removed Kitchens Available to Sell
Field: Kitchen_Number__c.Kitchen_Size_Sq_Meters__c</t>
      </text>
    </comment>
    <comment authorId="0" ref="G1">
      <text>
        <t xml:space="preserve">Salesforce Report Data
Report: Removed Kitchens Available to Sell
Field: Kitchen_Number__c.Hood_Size__c</t>
      </text>
    </comment>
    <comment authorId="0" ref="H1">
      <text>
        <t xml:space="preserve">Salesforce Report Data
Report: Removed Kitchens Available to Sell
Field: Kitchen_Number__c.Floor_Price__c</t>
      </text>
    </comment>
    <comment authorId="0" ref="I1">
      <text>
        <t xml:space="preserve">Salesforce Report Data
Report: Removed Kitchens Available to Sell
Field: Kitchen_Number__c.MSRP__c</t>
      </text>
    </comment>
    <comment authorId="0" ref="J1">
      <text>
        <t xml:space="preserve">Salesforce Report Data
Report: Removed Kitchens Available to Sell
Field: Kitchen_Number__c.Activation_Fee__c</t>
      </text>
    </comment>
    <comment authorId="0" ref="K1">
      <text>
        <t xml:space="preserve">Salesforce Report Data
Report: Removed Kitchens Available to Sell
Field: Opportunity.Opportunity_ID_18__c</t>
      </text>
    </comment>
    <comment authorId="0" ref="L1">
      <text>
        <t xml:space="preserve">Salesforce Report Data
Report: Removed Kitchens Available to Sell
Field: Opportunity.Name</t>
      </text>
    </comment>
    <comment authorId="0" ref="M1">
      <text>
        <t xml:space="preserve">Salesforce Report Data
Report: Removed Kitchens Available to Sell
Field: Opportunity.Owner.Name</t>
      </text>
    </comment>
    <comment authorId="0" ref="N1">
      <text>
        <t xml:space="preserve">Salesforce Report Data
Report: Removed Kitchens Available to Sell
Field: Kitchen_Number__c.Floor__c</t>
      </text>
    </comment>
    <comment authorId="0" ref="O1">
      <text>
        <t xml:space="preserve">Salesforce Report Data
Report: Removed Kitchens Available to Sell
Field: Kitchen_Number__c.Electric_Load_kW__c</t>
      </text>
    </comment>
    <comment authorId="0" ref="P1">
      <text>
        <t xml:space="preserve">Salesforce Report Data
Report: Removed Kitchens Available to Sell
Field: Kitchen_Number__c.Gas_Load_kW__c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SF Kitchen Data - No Status
Field: Kitchen_Number__c.Type__c</t>
      </text>
    </comment>
    <comment authorId="0" ref="B1">
      <text>
        <t xml:space="preserve">Salesforce Report Data
Report: SF Kitchen Data - No Status
Field: Kitchen_Number__c.Category__c</t>
      </text>
    </comment>
    <comment authorId="0" ref="C1">
      <text>
        <t xml:space="preserve">Salesforce Report Data
Report: SF Kitchen Data - No Status
Field: Kitchen_Number__c.Kitchen_Number_ID_18__c</t>
      </text>
    </comment>
    <comment authorId="0" ref="D1">
      <text>
        <t xml:space="preserve">Salesforce Report Data
Report: SF Kitchen Data - No Status
Field: Kitchen_Number__c.Name</t>
      </text>
    </comment>
    <comment authorId="0" ref="E1">
      <text>
        <t xml:space="preserve">Salesforce Report Data
Report: SF Kitchen Data - No Status
Field: Kitchen_Number__c.Status__c</t>
      </text>
    </comment>
    <comment authorId="0" ref="F1">
      <text>
        <t xml:space="preserve">Salesforce Report Data
Report: SF Kitchen Data - No Status
Field: Kitchen_Number__c.Kitchen_Size_Sq_Meters__c</t>
      </text>
    </comment>
    <comment authorId="0" ref="G1">
      <text>
        <t xml:space="preserve">Salesforce Report Data
Report: SF Kitchen Data - No Status
Field: Kitchen_Number__c.Hood_Size__c</t>
      </text>
    </comment>
    <comment authorId="0" ref="H1">
      <text>
        <t xml:space="preserve">Salesforce Report Data
Report: SF Kitchen Data - No Status
Field: Kitchen_Number__c.Floor_Price__c</t>
      </text>
    </comment>
    <comment authorId="0" ref="I1">
      <text>
        <t xml:space="preserve">Salesforce Report Data
Report: SF Kitchen Data - No Status
Field: Kitchen_Number__c.MSRP__c</t>
      </text>
    </comment>
    <comment authorId="0" ref="J1">
      <text>
        <t xml:space="preserve">Salesforce Report Data
Report: SF Kitchen Data - No Status
Field: Kitchen_Number__c.Activation_Fee__c</t>
      </text>
    </comment>
    <comment authorId="0" ref="K1">
      <text>
        <t xml:space="preserve">Salesforce Report Data
Report: SF Kitchen Data - No Status
Field: Opportunity.Opportunity_ID_18__c</t>
      </text>
    </comment>
    <comment authorId="0" ref="L1">
      <text>
        <t xml:space="preserve">Salesforce Report Data
Report: SF Kitchen Data - No Status
Field: Opportunity.Name</t>
      </text>
    </comment>
    <comment authorId="0" ref="M1">
      <text>
        <t xml:space="preserve">Salesforce Report Data
Report: SF Kitchen Data - No Status
Field: Opportunity.Owner.Name</t>
      </text>
    </comment>
    <comment authorId="0" ref="N1">
      <text>
        <t xml:space="preserve">Salesforce Report Data
Report: SF Kitchen Data - No Status
Field: Kitchen_Number__c.Floor__c</t>
      </text>
    </comment>
    <comment authorId="0" ref="O1">
      <text>
        <t xml:space="preserve">Salesforce Report Data
Report: SF Kitchen Data - No Status
Field: Kitchen_Number__c.Electric_Load_kW__c</t>
      </text>
    </comment>
    <comment authorId="0" ref="P1">
      <text>
        <t xml:space="preserve">Salesforce Report Data
Report: SF Kitchen Data - No Status
Field: Kitchen_Number__c.Gas_Load_kW__c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New SF Kitchen Data - KSA
Field: Account.Name</t>
      </text>
    </comment>
    <comment authorId="0" ref="B1">
      <text>
        <t xml:space="preserve">Salesforce Report Data
Report: New SF Kitchen Data - KSA
Field: Kitchen_Number__c.Type__c</t>
      </text>
    </comment>
    <comment authorId="0" ref="C1">
      <text>
        <t xml:space="preserve">Salesforce Report Data
Report: New SF Kitchen Data - KSA
Field: Kitchen_Number__c.Category__c</t>
      </text>
    </comment>
    <comment authorId="0" ref="D1">
      <text>
        <t xml:space="preserve">Salesforce Report Data
Report: New SF Kitchen Data - KSA
Field: Kitchen_Number__c.Kitchen_Number_ID_18__c</t>
      </text>
    </comment>
    <comment authorId="0" ref="E1">
      <text>
        <t xml:space="preserve">Salesforce Report Data
Report: New SF Kitchen Data - KSA
Field: Kitchen_Number__c.Name</t>
      </text>
    </comment>
    <comment authorId="0" ref="F1">
      <text>
        <t xml:space="preserve">Salesforce Report Data
Report: New SF Kitchen Data - KSA
Field: Kitchen_Number__c.Status__c</t>
      </text>
    </comment>
    <comment authorId="0" ref="G1">
      <text>
        <t xml:space="preserve">Salesforce Report Data
Report: New SF Kitchen Data - KSA
Field: Kitchen_Number__c.Kitchen_Size_Sq_Meters__c</t>
      </text>
    </comment>
    <comment authorId="0" ref="H1">
      <text>
        <t xml:space="preserve">Salesforce Report Data
Report: New SF Kitchen Data - KSA
Field: Kitchen_Number__c.Hood_Size__c</t>
      </text>
    </comment>
    <comment authorId="0" ref="I1">
      <text>
        <t xml:space="preserve">Salesforce Report Data
Report: New SF Kitchen Data - KSA
Field: Kitchen_Number__c.Floor_Price__c</t>
      </text>
    </comment>
    <comment authorId="0" ref="J1">
      <text>
        <t xml:space="preserve">Salesforce Report Data
Report: New SF Kitchen Data - KSA
Field: Kitchen_Number__c.Sell_Price__c</t>
      </text>
    </comment>
    <comment authorId="0" ref="K1">
      <text>
        <t xml:space="preserve">Salesforce Report Data
Report: New SF Kitchen Data - KSA
Field: Kitchen_Number__c.Activation_Fee__c</t>
      </text>
    </comment>
    <comment authorId="0" ref="L1">
      <text>
        <t xml:space="preserve">Salesforce Report Data
Report: New SF Kitchen Data - KSA
Field: Opportunity.Opportunity_ID_18__c</t>
      </text>
    </comment>
    <comment authorId="0" ref="M1">
      <text>
        <t xml:space="preserve">Salesforce Report Data
Report: New SF Kitchen Data - KSA
Field: Opportunity.Name</t>
      </text>
    </comment>
    <comment authorId="0" ref="N1">
      <text>
        <t xml:space="preserve">Salesforce Report Data
Report: New SF Kitchen Data - KSA
Field: Opportunity.Owner.Name</t>
      </text>
    </comment>
    <comment authorId="0" ref="O1">
      <text>
        <t xml:space="preserve">Salesforce Report Data
Report: New SF Kitchen Data - KSA
Field: Kitchen_Number__c.Floor__c</t>
      </text>
    </comment>
    <comment authorId="0" ref="P1">
      <text>
        <t xml:space="preserve">Salesforce Report Data
Report: New SF Kitchen Data - KSA
Field: Account.County__c</t>
      </text>
    </comment>
    <comment authorId="0" ref="Q1">
      <text>
        <t xml:space="preserve">Salesforce Report Data
Report: New SF Kitchen Data - KSA
Field: Opportunity.Monthly_License_Fee__c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SF Kitchen Data - KSA
Field: Account.Name</t>
      </text>
    </comment>
    <comment authorId="0" ref="B1">
      <text>
        <t xml:space="preserve">Salesforce Report Data
Report: SF Kitchen Data - KSA
Field: Kitchen_Number__c.Type__c</t>
      </text>
    </comment>
    <comment authorId="0" ref="C1">
      <text>
        <t xml:space="preserve">Salesforce Report Data
Report: SF Kitchen Data - KSA
Field: Kitchen_Number__c.Category__c</t>
      </text>
    </comment>
    <comment authorId="0" ref="D1">
      <text>
        <t xml:space="preserve">Salesforce Report Data
Report: SF Kitchen Data - KSA
Field: Kitchen_Number__c.Kitchen_Number_ID_18__c</t>
      </text>
    </comment>
    <comment authorId="0" ref="E1">
      <text>
        <t xml:space="preserve">Salesforce Report Data
Report: SF Kitchen Data - KSA
Field: Kitchen_Number__c.Name</t>
      </text>
    </comment>
    <comment authorId="0" ref="F1">
      <text>
        <t xml:space="preserve">Salesforce Report Data
Report: SF Kitchen Data - KSA
Field: Kitchen_Number__c.Status__c</t>
      </text>
    </comment>
    <comment authorId="0" ref="G1">
      <text>
        <t xml:space="preserve">Salesforce Report Data
Report: SF Kitchen Data - KSA
Field: Kitchen_Number__c.Kitchen_Size_Sq_Meters__c</t>
      </text>
    </comment>
    <comment authorId="0" ref="H1">
      <text>
        <t xml:space="preserve">Salesforce Report Data
Report: SF Kitchen Data - KSA
Field: Kitchen_Number__c.Hood_Size__c</t>
      </text>
    </comment>
    <comment authorId="0" ref="I1">
      <text>
        <t xml:space="preserve">Salesforce Report Data
Report: SF Kitchen Data - KSA
Field: Kitchen_Number__c.Floor_Price__c</t>
      </text>
    </comment>
    <comment authorId="0" ref="J1">
      <text>
        <t xml:space="preserve">Salesforce Report Data
Report: SF Kitchen Data - KSA
Field: Kitchen_Number__c.Sell_Price__c</t>
      </text>
    </comment>
    <comment authorId="0" ref="K1">
      <text>
        <t xml:space="preserve">Salesforce Report Data
Report: SF Kitchen Data - KSA
Field: Kitchen_Number__c.Activation_Fee__c</t>
      </text>
    </comment>
    <comment authorId="0" ref="L1">
      <text>
        <t xml:space="preserve">Salesforce Report Data
Report: SF Kitchen Data - KSA
Field: Opportunity.Opportunity_ID_18__c</t>
      </text>
    </comment>
    <comment authorId="0" ref="M1">
      <text>
        <t xml:space="preserve">Salesforce Report Data
Report: SF Kitchen Data - KSA
Field: Opportunity.Name</t>
      </text>
    </comment>
    <comment authorId="0" ref="N1">
      <text>
        <t xml:space="preserve">Salesforce Report Data
Report: SF Kitchen Data - KSA
Field: Opportunity.Owner.Name</t>
      </text>
    </comment>
    <comment authorId="0" ref="O1">
      <text>
        <t xml:space="preserve">Salesforce Report Data
Report: SF Kitchen Data - KSA
Field: Kitchen_Number__c.Floor__c</t>
      </text>
    </comment>
    <comment authorId="0" ref="P1">
      <text>
        <t xml:space="preserve">Salesforce Report Data
Report: SF Kitchen Data - KSA
Field: Account.County__c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SF Churn Data - KSA
Field: Account.Name</t>
      </text>
    </comment>
    <comment authorId="0" ref="B1">
      <text>
        <t xml:space="preserve">Salesforce Report Data
Report: SF Churn Data - KSA
Field: Kitchen_Number__c.Type__c</t>
      </text>
    </comment>
    <comment authorId="0" ref="C1">
      <text>
        <t xml:space="preserve">Salesforce Report Data
Report: SF Churn Data - KSA
Field: Kitchen_Number__c.Category__c</t>
      </text>
    </comment>
    <comment authorId="0" ref="D1">
      <text>
        <t xml:space="preserve">Salesforce Report Data
Report: SF Churn Data - KSA
Field: Kitchen_Number__c.Kitchen_Number_ID_18__c</t>
      </text>
    </comment>
    <comment authorId="0" ref="E1">
      <text>
        <t xml:space="preserve">Salesforce Report Data
Report: SF Churn Data - KSA
Field: Kitchen_Number__c.Name</t>
      </text>
    </comment>
    <comment authorId="0" ref="F1">
      <text>
        <t xml:space="preserve">Salesforce Report Data
Report: SF Churn Data - KSA
Field: Kitchen_Number__c.Status__c</t>
      </text>
    </comment>
    <comment authorId="0" ref="G1">
      <text>
        <t xml:space="preserve">Salesforce Report Data
Report: SF Churn Data - KSA
Field: Kitchen_Number__c.Kitchen_Size_Sq_Meters__c</t>
      </text>
    </comment>
    <comment authorId="0" ref="H1">
      <text>
        <t xml:space="preserve">Salesforce Report Data
Report: SF Churn Data - KSA
Field: Kitchen_Number__c.Hood_Size__c</t>
      </text>
    </comment>
    <comment authorId="0" ref="I1">
      <text>
        <t xml:space="preserve">Salesforce Report Data
Report: SF Churn Data - KSA
Field: Kitchen_Number__c.Floor_Price__c</t>
      </text>
    </comment>
    <comment authorId="0" ref="J1">
      <text>
        <t xml:space="preserve">Salesforce Report Data
Report: SF Churn Data - KSA
Field: Kitchen_Number__c.MSRP__c</t>
      </text>
    </comment>
    <comment authorId="0" ref="K1">
      <text>
        <t xml:space="preserve">Salesforce Report Data
Report: SF Churn Data - KSA
Field: Kitchen_Number__c.Activation_Fee__c</t>
      </text>
    </comment>
    <comment authorId="0" ref="L1">
      <text>
        <t xml:space="preserve">Salesforce Report Data
Report: SF Churn Data - KSA
Field: Opportunity.Opportunity_ID_18__c</t>
      </text>
    </comment>
    <comment authorId="0" ref="M1">
      <text>
        <t xml:space="preserve">Salesforce Report Data
Report: SF Churn Data - KSA
Field: Opportunity.Name</t>
      </text>
    </comment>
    <comment authorId="0" ref="N1">
      <text>
        <t xml:space="preserve">Salesforce Report Data
Report: SF Churn Data - KSA
Field: Opportunity.Owner.Name</t>
      </text>
    </comment>
    <comment authorId="0" ref="O1">
      <text>
        <t xml:space="preserve">Salesforce Report Data
Report: SF Churn Data - KSA
Field: Kitchen_Number__c.Floor__c</t>
      </text>
    </comment>
    <comment authorId="0" ref="P1">
      <text>
        <t xml:space="preserve">Salesforce Report Data
Report: SF Churn Data - KSA
Field: Kitchen_Number__c.Electric_Load_kW__c</t>
      </text>
    </comment>
    <comment authorId="0" ref="Q1">
      <text>
        <t xml:space="preserve">Salesforce Report Data
Report: SF Churn Data - KSA
Field: Kitchen_Number__c.Gas_Load_kW__c</t>
      </text>
    </comment>
    <comment authorId="0" ref="R1">
      <text>
        <t xml:space="preserve">Salesforce Report Data
Report: SF Churn Data - KSA
Field: Opportunity.Churn_Date__c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tc={3695b8d8-db80-423b-8c67-519acdde1044}</author>
  </authors>
  <commentList>
    <comment authorId="0" xr:uid="{3695b8d8-db80-423b-8c67-519acdde1044}" ref="L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@toufic.daher@cloudkitchens.com K17 (hot) should be K18 (hot)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Facility Sell Price Multipliers
Field: Account.Country__c</t>
      </text>
    </comment>
    <comment authorId="0" ref="B1">
      <text>
        <t xml:space="preserve">Salesforce Report Data
Report: Facility Sell Price Multipliers
Field: ACCOUNT.NAME</t>
      </text>
    </comment>
    <comment authorId="0" ref="C1">
      <text>
        <t xml:space="preserve">Salesforce Report Data
Report: Facility Sell Price Multipliers
Field: Account.Account_ID_18__c</t>
      </text>
    </comment>
    <comment authorId="0" ref="D1">
      <text>
        <t xml:space="preserve">Salesforce Report Data
Report: Facility Sell Price Multipliers
Field: Account.Floor_Price_Multiplier__c</t>
      </text>
    </comment>
    <comment authorId="0" ref="E1">
      <text>
        <t xml:space="preserve">Salesforce Report Data
Report: Facility Sell Price Multipliers
Field: Account.Total_Kitchen_Numbers__c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tc={2cf0fd05-9c45-4d18-9308-eafe9a0e102c}</author>
    <author>tc={7495a398-2096-47df-baea-205e538f3aa2}</author>
    <author>tc={818ace08-5d3d-44f6-b2bb-f602638e498f}</author>
  </authors>
  <commentList>
    <comment authorId="0" xr:uid="{2cf0fd05-9c45-4d18-9308-eafe9a0e102c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Tao Transfer
</t>
      </text>
    </comment>
    <comment authorId="1" xr:uid="{7495a398-2096-47df-baea-205e538f3aa2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Tao transfer
</t>
      </text>
    </comment>
    <comment authorId="2" xr:uid="{818ace08-5d3d-44f6-b2bb-f602638e498f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@jad.hajjar@cloudkitchens.com Can you fix the conditional formatting please?
Assigned to jad.hajjar@cloudkitchens.com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tc={fad9a645-c4d9-4b47-b35c-2a08147b71e0}</author>
  </authors>
  <commentList>
    <comment authorId="0" xr:uid="{fad9a645-c4d9-4b47-b35c-2a08147b71e0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 price @mark.grehan@cloudkitchens.com
Assigned to mark.grehan@cloudkitchens.com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tc={43046702-40ba-430d-b42d-fa84c3d5cf08}</author>
    <author>tc={7e247b1e-4711-4d82-ae1f-e3b043a7e997}</author>
    <author>tc={8b48b8b4-6bca-4fab-bc39-9184b08279c5}</author>
    <author>tc={a683ad49-4bd1-48c1-b992-b85bf1e1a069}</author>
    <author>tc={ad7e76b4-9a36-4cac-acd1-2a664b7af927}</author>
  </authors>
  <commentList>
    <comment authorId="0" xr:uid="{43046702-40ba-430d-b42d-fa84c3d5cf08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Deboned
</t>
      </text>
    </comment>
    <comment authorId="1" xr:uid="{7e247b1e-4711-4d82-ae1f-e3b043a7e997}" ref="D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Wok to Wok Transfer
</t>
      </text>
    </comment>
    <comment authorId="2" xr:uid="{8b48b8b4-6bca-4fab-bc39-9184b08279c5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Wok to Wok transfer
</t>
      </text>
    </comment>
    <comment authorId="3" xr:uid="{a683ad49-4bd1-48c1-b992-b85bf1e1a069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Wok to Wok
</t>
      </text>
    </comment>
    <comment authorId="4" xr:uid="{ad7e76b4-9a36-4cac-acd1-2a664b7af927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Mohammad SU
</t>
      </text>
    </comment>
  </commentList>
</comments>
</file>

<file path=xl/sharedStrings.xml><?xml version="1.0" encoding="utf-8"?>
<sst xmlns="http://schemas.openxmlformats.org/spreadsheetml/2006/main" count="39727" uniqueCount="4065">
  <si>
    <t>Refresh Time</t>
  </si>
  <si>
    <t>Sheet</t>
  </si>
  <si>
    <t>Operation</t>
  </si>
  <si>
    <t>Status</t>
  </si>
  <si>
    <t>User</t>
  </si>
  <si>
    <t>Price Multipliers</t>
  </si>
  <si>
    <t>Report Id: 00OVO000003z2O92AI</t>
  </si>
  <si>
    <t>Success</t>
  </si>
  <si>
    <t>jad.hajjar@cloudkitchens.com</t>
  </si>
  <si>
    <t>SF Churn Data</t>
  </si>
  <si>
    <t>Report Id: 00O6T000006Y5DiUAK</t>
  </si>
  <si>
    <t>Area Data</t>
  </si>
  <si>
    <t>Report Id: 00O6T000006Y0l6UAC</t>
  </si>
  <si>
    <t>All no status kitchens</t>
  </si>
  <si>
    <t>Report Id: 00O6T000006DPigUAG</t>
  </si>
  <si>
    <t>Sellable No Status</t>
  </si>
  <si>
    <t>Report Id: 00O6T000006DXT0UAO</t>
  </si>
  <si>
    <t>SF Kitchen Data</t>
  </si>
  <si>
    <t>Account Name</t>
  </si>
  <si>
    <t>Type</t>
  </si>
  <si>
    <t>Category</t>
  </si>
  <si>
    <t>Kitchen Number ID 18</t>
  </si>
  <si>
    <t>Kitchen Number Name</t>
  </si>
  <si>
    <t>Kitchen Size (Sq. Meters)</t>
  </si>
  <si>
    <t>Hood Size</t>
  </si>
  <si>
    <t>Floor Price</t>
  </si>
  <si>
    <t>List Price</t>
  </si>
  <si>
    <t>Activation Fee</t>
  </si>
  <si>
    <t>Opportunity ID 18</t>
  </si>
  <si>
    <t>Opportunity Name</t>
  </si>
  <si>
    <t>Opportunity Owner: Full Name</t>
  </si>
  <si>
    <t>Floor</t>
  </si>
  <si>
    <t>County</t>
  </si>
  <si>
    <t>Churn Date</t>
  </si>
  <si>
    <t xml:space="preserve"> </t>
  </si>
  <si>
    <t>SA - RUH - Aqiq</t>
  </si>
  <si>
    <t>CPU</t>
  </si>
  <si>
    <t>X</t>
  </si>
  <si>
    <t>a1LVO000003qvTV2AY</t>
  </si>
  <si>
    <t>K22 (CPU) - SA - RUH - Aqiq</t>
  </si>
  <si>
    <t>NA</t>
  </si>
  <si>
    <t>GF</t>
  </si>
  <si>
    <t>North West</t>
  </si>
  <si>
    <t>SA - RUH - Arid (2)</t>
  </si>
  <si>
    <t>Hot</t>
  </si>
  <si>
    <t>Cold</t>
  </si>
  <si>
    <t>a1LVO000004E6w52AC</t>
  </si>
  <si>
    <t>K04 (Cold) - SA - RUH - Arid (2)</t>
  </si>
  <si>
    <t>North</t>
  </si>
  <si>
    <t>SA - RUH - Narjis</t>
  </si>
  <si>
    <t>COLD</t>
  </si>
  <si>
    <t>a1L6T00000iJA28UAG</t>
  </si>
  <si>
    <t>K01 (Cold) - SA - RUH - Narjis</t>
  </si>
  <si>
    <t>C</t>
  </si>
  <si>
    <t>a1LVO000004E7H32AK</t>
  </si>
  <si>
    <t>K17 (Hot) - SA - RUH - Arid (2)</t>
  </si>
  <si>
    <t>2.4m</t>
  </si>
  <si>
    <t>1st</t>
  </si>
  <si>
    <t>SA - RUH - Mursalat</t>
  </si>
  <si>
    <t>Hot Kitchen</t>
  </si>
  <si>
    <t>a1LVO000002yMFp2AM</t>
  </si>
  <si>
    <t>K06 (Hot) - SA - MUR</t>
  </si>
  <si>
    <t>2.4m Hood</t>
  </si>
  <si>
    <t>Center</t>
  </si>
  <si>
    <t>D</t>
  </si>
  <si>
    <t>a1LVO000002yMHR2A2</t>
  </si>
  <si>
    <t>K07 (Hot) - SA - MUR</t>
  </si>
  <si>
    <t>3.0m Hood</t>
  </si>
  <si>
    <t>a1LVO000002yMJ32AM</t>
  </si>
  <si>
    <t>K08 (Hot) - SA - MUR</t>
  </si>
  <si>
    <t>a1LVO000002yMAz2AM</t>
  </si>
  <si>
    <t>K03 (Hot) - SA - MUR</t>
  </si>
  <si>
    <t>a1LVO000002yMCb2AM</t>
  </si>
  <si>
    <t>K04 (Hot) - SA - MUR</t>
  </si>
  <si>
    <t>a1LVO000002yMED2A2</t>
  </si>
  <si>
    <t>K05 (Hot) - SA - MUR</t>
  </si>
  <si>
    <t>E</t>
  </si>
  <si>
    <t>a1LVO000002yM9N2AU</t>
  </si>
  <si>
    <t>K02 (Hot) - SA - MUR</t>
  </si>
  <si>
    <t>a1LVO000002yM7l2AE</t>
  </si>
  <si>
    <t>K01 (Hot) - SA - MUR</t>
  </si>
  <si>
    <t>a1LVO000002yMfd2AE</t>
  </si>
  <si>
    <t>K23 (Hot) - SA - MUR</t>
  </si>
  <si>
    <t>2nd</t>
  </si>
  <si>
    <t>a1LVO000002yMhF2AU</t>
  </si>
  <si>
    <t>K22 (Hot) - SA - MUR</t>
  </si>
  <si>
    <t>a1LVO000002yMcP2AU</t>
  </si>
  <si>
    <t>K21 (Hot) - SA - MUR</t>
  </si>
  <si>
    <t>a1LVO000002yMe12AE</t>
  </si>
  <si>
    <t>K20 (Hot) - SA - MUR</t>
  </si>
  <si>
    <t>a1LVO000002yMan2AE</t>
  </si>
  <si>
    <t>K18 (Hot) - SA - MUR</t>
  </si>
  <si>
    <t>a1LVO000002yMVx2AM</t>
  </si>
  <si>
    <t>K16 (Hot) - SA - MUR</t>
  </si>
  <si>
    <t>a1LVO000002yMXZ2A2</t>
  </si>
  <si>
    <t>K17 (Hot) - SA - MUR</t>
  </si>
  <si>
    <t>a1LVO000002yMZB2A2</t>
  </si>
  <si>
    <t>K19 (Hot) - SA - MUR</t>
  </si>
  <si>
    <t>a1LVO000002yMSj2AM</t>
  </si>
  <si>
    <t>K14 (Hot) - SA - MUR</t>
  </si>
  <si>
    <t>a1LVO000002yMUL2A2</t>
  </si>
  <si>
    <t>K15 (Hot) - SA - MUR</t>
  </si>
  <si>
    <t>a1LVO000002yMNt2AM</t>
  </si>
  <si>
    <t>K11 (Hot) - SA - MUR</t>
  </si>
  <si>
    <t>a1LVO000002yMPV2A2</t>
  </si>
  <si>
    <t>K12 (Hot) - SA - MUR</t>
  </si>
  <si>
    <t>a1LVO000002yMR72AM</t>
  </si>
  <si>
    <t>K13 (Hot) - SA - MUR</t>
  </si>
  <si>
    <t>a1LVO000002yMKf2AM</t>
  </si>
  <si>
    <t>K09 (Hot) - SA - MUR</t>
  </si>
  <si>
    <t>a1LVO000002yMMH2A2</t>
  </si>
  <si>
    <t>K10 (Hot) - SA - MUR</t>
  </si>
  <si>
    <t>SA - RUH - Malga (1)</t>
  </si>
  <si>
    <t>A</t>
  </si>
  <si>
    <t>a1L5G000004NKhtUAG</t>
  </si>
  <si>
    <t>K16 (Hot) - SA - RUH - Malga 1</t>
  </si>
  <si>
    <t>2.0m</t>
  </si>
  <si>
    <t>1st Floor</t>
  </si>
  <si>
    <t>a1L5G000004NKhvUAG</t>
  </si>
  <si>
    <t>K18 (Hot) - SA - RUH - Malga 1</t>
  </si>
  <si>
    <t>3.0m</t>
  </si>
  <si>
    <t>a1L5G000004NKhwUAG</t>
  </si>
  <si>
    <t>K19 (Hot) - SA - RUH - Malga 1</t>
  </si>
  <si>
    <t>a1L5G000004NKhlUAG</t>
  </si>
  <si>
    <t>K08 (Hot) - SA - RUH - Malga 1</t>
  </si>
  <si>
    <t>SA - QSM - Al Bishr</t>
  </si>
  <si>
    <t>a1L6T00000d2MvuUAE</t>
  </si>
  <si>
    <t>K13 (Hot) - SA - RUH - QSM</t>
  </si>
  <si>
    <t>Churning</t>
  </si>
  <si>
    <t>006VO00000TRgP3YAL</t>
  </si>
  <si>
    <t>Samoli Ep</t>
  </si>
  <si>
    <t>Riyad Ali</t>
  </si>
  <si>
    <t>SA - AHS - Hofuf</t>
  </si>
  <si>
    <t>B</t>
  </si>
  <si>
    <t>a1L6T00000iJLZdUAO</t>
  </si>
  <si>
    <t>K06 (Hot)- KSA - AHS- Hofuf</t>
  </si>
  <si>
    <t>006VO00000dcowbYAA</t>
  </si>
  <si>
    <t>Nukhba al Wasal hofouf</t>
  </si>
  <si>
    <t>SA - RUH - Khaleej</t>
  </si>
  <si>
    <t>a1L5G000004NSiDUAW</t>
  </si>
  <si>
    <t>K26 (Hot) - SA - RUH - Khaleej</t>
  </si>
  <si>
    <t>006VO00000eOAaHYAW</t>
  </si>
  <si>
    <t>Al Normani Khaleej</t>
  </si>
  <si>
    <t>Shiraz Ali</t>
  </si>
  <si>
    <t>East</t>
  </si>
  <si>
    <t>SA - RUH - Olaya</t>
  </si>
  <si>
    <t>a1L5G000004Tzj8UAC</t>
  </si>
  <si>
    <t>K16 (Hot) - SA - RUH - Olaya</t>
  </si>
  <si>
    <t>SA - RUH - Wadi</t>
  </si>
  <si>
    <t>a1L5G000004TzoXUAS</t>
  </si>
  <si>
    <t>K07 (Hot) - SA - RUH - Wadi</t>
  </si>
  <si>
    <t>G</t>
  </si>
  <si>
    <t>a1L5G000004TzpbUAC</t>
  </si>
  <si>
    <t>K45 (Hot) - SA - RUH - Wadi</t>
  </si>
  <si>
    <t>SA - RUH - Qurtoba</t>
  </si>
  <si>
    <t>a1L5G000004TzsPUAS</t>
  </si>
  <si>
    <t>K10 (Hot) SA - RUH - Qurtoba</t>
  </si>
  <si>
    <t>North East</t>
  </si>
  <si>
    <t>SA - RUH - Dahrat Laban</t>
  </si>
  <si>
    <t>a1L5G000004TzmgUAC</t>
  </si>
  <si>
    <t>K16 (Hot) - SA - RUH - Dahrat Laban</t>
  </si>
  <si>
    <t>Mez</t>
  </si>
  <si>
    <t>South West</t>
  </si>
  <si>
    <t>a1L5G000004TzoIUAS</t>
  </si>
  <si>
    <t>K04 (Hot) - SA - RUH - Wadi</t>
  </si>
  <si>
    <t>SA - DMM - Zuhur</t>
  </si>
  <si>
    <t>a1L5G000004NecqUAC</t>
  </si>
  <si>
    <t>K22 (Hot) - SA - DMM - Zuhur</t>
  </si>
  <si>
    <t>4.0m</t>
  </si>
  <si>
    <t>a1L5G000004NSi3UAG</t>
  </si>
  <si>
    <t>K16 (Hot) - SA - RUH - Khaleej</t>
  </si>
  <si>
    <t>SA - KBR - Aqrabiya</t>
  </si>
  <si>
    <t>a1L5G000004NYIEUA4</t>
  </si>
  <si>
    <t>K16 (Hot) - SA - KBR - Aqrabiya</t>
  </si>
  <si>
    <t>a1L5G000004NYIDUA4</t>
  </si>
  <si>
    <t>K15 (Hot) - SA - KBR - Aqrabiya</t>
  </si>
  <si>
    <t>a1L5G000004NYI4UAO</t>
  </si>
  <si>
    <t>K06 (Hot) - SA - KBR - Aqrabiya</t>
  </si>
  <si>
    <t>a1L5G000004TzstUAC</t>
  </si>
  <si>
    <t>K18 (Hot) SA - RUH - Qurtoba</t>
  </si>
  <si>
    <t>F</t>
  </si>
  <si>
    <t>a1L5G000004TzsoUAC</t>
  </si>
  <si>
    <t>K16 (Hot) SA - RUH - Qurtoba</t>
  </si>
  <si>
    <t>a1L5G000004TzsjUAC</t>
  </si>
  <si>
    <t>K15 (Hot) SA - RUH - Qurtoba</t>
  </si>
  <si>
    <t>a1L5G000004TztDUAS</t>
  </si>
  <si>
    <t>K22 (Hot) SA - RUH - Qurtoba</t>
  </si>
  <si>
    <t>a1L5G000004TzuuUAC</t>
  </si>
  <si>
    <t>K02 (Cold) SA - RUH - Qurtoba</t>
  </si>
  <si>
    <t>a1LVO000004E9Nh2AK</t>
  </si>
  <si>
    <t>K05 (Hot) - SA - RUH - Arid (2)</t>
  </si>
  <si>
    <t>SA - RUH - Yasmin</t>
  </si>
  <si>
    <t>a1L6T00000iJdvcUAC</t>
  </si>
  <si>
    <t>K10 (Cold) - SA - RUH - Yasmin</t>
  </si>
  <si>
    <t>a1L6T00000iJdvVUAS</t>
  </si>
  <si>
    <t>K03 (Hot) - SA - RUH - Yasmin</t>
  </si>
  <si>
    <t>a1L5G000004NKhmUAG</t>
  </si>
  <si>
    <t>K09 (Cold) - SA - RUH - Malga 1</t>
  </si>
  <si>
    <t>2nd Floor</t>
  </si>
  <si>
    <t>a1L5G000004NKhoUAG</t>
  </si>
  <si>
    <t>K11 (Cold) - SA - RUH - Malga 1</t>
  </si>
  <si>
    <t>SA - DMM - Rawda</t>
  </si>
  <si>
    <t>a1L6T00000iJ1ELUA0</t>
  </si>
  <si>
    <t>K12 (Hot) - SA - DMM - Rawda</t>
  </si>
  <si>
    <t>a1L6T00000iJ1EPUA0</t>
  </si>
  <si>
    <t>K06 (Hot) - SA - DMM - Rawda</t>
  </si>
  <si>
    <t>a1L6T00000iJ1EJUA0</t>
  </si>
  <si>
    <t>K18 (Cold) - SA - DMM - Rawda</t>
  </si>
  <si>
    <t>a1L6T00000iJ1E9UAK</t>
  </si>
  <si>
    <t>K05 (Hot) - SA - DMM - Rawda</t>
  </si>
  <si>
    <t>SA - RUH - Sulimaniyah</t>
  </si>
  <si>
    <t>a1L6T00000iJBZYUA4</t>
  </si>
  <si>
    <t>K25 (Hot) - SA - RUH - Sulimaniyah</t>
  </si>
  <si>
    <t>3rd</t>
  </si>
  <si>
    <t>a1L6T00000kcQBPUA2</t>
  </si>
  <si>
    <t>K20 (Hot) - SA - DMM - Zuhur</t>
  </si>
  <si>
    <t>SA - RUH - Malga (2)</t>
  </si>
  <si>
    <t>a1L5G000004OE0RUAW</t>
  </si>
  <si>
    <t>K19 (Hot) - SA - RUH - Malga 2</t>
  </si>
  <si>
    <t>a1L5G000004OE0WUAW</t>
  </si>
  <si>
    <t>K10 (Hot) - SA - RUH - Malga 2</t>
  </si>
  <si>
    <t>a1L5G000004OE0LUAW</t>
  </si>
  <si>
    <t>K09 (Hot) - SA - RUH - Malga 2</t>
  </si>
  <si>
    <t>a1L5G000004NsYWUA0</t>
  </si>
  <si>
    <t>K17 (Hot) - SA - RUH - Aqiq</t>
  </si>
  <si>
    <t>SA - RUH - Sweidi</t>
  </si>
  <si>
    <t>a1L5G000004Tzk1UAC</t>
  </si>
  <si>
    <t>K05 (Hot) - SA - RUH - Sweidi</t>
  </si>
  <si>
    <t>Occupied</t>
  </si>
  <si>
    <t>0065G00000aCkVTQA0</t>
  </si>
  <si>
    <t>Logimat Mama Noura KSA - 4</t>
  </si>
  <si>
    <t>Omar Joumaa</t>
  </si>
  <si>
    <t>a1L5G000004TzkBUAS</t>
  </si>
  <si>
    <t>K07 (Hot) - SA - RUH - Sweidi</t>
  </si>
  <si>
    <t>0065G00000aCkVdQAK</t>
  </si>
  <si>
    <t>Logimat Mama Noura KSA - 5</t>
  </si>
  <si>
    <t>a1L5G000004TzpfUAC</t>
  </si>
  <si>
    <t>K23 (Hot) - SA - RUH - Wadi</t>
  </si>
  <si>
    <t>0065G00000dMtwTQAS</t>
  </si>
  <si>
    <t>Burger King SA</t>
  </si>
  <si>
    <t>Osama Eliewa</t>
  </si>
  <si>
    <t>a1L5G000004TzlTUAS</t>
  </si>
  <si>
    <t>K04 (Cold) - SA - RUH - Sweidi</t>
  </si>
  <si>
    <t>0065G00000dOim7QAC</t>
  </si>
  <si>
    <t>Eat ha</t>
  </si>
  <si>
    <t>Ahmed Alghamdi</t>
  </si>
  <si>
    <t>a1L5G000004NSfYUAW</t>
  </si>
  <si>
    <t>K21 (Cold) - SA - RUH - Malga 1</t>
  </si>
  <si>
    <t>0065G00000dOswMQAS</t>
  </si>
  <si>
    <t>Quizno's Sub - Malga</t>
  </si>
  <si>
    <t>Jad Hajjar</t>
  </si>
  <si>
    <t>a1L5G000004NShrUAG</t>
  </si>
  <si>
    <t>K12 (Cold) - SA - RUH - Khaleej</t>
  </si>
  <si>
    <t>0065G00000j3SK4QAM</t>
  </si>
  <si>
    <t>Cookies n Cream Khaleej</t>
  </si>
  <si>
    <t>a1L5G000004TzjmUAC</t>
  </si>
  <si>
    <t>K03 (Hot) - SA - RUH - Sweidi</t>
  </si>
  <si>
    <t>0065G00000j4E5KQAU</t>
  </si>
  <si>
    <t>a1L5G000004TzijUAC</t>
  </si>
  <si>
    <t>K11 (Hot) - SA - RUH - Olaya</t>
  </si>
  <si>
    <t>0065G00000j6v2FQAQ</t>
  </si>
  <si>
    <t>Cosmo Cafe - Olaya - KSA</t>
  </si>
  <si>
    <t>a1L5G000004OE0KUAW</t>
  </si>
  <si>
    <t>K13 (Hot) - SA - RUH - Malga 2</t>
  </si>
  <si>
    <t>0065G00000mU6CvQAK</t>
  </si>
  <si>
    <t>Section-B</t>
  </si>
  <si>
    <t>a1L5G000004TzpkUAC</t>
  </si>
  <si>
    <t>K24 (Hot) - SA - RUH - Wadi</t>
  </si>
  <si>
    <t>0065G00000nbKblQAE</t>
  </si>
  <si>
    <t>TAO</t>
  </si>
  <si>
    <t>Mohammed Alotaibi</t>
  </si>
  <si>
    <t>a1L5G000004TzqjUAC</t>
  </si>
  <si>
    <t>K11 (Hot) SA - RUH - Qurtoba</t>
  </si>
  <si>
    <t>0066T00001844JJQAY</t>
  </si>
  <si>
    <t>a1L5G000004NSi8UAG</t>
  </si>
  <si>
    <t>K21 (Hot) - SA - RUH - Khaleej</t>
  </si>
  <si>
    <t>0066T0000184tJ4QAI</t>
  </si>
  <si>
    <t>TAO - KLG</t>
  </si>
  <si>
    <t>a1L5G000004Nx5eUAC</t>
  </si>
  <si>
    <t>K09 (Cold) - SA - RUH - Dahrat Laban</t>
  </si>
  <si>
    <t>0066T000018b7rkQAA</t>
  </si>
  <si>
    <t>Eat ha - Dahrat Laban - KSA</t>
  </si>
  <si>
    <t>SA - RUH - King Fahd</t>
  </si>
  <si>
    <t>a1L5G000004NtRYUA0</t>
  </si>
  <si>
    <t>K17 (Hot) - SA - RUH - King Fahd</t>
  </si>
  <si>
    <t>0066T000018bDNxQAM</t>
  </si>
  <si>
    <t>TAO - King Fahad</t>
  </si>
  <si>
    <t>a1L5G000004TzjcUAC</t>
  </si>
  <si>
    <t>K02 (Hot) - SA - RUH - Sweidi</t>
  </si>
  <si>
    <t>0066T000018bs7UQAQ</t>
  </si>
  <si>
    <t>TAO - SWD</t>
  </si>
  <si>
    <t>a1L5G000004NYILUA4</t>
  </si>
  <si>
    <t>K23 (Cold) - SA - KBR - Aqrabiya</t>
  </si>
  <si>
    <t>0066T000019ERjEQAW</t>
  </si>
  <si>
    <t>Mol10 KSA (Member Transfer)</t>
  </si>
  <si>
    <t>a1L5G000004NSi6UAG</t>
  </si>
  <si>
    <t>K19 (Cold) - SA - RUH - Khaleej</t>
  </si>
  <si>
    <t>0066T000019FA3mQAG</t>
  </si>
  <si>
    <t>Diplomat - KHL</t>
  </si>
  <si>
    <t>a1L5G000004NSiEUAW</t>
  </si>
  <si>
    <t>K27 (Hot) - SA - RUH - Khaleej</t>
  </si>
  <si>
    <t>0066T000019GB3vQAG</t>
  </si>
  <si>
    <t>Cosmo Cafe - Khaleej - KSA</t>
  </si>
  <si>
    <t>a1L5G000004NsYcUAK</t>
  </si>
  <si>
    <t>K11 (Hot) - SA - RUH - Aqiq</t>
  </si>
  <si>
    <t>0066T000019HDVhQAO</t>
  </si>
  <si>
    <t>Raed Startup</t>
  </si>
  <si>
    <t>a1L5G000004NsYTUA0</t>
  </si>
  <si>
    <t>K18 (Cold) - SA - RUH - Aqiq</t>
  </si>
  <si>
    <t>0066T00001A4pZpQAJ</t>
  </si>
  <si>
    <t>Muneera Aabdullah Startup</t>
  </si>
  <si>
    <t>Mohammed Alalyani</t>
  </si>
  <si>
    <t>a1L5G000004OE0PUAW</t>
  </si>
  <si>
    <t>K01 (Hot) - SA - RUH - Malga 2</t>
  </si>
  <si>
    <t>0066T00001A5klCQAR</t>
  </si>
  <si>
    <t>BIRD (MEMBER TRANSFER)</t>
  </si>
  <si>
    <t>Ihab Ghoussainy</t>
  </si>
  <si>
    <t>a1L5G000004OE0ZUAW</t>
  </si>
  <si>
    <t>K20 (Cold) - SA - RUH - Malga 2</t>
  </si>
  <si>
    <t>0066T00001AsHoJQAV</t>
  </si>
  <si>
    <t>Crunch Bakery Malga 2</t>
  </si>
  <si>
    <t>a1L5G000004NKhiUAG</t>
  </si>
  <si>
    <t>K05 (Hot) - SA - RUH - Malga 1</t>
  </si>
  <si>
    <t>0066T00001AsrQ5QAJ</t>
  </si>
  <si>
    <t>TAO - Malga (MEMBER TRANSFER)</t>
  </si>
  <si>
    <t>a1L5G000004NtPNUA0</t>
  </si>
  <si>
    <t>K05 (Hot) - SA - RUH - King Fahd</t>
  </si>
  <si>
    <t>0066T00001AuxztQAB</t>
  </si>
  <si>
    <t>Section-B (Member Transfer)</t>
  </si>
  <si>
    <t>a1L5G000004TzkkUAC</t>
  </si>
  <si>
    <t>K14 (Hot) - SA - RUH - Sweidi</t>
  </si>
  <si>
    <t>0066T00001BPrRZQA1</t>
  </si>
  <si>
    <t>Dar Al Raeda- Sweidi</t>
  </si>
  <si>
    <t>Abir Salame</t>
  </si>
  <si>
    <t>a1L5G000004NsYnUAK</t>
  </si>
  <si>
    <t>K13 (Hot) - SA - RUH - Aqiq</t>
  </si>
  <si>
    <t>0066T00001BSjcOQAT</t>
  </si>
  <si>
    <t>Lolivo - Aqiq KSA</t>
  </si>
  <si>
    <t>Ahmad Abdulkareem</t>
  </si>
  <si>
    <t>a1L5G000004NechUAC</t>
  </si>
  <si>
    <t>K14 (CPU) - SA - DMM - Zuhur</t>
  </si>
  <si>
    <t>0066T00001BT9j8QAD</t>
  </si>
  <si>
    <t>Arabian Food - Zohor 2</t>
  </si>
  <si>
    <t>Mussad Al-battah</t>
  </si>
  <si>
    <t>a1L5G000004TzpGUAS</t>
  </si>
  <si>
    <t>K18 (Hot) - SA - RUH - Wadi</t>
  </si>
  <si>
    <t>0066T00001BTUCuQAP</t>
  </si>
  <si>
    <t>a1L5G000004NKhkUAG</t>
  </si>
  <si>
    <t>K07 (Cold) - SA - RUH - Malga 1</t>
  </si>
  <si>
    <t>0066T00001Be6onQAB</t>
  </si>
  <si>
    <t>Hamam Abdoh Grills - K7 - malga 1 - KSA</t>
  </si>
  <si>
    <t>a1L5G000004NKhhUAG</t>
  </si>
  <si>
    <t>K04 (Hot) - SA - RUH - Malga 1</t>
  </si>
  <si>
    <t>0066T00001Be6p2QAB</t>
  </si>
  <si>
    <t>Hamam Abdoh Grills - K4 - malga 1 - KSA</t>
  </si>
  <si>
    <t>a1L5G000004NYHzUAO</t>
  </si>
  <si>
    <t>K01 (Hot) - SA - KBR - Aqrabiya</t>
  </si>
  <si>
    <t>0066T00001BfcSZQAZ</t>
  </si>
  <si>
    <t>TAO - Aqrabiya</t>
  </si>
  <si>
    <t>a1L6T00000iJ1EGUA0</t>
  </si>
  <si>
    <t>K02 (Hot) - SA - DMM - Rawda</t>
  </si>
  <si>
    <t>0066T00001BfcU6QAJ</t>
  </si>
  <si>
    <t>Tao (DMM RWD)</t>
  </si>
  <si>
    <t>Yousif Almohammedali</t>
  </si>
  <si>
    <t>SA - RUH - Jarir</t>
  </si>
  <si>
    <t>a1L6T00000jr3nTUAQ</t>
  </si>
  <si>
    <t>K13 (Hot) - SA - RUH - Jarir</t>
  </si>
  <si>
    <t>0066T00001Bz180QAB</t>
  </si>
  <si>
    <t>TAO - jarir</t>
  </si>
  <si>
    <t>South</t>
  </si>
  <si>
    <t>a1L6T00000iJ1E7UAK</t>
  </si>
  <si>
    <t>K10 (Hot) - SA - DMM - Rawda</t>
  </si>
  <si>
    <t>0066T00001BzizMQAR</t>
  </si>
  <si>
    <t>Molten - Member Transfer</t>
  </si>
  <si>
    <t>a1L5G000004NKhnUAG</t>
  </si>
  <si>
    <t>K10 (Hot) - SA - RUH - Malga 1</t>
  </si>
  <si>
    <t>0066T00001CHTH7QAP</t>
  </si>
  <si>
    <t>Indian Palace - Indian Island - Samakatee</t>
  </si>
  <si>
    <t>Hamed Alrehaili</t>
  </si>
  <si>
    <t>a1L5G000004NsYRUA0</t>
  </si>
  <si>
    <t>K19 (Cold) - SA - RUH - Aqiq</t>
  </si>
  <si>
    <t>0066T00001CHXrEQAX</t>
  </si>
  <si>
    <t>Soft Spot Desserts SA-</t>
  </si>
  <si>
    <t>a1L5G000004Tzm7UAC</t>
  </si>
  <si>
    <t>K09 (Hot) - SA - RUH - Dahrat Laban</t>
  </si>
  <si>
    <t>0066T00001CsjWgQAJ</t>
  </si>
  <si>
    <t>Indian Island</t>
  </si>
  <si>
    <t>a1L5G000004NtPXUA0</t>
  </si>
  <si>
    <t>K09 (Cold) - SA - RUH - King Fahd</t>
  </si>
  <si>
    <t>0066T00001Ct91EQAR</t>
  </si>
  <si>
    <t>Cref cookies</t>
  </si>
  <si>
    <t>a1L6T00000iIryFUAS</t>
  </si>
  <si>
    <t>K14 (Cold) - SA - RUH - Khaleej</t>
  </si>
  <si>
    <t>0066T00001CtK2vQAF</t>
  </si>
  <si>
    <t>Eye Wink Donut - KSA - KHALEEJ</t>
  </si>
  <si>
    <t>a1L6T00000iJA2IUAW</t>
  </si>
  <si>
    <t>K08 (Hot) - SA - RUH - Narjis</t>
  </si>
  <si>
    <t>0066T00001CtaGGQAZ</t>
  </si>
  <si>
    <t>a1L6T00000iJLZfUAO</t>
  </si>
  <si>
    <t>K08 (Cold)- KSA - AHS- Hofuf</t>
  </si>
  <si>
    <t>N/A</t>
  </si>
  <si>
    <t>0066T00001CtbF1QAJ</t>
  </si>
  <si>
    <t>avon cake</t>
  </si>
  <si>
    <t>Ahmad El-Basst</t>
  </si>
  <si>
    <t>a1L5G000004NShzUAG</t>
  </si>
  <si>
    <t>K06 (Hot) - SA - RUH - Khaleej</t>
  </si>
  <si>
    <t>0066T00001D6yzEQAR</t>
  </si>
  <si>
    <t>a1L6T00000d2NFLUA2</t>
  </si>
  <si>
    <t>K02 (CPU) - SA - RUH - QSM</t>
  </si>
  <si>
    <t>0066T00001D6z16QAB</t>
  </si>
  <si>
    <t>TAO - Qassim 1</t>
  </si>
  <si>
    <t>a1L5G000004TzlxUAC</t>
  </si>
  <si>
    <t>K07 (Hot) - SA - RUH - Dahrat Laban</t>
  </si>
  <si>
    <t>0066T00001EOEjNQAX</t>
  </si>
  <si>
    <t>Arabian Food Co. Dahrat Laban K17</t>
  </si>
  <si>
    <t>a1L5G000004TzlEUAS</t>
  </si>
  <si>
    <t>K02 (Cold) - SA - RUH - Sweidi</t>
  </si>
  <si>
    <t>0066T00001EOEkaQAH</t>
  </si>
  <si>
    <t>Arabian Food Co - Swidi</t>
  </si>
  <si>
    <t>a1L5G000004NtPxUAK</t>
  </si>
  <si>
    <t>K18 (Hot) - SA - RUH - King Fahd</t>
  </si>
  <si>
    <t>0066T00001EOEkpQAH</t>
  </si>
  <si>
    <t>TAO (KFD)</t>
  </si>
  <si>
    <t>H</t>
  </si>
  <si>
    <t>a1L5G000004Tzq4UAC</t>
  </si>
  <si>
    <t>K28 (Hot) - SA - RUH - Wadi</t>
  </si>
  <si>
    <t>0066T00001EPCEIQA5</t>
  </si>
  <si>
    <t>The Bakery &amp; Company - Member Transfer</t>
  </si>
  <si>
    <t>a1L5G000004NsYhUAK</t>
  </si>
  <si>
    <t>K21 (Cold) - SA - RUH - Aqiq</t>
  </si>
  <si>
    <t>0066T00001EPCHCQA5</t>
  </si>
  <si>
    <t>TacoMania</t>
  </si>
  <si>
    <t>a1L5G000004TzmHUAS</t>
  </si>
  <si>
    <t>K11 (Hot) - SA - RUH - Dahrat Laban</t>
  </si>
  <si>
    <t>0066T00001EPOodQAH</t>
  </si>
  <si>
    <t>Restaurant Franchise Co. for Trading (Give Me Five, Kantaka, Carton Mashwi)</t>
  </si>
  <si>
    <t>a1L5G000004Tzm2UAC</t>
  </si>
  <si>
    <t>K08 (Hot) - SA - RUH - Dahrat Laban</t>
  </si>
  <si>
    <t>006VO000001PmaLYAS</t>
  </si>
  <si>
    <t>TAO - DL Member Transfer - Member Transfer</t>
  </si>
  <si>
    <t>a1L5G000004NsYHUA0</t>
  </si>
  <si>
    <t>K03 (Hot) - SA - RUH - Aqiq</t>
  </si>
  <si>
    <t>006VO000001TBZ1YAO</t>
  </si>
  <si>
    <t>First Friday</t>
  </si>
  <si>
    <t>a1L5G000004NKhgUAG</t>
  </si>
  <si>
    <t>K03 (Hot) - SA - RUH - Malga 1</t>
  </si>
  <si>
    <t>006VO000001W04MYAS</t>
  </si>
  <si>
    <t>Grill it</t>
  </si>
  <si>
    <t>a1L5G000004Tzi5UAC</t>
  </si>
  <si>
    <t>K03 (Hot) - SA - RUH - Olaya</t>
  </si>
  <si>
    <t>006VO000001ifmsYAA</t>
  </si>
  <si>
    <t>Arabian Food Co Olaya</t>
  </si>
  <si>
    <t>a1L5G000004OE0EUAW</t>
  </si>
  <si>
    <t>K25 (Cold) - SA - RUH - Malga 2</t>
  </si>
  <si>
    <t>006VO000002IsQcYAK</t>
  </si>
  <si>
    <t>Hot Kunafa</t>
  </si>
  <si>
    <t>Abrar Aldawoud</t>
  </si>
  <si>
    <t>a1L6T00000iJBZOUA4</t>
  </si>
  <si>
    <t>K20 (Hot) - SA - RUH - Sulimaniyah</t>
  </si>
  <si>
    <t>006VO000002JXTlYAO</t>
  </si>
  <si>
    <t>Chicken Chops Sulaimania</t>
  </si>
  <si>
    <t>a1L5G000004OE0SUAW</t>
  </si>
  <si>
    <t>K23 (Hot) - SA - RUH - Malga 2</t>
  </si>
  <si>
    <t>006VO000002ZwBGYA0</t>
  </si>
  <si>
    <t>Yogi</t>
  </si>
  <si>
    <t>a1L5G000004NtQkUAK</t>
  </si>
  <si>
    <t>K28 (Hot) - SA - RUH - King Fahd</t>
  </si>
  <si>
    <t>006VO000002cMfvYAE</t>
  </si>
  <si>
    <t>Abdullah start up - Member Transfer - Member Transfer</t>
  </si>
  <si>
    <t>a1L6T00000jT5yFUAS</t>
  </si>
  <si>
    <t>K28 (CPU) - SA - KBR - Aqrabiya</t>
  </si>
  <si>
    <t>4.0m hood</t>
  </si>
  <si>
    <t>006VO000003GDSdYAO</t>
  </si>
  <si>
    <t>OverJar (Member Transfer) - Delayed Transfer Aqrabiya - Member Transfer</t>
  </si>
  <si>
    <t>a1L6T00000d2MvpUAE</t>
  </si>
  <si>
    <t>K12 (Cold) - SA - RUH - QSM</t>
  </si>
  <si>
    <t>006VO000003nvrUYAQ</t>
  </si>
  <si>
    <t>Avon Cake - Member Transfer - Delayed Transfer</t>
  </si>
  <si>
    <t>a1L5G000004TziUUAS</t>
  </si>
  <si>
    <t>K08 (Hot) - SA - RUH - Olaya</t>
  </si>
  <si>
    <t>006VO000003q0jlYAA</t>
  </si>
  <si>
    <t>TAO - Member Transfer</t>
  </si>
  <si>
    <t>a1L5G000004OE0IUAW</t>
  </si>
  <si>
    <t>K24 (Cold) - SA - RUH - Malga 2</t>
  </si>
  <si>
    <t>006VO0000040d78YAA</t>
  </si>
  <si>
    <t>SA - RUH - Arid (1)</t>
  </si>
  <si>
    <t>a1L6T00000nGqU5UAK</t>
  </si>
  <si>
    <t>K21 (CPU) - SA - RUH - Arid</t>
  </si>
  <si>
    <t>4.0m Hood</t>
  </si>
  <si>
    <t>006VO0000041JMWYA2</t>
  </si>
  <si>
    <t>Kcal KSA - Arid - K21 (Cold)</t>
  </si>
  <si>
    <t>Mark Grehan</t>
  </si>
  <si>
    <t>a1L6T00000nGqTlUAK</t>
  </si>
  <si>
    <t>K01 (Hot) - SA - RUH - Arid</t>
  </si>
  <si>
    <t>006VO0000041PQJYA2</t>
  </si>
  <si>
    <t>Kcal KSA - Arid - K01 (Hot)</t>
  </si>
  <si>
    <t>a1L6T00000nGqTzUAK</t>
  </si>
  <si>
    <t>K15 (Hot) - SA - RUH - Arid</t>
  </si>
  <si>
    <t>006VO0000041ROtYAM</t>
  </si>
  <si>
    <t>Kcal KSA - Arid - K15 (Hot)</t>
  </si>
  <si>
    <t>a1L6T00000nGqU0UAK</t>
  </si>
  <si>
    <t>K16 (Hot) - SA - RUH - Arid</t>
  </si>
  <si>
    <t>006VO0000041UF0YAM</t>
  </si>
  <si>
    <t>Kcal KSA - Arid - K16 (Hot)</t>
  </si>
  <si>
    <t>a1L6T00000nGqTrUAK</t>
  </si>
  <si>
    <t>K07 (Hot) - SA - RUH - Arid</t>
  </si>
  <si>
    <t>006VO0000041Wd5YAE</t>
  </si>
  <si>
    <t>Kcal KSA - Arid - K07 (Hot)</t>
  </si>
  <si>
    <t>a1L6T00000nGqTnUAK</t>
  </si>
  <si>
    <t>K03 (Hot) - SA - RUH - Arid</t>
  </si>
  <si>
    <t>006VO0000041WtCYAU</t>
  </si>
  <si>
    <t>Kcal KSA - Arid - K03 (Hot)</t>
  </si>
  <si>
    <t>a1L6T00000nGqU2UAK</t>
  </si>
  <si>
    <t>K18 (Hot) - SA - RUH - Arid</t>
  </si>
  <si>
    <t>006VO0000041YqTYAU</t>
  </si>
  <si>
    <t>Kcal KSA - Arid - K18 (Hot)</t>
  </si>
  <si>
    <t>a1L6T00000nGqTqUAK</t>
  </si>
  <si>
    <t>K06 (Hot) - SA - RUH - Arid</t>
  </si>
  <si>
    <t>006VO0000041aFaYAI</t>
  </si>
  <si>
    <t>Kcal KSA - Arid - K06 (Hot)</t>
  </si>
  <si>
    <t>a1L6T00000nGqTxUAK</t>
  </si>
  <si>
    <t>K13 (Hot) - SA - RUH - Arid</t>
  </si>
  <si>
    <t>006VO0000041dcxYAA</t>
  </si>
  <si>
    <t>Kcal KSA - Arid - K13 (Hot)</t>
  </si>
  <si>
    <t>a1L6T00000nGqTmUAK</t>
  </si>
  <si>
    <t>K02 (Hot) - SA - RUH - Arid</t>
  </si>
  <si>
    <t>006VO0000041deYYAQ</t>
  </si>
  <si>
    <t>Kcal KSA - Arid - K02 (Hot)</t>
  </si>
  <si>
    <t>a1L6T00000nGqToUAK</t>
  </si>
  <si>
    <t>K04 (Hot) - SA - RUH - Arid</t>
  </si>
  <si>
    <t>006VO0000041fhxYAA</t>
  </si>
  <si>
    <t>Kcal KSA - Arid - K04 (Hot)</t>
  </si>
  <si>
    <t>a1L6T00000nGqTpUAK</t>
  </si>
  <si>
    <t>K05 (Hot) - SA - RUH - Arid</t>
  </si>
  <si>
    <t>006VO0000041fjZYAQ</t>
  </si>
  <si>
    <t>Kcal KSA - Arid - K05 (Hot)</t>
  </si>
  <si>
    <t>a1L6T00000nGqTsUAK</t>
  </si>
  <si>
    <t>K08 (Hot) - SA - RUH - Arid</t>
  </si>
  <si>
    <t>006VO0000041fmnYAA</t>
  </si>
  <si>
    <t>Kcal KSA - Arid - K08 (Hot)</t>
  </si>
  <si>
    <t>a1L6T00000nGqTtUAK</t>
  </si>
  <si>
    <t>K09 (Hot) - SA - RUH - Arid</t>
  </si>
  <si>
    <t>006VO0000041frdYAA</t>
  </si>
  <si>
    <t>Kcal KSA - Arid - K09 (Hot)</t>
  </si>
  <si>
    <t>a1L6T00000nGqTuUAK</t>
  </si>
  <si>
    <t>K10 (Hot) - SA - RUH - Arid</t>
  </si>
  <si>
    <t>006VO0000041furYAA</t>
  </si>
  <si>
    <t>Kcal KSA - Arid - K10 (Hot)</t>
  </si>
  <si>
    <t>a1L6T00000nGqTvUAK</t>
  </si>
  <si>
    <t>K11 (Hot) - SA - RUH - Arid</t>
  </si>
  <si>
    <t>006VO0000041fy5YAA</t>
  </si>
  <si>
    <t>Kcal KSA - Arid - K11 (Hot)</t>
  </si>
  <si>
    <t>a1L6T00000nGqTwUAK</t>
  </si>
  <si>
    <t>K12 (Hot) - SA - RUH - Arid</t>
  </si>
  <si>
    <t>006VO0000041g2vYAA</t>
  </si>
  <si>
    <t>Kcal KSA - Arid - K12 (Hot)</t>
  </si>
  <si>
    <t>a1L6T00000nGqTyUAK</t>
  </si>
  <si>
    <t>K14 (Hot) - SA - RUH - Arid</t>
  </si>
  <si>
    <t>006VO0000041g7lYAA</t>
  </si>
  <si>
    <t>Kcal KSA - Arid - K14 (Hot)</t>
  </si>
  <si>
    <t>a1L6T00000nGqU1UAK</t>
  </si>
  <si>
    <t>K17 (Hot) - SA - RUH - Arid</t>
  </si>
  <si>
    <t>006VO0000041gAzYAI</t>
  </si>
  <si>
    <t>Kcal KSA - Arid - K17 (Hot)</t>
  </si>
  <si>
    <t>a1L6T00000nGqU3UAK</t>
  </si>
  <si>
    <t>K19 (Hot) - SA - RUH - Arid</t>
  </si>
  <si>
    <t>006VO0000041gKfYAI</t>
  </si>
  <si>
    <t>Kcal KSA - Arid - K19 (Hot)</t>
  </si>
  <si>
    <t>a1L6T00000nGqU4UAK</t>
  </si>
  <si>
    <t>K20 (Cold) - SA - RUH - Arid</t>
  </si>
  <si>
    <t>006VO0000041gNtYAI</t>
  </si>
  <si>
    <t>Kcal KSA - Arid - K20 (Cold)</t>
  </si>
  <si>
    <t>a1L6T00000mlijWUAQ</t>
  </si>
  <si>
    <t>K19 (CPU) - KSA - AHS- Hofuf</t>
  </si>
  <si>
    <t>4.0 m hood</t>
  </si>
  <si>
    <t>006VO000004BOl0YAG</t>
  </si>
  <si>
    <t>Arabian Food Co - Delayed Transfer Delayed Transfer</t>
  </si>
  <si>
    <t>a1L6T00000iJLZeUAO</t>
  </si>
  <si>
    <t>K07 (Cold)- KSA - AHS- Hofuf</t>
  </si>
  <si>
    <t>006VO000004IMmAYAW</t>
  </si>
  <si>
    <t>Mol10 KSA - Member Transfer</t>
  </si>
  <si>
    <t>a1L6T00000iJdvTUAS</t>
  </si>
  <si>
    <t>K01 (Cold) - SA - RUH - Yasmin</t>
  </si>
  <si>
    <t>006VO000004TtutYAC</t>
  </si>
  <si>
    <t>Remosa Delights SA</t>
  </si>
  <si>
    <t>a1L6T00000jT5yGUAS</t>
  </si>
  <si>
    <t>K29 (CPU) - SA - KBR - Aqrabiya</t>
  </si>
  <si>
    <t>006VO000004WcHZYA0</t>
  </si>
  <si>
    <t>Juice Item</t>
  </si>
  <si>
    <t>a1L5G000004NtPhUAK</t>
  </si>
  <si>
    <t>K27 (Hot) - SA - RUH - King Fahd</t>
  </si>
  <si>
    <t>006VO000004h42rYAA</t>
  </si>
  <si>
    <t>Smox - Rosso - Member Transfer</t>
  </si>
  <si>
    <t>a1L5G000004NsYIUA0</t>
  </si>
  <si>
    <t>K02 (Hot) - SA - RUH - Aqiq</t>
  </si>
  <si>
    <t>006VO000005n9YjYAI</t>
  </si>
  <si>
    <t>Taj Holding - Member Transfer</t>
  </si>
  <si>
    <t>a1L5G000004Tzl4UAC</t>
  </si>
  <si>
    <t>K18 (Hot) - SA - RUH - Sweidi</t>
  </si>
  <si>
    <t>006VO000005vzdNYAQ</t>
  </si>
  <si>
    <t>Ganache</t>
  </si>
  <si>
    <t>a1L5G000004OE0NUAW</t>
  </si>
  <si>
    <t>K07 (Cold) - SA - RUH - Malga 2</t>
  </si>
  <si>
    <t>006VO000005xIcLYAU</t>
  </si>
  <si>
    <t>Framboise &amp; Olive</t>
  </si>
  <si>
    <t>a1L6T00000iJdvhUAC</t>
  </si>
  <si>
    <t>K15 (Hot) - SA - RUH - Yasmin</t>
  </si>
  <si>
    <t>006VO0000067D9zYAE</t>
  </si>
  <si>
    <t>Fish and chips - KSA</t>
  </si>
  <si>
    <t>a1L6T00000iJdvkUAC</t>
  </si>
  <si>
    <t>K18 (Hot) - SA - RUH - Yasmin</t>
  </si>
  <si>
    <t>006VO000006amkEYAQ</t>
  </si>
  <si>
    <t>Meats &amp;Cuts - Twice - SA</t>
  </si>
  <si>
    <t>Roof</t>
  </si>
  <si>
    <t>a1L6T00000iJ1EKUA0</t>
  </si>
  <si>
    <t>K08 (Hot) - SA - DMM - Rawda</t>
  </si>
  <si>
    <t>006VO0000081wDRYAY</t>
  </si>
  <si>
    <t>Over Jar - DMM (Rawda)</t>
  </si>
  <si>
    <t>a1L5G000004TzmbUAC</t>
  </si>
  <si>
    <t>K15 (Hot) - SA - RUH - Dahrat Laban</t>
  </si>
  <si>
    <t>006VO0000089DUVYA2</t>
  </si>
  <si>
    <t>Am Qassem - Uncle Qassem</t>
  </si>
  <si>
    <t>a1L6T00000iJdvbUAC</t>
  </si>
  <si>
    <t>K09 (Hot) - SA - RUH - Yasmin</t>
  </si>
  <si>
    <t>006VO000008DeHbYAK</t>
  </si>
  <si>
    <t>Joyn Bakery</t>
  </si>
  <si>
    <t>a1L5G000004OE0GUAW</t>
  </si>
  <si>
    <t>K15 (Cold) - SA - RUH - Malga 2</t>
  </si>
  <si>
    <t>006VO000008JNfRYAW</t>
  </si>
  <si>
    <t>Chocomelt Malga 2</t>
  </si>
  <si>
    <t>SA - RUH - Rawda</t>
  </si>
  <si>
    <t>a1L6T00000jqjwmUAA</t>
  </si>
  <si>
    <t>K01 (Hot) - SA - RUH - Rawdah</t>
  </si>
  <si>
    <t>006VO000008NrqEYAS</t>
  </si>
  <si>
    <t>Food Line Holding (FLH) - K01</t>
  </si>
  <si>
    <t>a1L5G000004NSi0UAG</t>
  </si>
  <si>
    <t>K07 (Hot) - SA - RUH - Khaleej</t>
  </si>
  <si>
    <t>006VO000008jEzuYAE</t>
  </si>
  <si>
    <t>Juice Item - Khaleej - Member Transfer</t>
  </si>
  <si>
    <t>a1L6T00000jqjwxUAA</t>
  </si>
  <si>
    <t>K16 (Cold) - SA - RUH - Rawdah</t>
  </si>
  <si>
    <t>006VO000008v7RaYAI</t>
  </si>
  <si>
    <t>Food Line Holding (FLH) - K16</t>
  </si>
  <si>
    <t>a1L6T00000jqjwsUAA</t>
  </si>
  <si>
    <t>K18 (Hot) - SA - RUH - Rawdah</t>
  </si>
  <si>
    <t>006VO000008v90MYAQ</t>
  </si>
  <si>
    <t>Food Line Holding (FLH) - K18</t>
  </si>
  <si>
    <t>a1L6T00000jqjwoUAA</t>
  </si>
  <si>
    <t>K09 (Hot) - SA - RUH - Rawdah</t>
  </si>
  <si>
    <t>006VO000008vBWpYAM</t>
  </si>
  <si>
    <t>Food Line Holding (FLH) - K09</t>
  </si>
  <si>
    <t>a1L5G000004NsYSUA0</t>
  </si>
  <si>
    <t>K16 (Hot) - SA - RUH - Aqiq</t>
  </si>
  <si>
    <t>006VO000008vCHZYA2</t>
  </si>
  <si>
    <t>Sushi Yoshi - Aqiq - Member Transfer</t>
  </si>
  <si>
    <t>a1L6T00000jqjwtUAA</t>
  </si>
  <si>
    <t>K20 (Hot) - SA - RUH - Rawdah</t>
  </si>
  <si>
    <t>006VO000008vD2RYAU</t>
  </si>
  <si>
    <t>Food Line Holding (FLH) - K20</t>
  </si>
  <si>
    <t>a1L6T00000jqjx2UAA</t>
  </si>
  <si>
    <t>K08 (Hot) - SA - RUH - Rawdah</t>
  </si>
  <si>
    <t>006VO000008vE1eYAE</t>
  </si>
  <si>
    <t>Food Line Holding (FLH) - K08</t>
  </si>
  <si>
    <t>a1L6T00000jqjwpUAA</t>
  </si>
  <si>
    <t>K06 (Cold) - SA - RUH - Rawdah</t>
  </si>
  <si>
    <t>006VO000008vFTyYAM</t>
  </si>
  <si>
    <t>Food Line Holding (FLH) - K06</t>
  </si>
  <si>
    <t>a1L6T00000jqjwvUAA</t>
  </si>
  <si>
    <t>K19 (Hot) - SA - RUH - Rawdah</t>
  </si>
  <si>
    <t>006VO000008vFfGYAU</t>
  </si>
  <si>
    <t>Food Line Holding (FLH) - K19</t>
  </si>
  <si>
    <t>a1L6T00000jqjwkUAA</t>
  </si>
  <si>
    <t>K05 (Hot) - SA - RUH - Rawdah</t>
  </si>
  <si>
    <t>006VO000008vG1qYAE</t>
  </si>
  <si>
    <t>Food Line Holding (FLH) - K05</t>
  </si>
  <si>
    <t>a1L6T00000jqjwiUAA</t>
  </si>
  <si>
    <t>K02 (Cold) - SA - RUH - Rawdah</t>
  </si>
  <si>
    <t>006VO000008vGD7YAM</t>
  </si>
  <si>
    <t>Food Line Holding (FLH) - K02</t>
  </si>
  <si>
    <t>a1L6T00000jqjwuUAA</t>
  </si>
  <si>
    <t>K11 (Hot) - SA - RUH - Rawdah</t>
  </si>
  <si>
    <t>006VO000008vGHyYAM</t>
  </si>
  <si>
    <t>Food Line Holding (FLH) - K11</t>
  </si>
  <si>
    <t>a1L6T00000jqjwwUAA</t>
  </si>
  <si>
    <t>K03 (Cold) - SA - RUH - Rawdah</t>
  </si>
  <si>
    <t>006VO000008vGQ1YAM</t>
  </si>
  <si>
    <t>Food Line Holding (FLH) - K03</t>
  </si>
  <si>
    <t>a1L6T00000jqjwlUAA</t>
  </si>
  <si>
    <t>K04 (Cold) - SA - RUH - Rawdah</t>
  </si>
  <si>
    <t>006VO000008vGWTYA2</t>
  </si>
  <si>
    <t>Food Line Holding (FLH) - K04</t>
  </si>
  <si>
    <t>a1L6T00000jqjwjUAA</t>
  </si>
  <si>
    <t>K07 (Hot) - SA - RUH - Rawdah</t>
  </si>
  <si>
    <t>006VO000008vGhlYAE</t>
  </si>
  <si>
    <t>Food Line Holding (FLH) - K07</t>
  </si>
  <si>
    <t>a1L6T00000jqjx1UAA</t>
  </si>
  <si>
    <t>K10 (Hot) - SA - RUH - Rawdah</t>
  </si>
  <si>
    <t>006VO000008vGrRYAU</t>
  </si>
  <si>
    <t>Food Line Holding (FLH) - K10</t>
  </si>
  <si>
    <t>a1L6T00000jqjwnUAA</t>
  </si>
  <si>
    <t>K12 (Hot) - SA - RUH - Rawdah</t>
  </si>
  <si>
    <t>006VO000008vGufYAE</t>
  </si>
  <si>
    <t>Food Line Holding (FLH) - K12</t>
  </si>
  <si>
    <t>a1L6T00000jqjwqUAA</t>
  </si>
  <si>
    <t>K13 (Hot) - SA - RUH - Rawdah</t>
  </si>
  <si>
    <t>006VO000008vH17YAE</t>
  </si>
  <si>
    <t>Food Line Holding (FLH) - K13</t>
  </si>
  <si>
    <t>a1L6T00000jqjwzUAA</t>
  </si>
  <si>
    <t>K14 (Hot) - SA - RUH - Rawdah</t>
  </si>
  <si>
    <t>006VO000008vH2jYAE</t>
  </si>
  <si>
    <t>Food Line Holding (FLH) - K14</t>
  </si>
  <si>
    <t>a1L6T00000jqjx0UAA</t>
  </si>
  <si>
    <t>K21 (Hot) - SA - RUH - Rawdah</t>
  </si>
  <si>
    <t>006VO000008vH7aYAE</t>
  </si>
  <si>
    <t>Food Line Holding (FLH) - K21</t>
  </si>
  <si>
    <t>a1L6T00000jqjwrUAA</t>
  </si>
  <si>
    <t>K15 (Hot) - SA - RUH - Rawdah</t>
  </si>
  <si>
    <t>006VO000008vHAnYAM</t>
  </si>
  <si>
    <t>Food Line Holding (FLH) - K15</t>
  </si>
  <si>
    <t>a1L6T00000jqjwyUAA</t>
  </si>
  <si>
    <t>K17 (Hot) - SA - RUH - Rawdah</t>
  </si>
  <si>
    <t>006VO000008vHFdYAM</t>
  </si>
  <si>
    <t>Food Line Holding (FLH) - K17</t>
  </si>
  <si>
    <t>a1L5G000004TzrRUAS</t>
  </si>
  <si>
    <t>K47 (Hot) - SA - RUH - Wadi</t>
  </si>
  <si>
    <t>006VO0000090ZgYYAU</t>
  </si>
  <si>
    <t>Indian Palace - Indian Island - Samakatee - Member Transfer</t>
  </si>
  <si>
    <t>a1L6T00000jr3nhUAA</t>
  </si>
  <si>
    <t>K23 (Cold) - SA - RUH - Jarir</t>
  </si>
  <si>
    <t>006VO0000093fcXYAQ</t>
  </si>
  <si>
    <t>a1L5G000004NYIPUA4</t>
  </si>
  <si>
    <t>K27 (Cold) - SA - KBR - Aqrabiya</t>
  </si>
  <si>
    <t>006VO0000096TAFYA2</t>
  </si>
  <si>
    <t>Avon Cake</t>
  </si>
  <si>
    <t>a1L6T00000iJLZcUAO</t>
  </si>
  <si>
    <t>K05 (Hot)- KSA - AHS- Hofuf</t>
  </si>
  <si>
    <t>006VO000009IM06YAG</t>
  </si>
  <si>
    <t>Coffee Plus</t>
  </si>
  <si>
    <t>a1L5G000004NSiMUAW</t>
  </si>
  <si>
    <t>K35 (Cold) - SA - RUH - Khaleej</t>
  </si>
  <si>
    <t>006VO000009LDTLYA4</t>
  </si>
  <si>
    <t>Mahmaset Ard Al Sanawbar - Khaleej</t>
  </si>
  <si>
    <t>Anas Ahtiwash</t>
  </si>
  <si>
    <t>a1L5G000004NYIFUA4</t>
  </si>
  <si>
    <t>K17 (Hot) - SA - KBR - Aqrabiya</t>
  </si>
  <si>
    <t>006VO000009Yss2YAC</t>
  </si>
  <si>
    <t>Alrafden Grill (AQR)</t>
  </si>
  <si>
    <t>a1L5G000004TzlJUAS</t>
  </si>
  <si>
    <t>K01 (Hot) - SA - RUH - Dahrat Laban</t>
  </si>
  <si>
    <t>006VO000009ckHZYAY</t>
  </si>
  <si>
    <t>Fish Face - Member Transfer</t>
  </si>
  <si>
    <t>a1L6T00000iJBYLUA4</t>
  </si>
  <si>
    <t>K04 (Hot) - SA - RUH - Sulimaniyah</t>
  </si>
  <si>
    <t>006VO00000A2zWIYAZ</t>
  </si>
  <si>
    <t>Taj Holding - (SUL)</t>
  </si>
  <si>
    <t>a1L6T00000iJdvjUAC</t>
  </si>
  <si>
    <t>K17 (Hot) - SA - RUH - Yasmin</t>
  </si>
  <si>
    <t>006VO00000A7jfNYAR</t>
  </si>
  <si>
    <t>TAO - Rawada - Delayed Transfer</t>
  </si>
  <si>
    <t>a1L5G000004TzqEUAS</t>
  </si>
  <si>
    <t>K31 (Hot) - SA - RUH - Wadi</t>
  </si>
  <si>
    <t>006VO00000ANGmHYAX</t>
  </si>
  <si>
    <t>Multaqa Alzad For Tourism ( Leila Min Lebnen - Omaimati - Greenbox )</t>
  </si>
  <si>
    <t>Mohammad Farasha</t>
  </si>
  <si>
    <t>a1L5G000004NKhjUAG</t>
  </si>
  <si>
    <t>K06 (Cold) - SA - RUH - Malga 1</t>
  </si>
  <si>
    <t>006VO00000AmfuNYAR</t>
  </si>
  <si>
    <t>TAO - Malga 1 - Delayed Transfer - Delayed Transfer</t>
  </si>
  <si>
    <t>a1L5G000004TzsAUAS</t>
  </si>
  <si>
    <t>K07 (Hot) SA - RUH - Qurtoba</t>
  </si>
  <si>
    <t>006VO00000Amo9dYAB</t>
  </si>
  <si>
    <t>TAO - Qurtoba - Delayed Transfer - Delayed Transfer</t>
  </si>
  <si>
    <t>a1L6T00000jT5yHUAS</t>
  </si>
  <si>
    <t>K30 (CPU) - SA - KBR - Aqrabiya</t>
  </si>
  <si>
    <t>006VO00000Ar2h3YAB</t>
  </si>
  <si>
    <t>Deboned KSA (Aqrabia)  - Delayed Transfer</t>
  </si>
  <si>
    <t>a1L5G000004TzsFUAS</t>
  </si>
  <si>
    <t>K08 (Hot) SA - RUH - Qurtoba</t>
  </si>
  <si>
    <t>006VO00000AuOI1YAN</t>
  </si>
  <si>
    <t>TAO - Qurtoba K8 - Delayed Transfer</t>
  </si>
  <si>
    <t>a1L5G000004TzuzUAC</t>
  </si>
  <si>
    <t>K04 (Cold) SA - RUH - Qurtoba</t>
  </si>
  <si>
    <t>006VO00000BCVRWYA5</t>
  </si>
  <si>
    <t>Dolce Ragusa Qurtoba - Member Transfer</t>
  </si>
  <si>
    <t>a1L5G000004NKhuUAG</t>
  </si>
  <si>
    <t>K17 (Hot) - SA - RUH - Malga 1</t>
  </si>
  <si>
    <t>006VO00000BnMPGYA3</t>
  </si>
  <si>
    <t>Juice Items Malga - Member Transfer - Member Transfer</t>
  </si>
  <si>
    <t>a1L6T00000iJdvlUAC</t>
  </si>
  <si>
    <t>K19 (Hot) - SA - RUH - Yasmin</t>
  </si>
  <si>
    <t>006VO00000C1saZYAR</t>
  </si>
  <si>
    <t>Banders Potato Yasmin</t>
  </si>
  <si>
    <t>a1L5G000004TzppUAC</t>
  </si>
  <si>
    <t>K25 (Hot) - SA - RUH - Wadi</t>
  </si>
  <si>
    <t>006VO00000CIPIyYAP</t>
  </si>
  <si>
    <t>Stampa - KSA</t>
  </si>
  <si>
    <t>a1L5G000004TzqJUAS</t>
  </si>
  <si>
    <t>K30 (Hot) - SA - RUH - Wadi</t>
  </si>
  <si>
    <t>006VO00000CISdFYAX</t>
  </si>
  <si>
    <t>Toga Rashi - KSA</t>
  </si>
  <si>
    <t>Mohammad Majzoub</t>
  </si>
  <si>
    <t>SA - RUH - Tuwaiq</t>
  </si>
  <si>
    <t>a1L6T00000jqyJCUAY</t>
  </si>
  <si>
    <t>K02 (Cold) - SA - RUH - Tuwaiq</t>
  </si>
  <si>
    <t>006VO00000CJyj7YAD</t>
  </si>
  <si>
    <t>Numou - KSA - TWG - K02</t>
  </si>
  <si>
    <t>Nadim Kiwan</t>
  </si>
  <si>
    <t>a1L6T00000jqyJGUAY</t>
  </si>
  <si>
    <t>K14 (Hot) - SA - RUH - Tuwaiq</t>
  </si>
  <si>
    <t>006VO00000CJypeYAD</t>
  </si>
  <si>
    <t>Numou - KSA - TWG - K14</t>
  </si>
  <si>
    <t>a1L6T00000jqyJEUAY</t>
  </si>
  <si>
    <t>K05 (Hot) - SA - RUH - Tuwaiq</t>
  </si>
  <si>
    <t>006VO00000CKC2yYAH</t>
  </si>
  <si>
    <t>Numou - KSA - TWG - K05</t>
  </si>
  <si>
    <t>a1L6T00000jqyJFUAY</t>
  </si>
  <si>
    <t>K15 (Hot) - SA - RUH - Tuwaiq</t>
  </si>
  <si>
    <t>006VO00000CKEO5YAP</t>
  </si>
  <si>
    <t>Numou - KSA - TWG - K15</t>
  </si>
  <si>
    <t>a1L6T00000jqyJDUAY</t>
  </si>
  <si>
    <t>K08 (Cold) - SA - RUH - Tuwaiq</t>
  </si>
  <si>
    <t>006VO00000CKEvxYAH</t>
  </si>
  <si>
    <t>Numou - KSA - TWG - K08</t>
  </si>
  <si>
    <t>a1L6T00000jqyJKUAY</t>
  </si>
  <si>
    <t>K16 (Cold) - SA - RUH - Tuwaiq</t>
  </si>
  <si>
    <t>006VO00000CKFyVYAX</t>
  </si>
  <si>
    <t>Numou - KSA - TWG - K16</t>
  </si>
  <si>
    <t>a1L6T00000jqyJJUAY</t>
  </si>
  <si>
    <t>K18 (Hot) - SA - RUH - Tuwaiq</t>
  </si>
  <si>
    <t>006VO00000CKGPtYAP</t>
  </si>
  <si>
    <t>Numou - KSA - TWG - K18</t>
  </si>
  <si>
    <t>a1L6T00000jqyJHUAY</t>
  </si>
  <si>
    <t>K10 (Hot) - SA - RUH - Tuwaiq</t>
  </si>
  <si>
    <t>006VO00000CKGRVYA5</t>
  </si>
  <si>
    <t>Numou - KSA - TWG - K10</t>
  </si>
  <si>
    <t>a1L6T00000jqyJIUAY</t>
  </si>
  <si>
    <t>K11 (Hot) - SA - RUH - Tuwaiq</t>
  </si>
  <si>
    <t>006VO00000CKGcnYAH</t>
  </si>
  <si>
    <t>Numou - KSA - TWG - K11</t>
  </si>
  <si>
    <t>a1L6T00000jqyJ7UAI</t>
  </si>
  <si>
    <t>K04 (Hot) - SA - RUH - Tuwaiq</t>
  </si>
  <si>
    <t>006VO00000CKd4jYAD</t>
  </si>
  <si>
    <t>Numou - KSA - TWG - K04</t>
  </si>
  <si>
    <t>a1L6T00000jqyJ8UAI</t>
  </si>
  <si>
    <t>K07 (Hot) - SA - RUH - Tuwaiq</t>
  </si>
  <si>
    <t>006VO00000CKdPhYAL</t>
  </si>
  <si>
    <t>Numou - KSA - TWG - K07</t>
  </si>
  <si>
    <t>a1L6T00000jqyJLUAY</t>
  </si>
  <si>
    <t>K17 (Cold) - SA - RUH - Tuwaiq</t>
  </si>
  <si>
    <t>006VO00000CNtRVYA1</t>
  </si>
  <si>
    <t>Numou - KSA - TWG - K17 COLD</t>
  </si>
  <si>
    <t>a1L6T00000jqyJ9UAI</t>
  </si>
  <si>
    <t>K03 (Hot) - SA - RUH - Tuwaiq</t>
  </si>
  <si>
    <t>006VO00000CNySoYAL</t>
  </si>
  <si>
    <t>Numou - KSA - TWG - K03</t>
  </si>
  <si>
    <t>a1L6T00000jqyJAUAY</t>
  </si>
  <si>
    <t>K06 (Hot) - SA - RUH - Tuwaiq</t>
  </si>
  <si>
    <t>006VO00000CO0BFYA1</t>
  </si>
  <si>
    <t>Numou - KSA - TWG - K06</t>
  </si>
  <si>
    <t>a1L6T00000jqyJ5UAI</t>
  </si>
  <si>
    <t>K01 (Cold) - SA - RUH - Tuwaiq</t>
  </si>
  <si>
    <t>006VO00000CO54TYAT</t>
  </si>
  <si>
    <t>Numou - KSA - TWG - K01</t>
  </si>
  <si>
    <t>a1L6T00000jqyJ6UAI</t>
  </si>
  <si>
    <t>K09 (Cold) - SA - RUH - Tuwaiq</t>
  </si>
  <si>
    <t>006VO00000CO5VtYAL</t>
  </si>
  <si>
    <t>Numou - KSA - TWG - K09</t>
  </si>
  <si>
    <t>a1L6T00000jqyJBUAY</t>
  </si>
  <si>
    <t>K13 (Hot) - SA - RUH - Tuwaiq</t>
  </si>
  <si>
    <t>006VO00000CONmBYAX</t>
  </si>
  <si>
    <t>Numou - KSA - TWG - K13</t>
  </si>
  <si>
    <t>a1L6T00000jqyJMUAY</t>
  </si>
  <si>
    <t>K12 (Hot) - SA - RUH - Tuwaiq</t>
  </si>
  <si>
    <t>006VO00000COO5XYAX</t>
  </si>
  <si>
    <t>Numou - KSA - TWG - K12</t>
  </si>
  <si>
    <t>a1L6T00000iJLZYUA4</t>
  </si>
  <si>
    <t>K01 (Hot) - KSA - AHS - Hofuf</t>
  </si>
  <si>
    <t>006VO00000CReFNYA1</t>
  </si>
  <si>
    <t>Latifa Startup - ksa - Delayed Transfer - Delayed Transfer</t>
  </si>
  <si>
    <t>a1L5G000004NShwUAG</t>
  </si>
  <si>
    <t>K03 (Hot) - SA - RUH - Khaleej</t>
  </si>
  <si>
    <t>006VO00000CWJILYA5</t>
  </si>
  <si>
    <t>Tofareya</t>
  </si>
  <si>
    <t>a1L5G000004OE0QUAW</t>
  </si>
  <si>
    <t>K16 (Hot) - SA - RUH - Malga 2</t>
  </si>
  <si>
    <t>006VO00000DO6RNYA1</t>
  </si>
  <si>
    <t>BACO</t>
  </si>
  <si>
    <t>a1L6T00000iJ1ERUA0</t>
  </si>
  <si>
    <t>K19 (Hot) - SA - DMM - Rawda</t>
  </si>
  <si>
    <t>006VO00000EBq6VYAT</t>
  </si>
  <si>
    <t>Eat Ha</t>
  </si>
  <si>
    <t>a1L5G000004TziVUAS</t>
  </si>
  <si>
    <t>K22 (Hot) - SA - RUH - Dahrat Laban</t>
  </si>
  <si>
    <t>006VO00000EjkUrYAJ</t>
  </si>
  <si>
    <t>Masami sushi - Dahrat Laban - Member Transfer</t>
  </si>
  <si>
    <t>a1L5G000004TzjXUAS</t>
  </si>
  <si>
    <t>K02 (Cold) - SA - RUH - Olaya</t>
  </si>
  <si>
    <t>006VO00000EnQu9YAF</t>
  </si>
  <si>
    <t>Chocomelt Olaya</t>
  </si>
  <si>
    <t>a1L5G000004TzjIUAS</t>
  </si>
  <si>
    <t>K18 (Hot) - SA - RUH - Olaya</t>
  </si>
  <si>
    <t>006VO00000Erz3hYAB</t>
  </si>
  <si>
    <t>Consulta Hospitality Experts (MAQSAF - BRE'ED - TRU BOWL), K18 Olaya</t>
  </si>
  <si>
    <t>Mohammad Khair Bezzi</t>
  </si>
  <si>
    <t>a1L6T00000iJA2NUAW</t>
  </si>
  <si>
    <t>K12 (Hot) - SA - RUH - Narjis</t>
  </si>
  <si>
    <t>006VO00000EvYJRYA3</t>
  </si>
  <si>
    <t>Sandwitch - Burger &amp; Me</t>
  </si>
  <si>
    <t>a1L6T00000iJdveUAC</t>
  </si>
  <si>
    <t>K12 (Hot) - SA - RUH - Yasmin</t>
  </si>
  <si>
    <t>006VO00000Eyu5hYAB</t>
  </si>
  <si>
    <t>Nafeeseh Sweets - Member Transfer</t>
  </si>
  <si>
    <t>SA - RUH - Salam</t>
  </si>
  <si>
    <t>a1L6T00000jqkpKUAQ</t>
  </si>
  <si>
    <t>K21 (Cold) - SA - RUH - Salam</t>
  </si>
  <si>
    <t>006VO00000F7hArYAJ</t>
  </si>
  <si>
    <t>Namq Cafe SA</t>
  </si>
  <si>
    <t>South East</t>
  </si>
  <si>
    <t>a1L6T00000jqkpDUAQ</t>
  </si>
  <si>
    <t>K12 (Hot) - SA - RUH - Salam</t>
  </si>
  <si>
    <t>006VO00000F7l9dYAB</t>
  </si>
  <si>
    <t>a1L5G000004TzsKUAS</t>
  </si>
  <si>
    <t>K09 (Hot) SA - RUH - Qurtoba</t>
  </si>
  <si>
    <t>006VO00000FD8ITYA1</t>
  </si>
  <si>
    <t>L'olivo Sanwiches- - Member Transfer - Delayed Transfer - Member Transfer</t>
  </si>
  <si>
    <t>a1L5G000004NSfdUAG</t>
  </si>
  <si>
    <t>K22 (Cold) - SA - RUH - Malga 1</t>
  </si>
  <si>
    <t>006VO00000FDQk2YAH</t>
  </si>
  <si>
    <t>Susler - KSA</t>
  </si>
  <si>
    <t>a1L5G000004TzvEUAS</t>
  </si>
  <si>
    <t>K06 (Cold) SA - RUH - Qurtoba</t>
  </si>
  <si>
    <t>006VO00000FWVMcYAP</t>
  </si>
  <si>
    <t>Ganache Qurtoba - Member Transfer - Member Transfer</t>
  </si>
  <si>
    <t>a1L6T00000iJA2DUAW</t>
  </si>
  <si>
    <t>K02 (Cold) - SA - RUH - Narjis</t>
  </si>
  <si>
    <t>006VO00000FZkLvYAL</t>
  </si>
  <si>
    <t>Nawaf Alharbi  Startup - KSA-</t>
  </si>
  <si>
    <t>a1L5G000004TzpuUAC</t>
  </si>
  <si>
    <t>K26 (Hot) - SA - RUH - Wadi</t>
  </si>
  <si>
    <t>006VO00000FaDnhYAF</t>
  </si>
  <si>
    <t>ND Bakery - KSA</t>
  </si>
  <si>
    <t>a1L6T00000iJdvZUAS</t>
  </si>
  <si>
    <t>K07 (Hot) - SA - RUH - Yasmin</t>
  </si>
  <si>
    <t>006VO00000FtXynYAF</t>
  </si>
  <si>
    <t>Feels</t>
  </si>
  <si>
    <t>a1L6T00000jqkp4UAA</t>
  </si>
  <si>
    <t>K20 (Cold) - SA - RUH - Salam</t>
  </si>
  <si>
    <t>006VO00000Fws4FYAR</t>
  </si>
  <si>
    <t>Tao Salam K20</t>
  </si>
  <si>
    <t>a1L6T00000jqkp7UAA</t>
  </si>
  <si>
    <t>K14 (Hot) - SA - RUH - Salam</t>
  </si>
  <si>
    <t>006VO00000FwsNaYAJ</t>
  </si>
  <si>
    <t>Tao Salam K14</t>
  </si>
  <si>
    <t>a1L6T00000jqkp6UAA</t>
  </si>
  <si>
    <t>K13 (Hot) - SA - RUH - Salam</t>
  </si>
  <si>
    <t>006VO00000Fwwm9YAB</t>
  </si>
  <si>
    <t>Tao Salam K13</t>
  </si>
  <si>
    <t>a1L6T00000jqkp1UAA</t>
  </si>
  <si>
    <t>K15 (Cold) - SA - RUH - Salam</t>
  </si>
  <si>
    <t>006VO00000FwwsbYAB</t>
  </si>
  <si>
    <t>Tao Salam K15</t>
  </si>
  <si>
    <t>a1L6T00000jqkpJUAQ</t>
  </si>
  <si>
    <t>K17 (Hot) - SA - RUH - Salam</t>
  </si>
  <si>
    <t>006VO00000FwwuDYAR</t>
  </si>
  <si>
    <t>Tao Salam K17</t>
  </si>
  <si>
    <t>d</t>
  </si>
  <si>
    <t>a1L6T00000jqkpIUAQ</t>
  </si>
  <si>
    <t>K18 (Hot) - SA - RUH - Salam</t>
  </si>
  <si>
    <t>006VO00000FwwxRYAR</t>
  </si>
  <si>
    <t>Tao Salam K18</t>
  </si>
  <si>
    <t>a1L6T00000jqkpLUAQ</t>
  </si>
  <si>
    <t>K19 (Hot) - SA - RUH - Salam</t>
  </si>
  <si>
    <t>006VO00000Fwx0fYAB</t>
  </si>
  <si>
    <t>Tao Salam K19</t>
  </si>
  <si>
    <t>a1L5G000004TzkaUAC</t>
  </si>
  <si>
    <t>K12 (Hot) - SA - RUH - Sweidi</t>
  </si>
  <si>
    <t>006VO00000FxGJRYA3</t>
  </si>
  <si>
    <t>Premium Food Company (Baytoti - Maki House)</t>
  </si>
  <si>
    <t>a1L5G000004NtPSUA0</t>
  </si>
  <si>
    <t>K06 (Hot) - SA - RUH - King Fahd</t>
  </si>
  <si>
    <t>006VO00000FxT70YAF</t>
  </si>
  <si>
    <t>Lasagna Box</t>
  </si>
  <si>
    <t>a1L6T00000iJdvmUAC</t>
  </si>
  <si>
    <t>K20 (Hot) - SA - RUH - Yasmin</t>
  </si>
  <si>
    <t>006VO00000GnwmPYAR</t>
  </si>
  <si>
    <t>Masgouf London</t>
  </si>
  <si>
    <t>a1L5G000004TzkfUAC</t>
  </si>
  <si>
    <t>K13 (Hot) - SA - RUH - Sweidi</t>
  </si>
  <si>
    <t>006VO00000H32I1YAJ</t>
  </si>
  <si>
    <t>a1L5G000004NSi9UAG</t>
  </si>
  <si>
    <t>K22 (Hot) - SA - RUH - Khaleej</t>
  </si>
  <si>
    <t>006VO00000H6RgTYAV</t>
  </si>
  <si>
    <t>WK Burger</t>
  </si>
  <si>
    <t>a1L5G000004TzrqUAC</t>
  </si>
  <si>
    <t>K03 (Hot) SA - RUH - Qurtoba</t>
  </si>
  <si>
    <t>006VO00000HAz0QYAT</t>
  </si>
  <si>
    <t>Krooz Almasiyah Co. - Member Transfer - Member Transfer</t>
  </si>
  <si>
    <t>a1L5G000004OE0XUAW</t>
  </si>
  <si>
    <t>K12 (Hot) - SA - RUH - Malga 2</t>
  </si>
  <si>
    <t>006VO00000Hh97tYAB</t>
  </si>
  <si>
    <t>Crispish</t>
  </si>
  <si>
    <t>May Alayesh</t>
  </si>
  <si>
    <t>a1L6T00000iJA2GUAW</t>
  </si>
  <si>
    <t>K19 (Hot) - SA - RUH - Narjis</t>
  </si>
  <si>
    <t>006VO00000HiYx3YAF</t>
  </si>
  <si>
    <t>Shawarma House, Narjis, K19</t>
  </si>
  <si>
    <t>a1L5G000004OE0JUAW</t>
  </si>
  <si>
    <t>K14 (Hot) - SA - RUH - Malga 2</t>
  </si>
  <si>
    <t>006VO00000Ht8CsYAJ</t>
  </si>
  <si>
    <t>SNIM - The Butter Knife</t>
  </si>
  <si>
    <t>a1L6T00000iJdvfUAC</t>
  </si>
  <si>
    <t>K13 (Hot) - SA - RUH - Yasmin</t>
  </si>
  <si>
    <t>006VO00000I1cVWYAZ</t>
  </si>
  <si>
    <t>Mshltt Alhaga</t>
  </si>
  <si>
    <t>a1L5G000004NShoUAG</t>
  </si>
  <si>
    <t>K01 (Hot) - SA - RUH - Khaleej</t>
  </si>
  <si>
    <t>006VO00000IClIZYA1</t>
  </si>
  <si>
    <t>Premium Food Company (Baytoti - Wok -Maki House - Podo Moro - Zoud)</t>
  </si>
  <si>
    <t>a1L5G000004NtREUA0</t>
  </si>
  <si>
    <t>K21 (Hot) - SA - RUH - King Fahd</t>
  </si>
  <si>
    <t>006VO00000IDriUYAT</t>
  </si>
  <si>
    <t>Keto care</t>
  </si>
  <si>
    <t>a1LVO000004E7Ab2AK</t>
  </si>
  <si>
    <t>K13 (Hot) - SA - RUH - Arid (2)</t>
  </si>
  <si>
    <t>006VO00000IOQmzYAH</t>
  </si>
  <si>
    <t>a1L5G000004NShxUAG</t>
  </si>
  <si>
    <t>K04 (Hot) - SA - RUH - Khaleej</t>
  </si>
  <si>
    <t>006VO00000ISF3NYAX</t>
  </si>
  <si>
    <t>Dyar Bakery, Khaleej</t>
  </si>
  <si>
    <t>BH - MAN - Umm al Hassam</t>
  </si>
  <si>
    <t>a1L6T00000mlk8DUAQ</t>
  </si>
  <si>
    <t>K01 (Hot) - BH - MAN - UAH</t>
  </si>
  <si>
    <t>006VO00000ISZrhYAH</t>
  </si>
  <si>
    <t>GNJ Group (UAH K1)</t>
  </si>
  <si>
    <t>Sara Alabbasi</t>
  </si>
  <si>
    <t>a1L5G000004OE0MUAW</t>
  </si>
  <si>
    <t>K21 (Cold) - SA - RUH - Malga 2</t>
  </si>
  <si>
    <t>006VO00000IWi6nYAD</t>
  </si>
  <si>
    <t>La creperie</t>
  </si>
  <si>
    <t>a1L6T00000iJA2EUAW</t>
  </si>
  <si>
    <t>K05 (Hot) - SA - RUH - Narjis</t>
  </si>
  <si>
    <t>006VO00000IacSbYAJ</t>
  </si>
  <si>
    <t>Marble Cuisine SA</t>
  </si>
  <si>
    <t>a1L6T00000d2QHyUAM</t>
  </si>
  <si>
    <t>K27 (Hot) - SA - RUH - Narjis</t>
  </si>
  <si>
    <t>006VO00000Ik4B8YAJ</t>
  </si>
  <si>
    <t>Shawarma House, Narjis, K27</t>
  </si>
  <si>
    <t>a1L6T00000d2QHxUAM</t>
  </si>
  <si>
    <t>K26 (Hot) - SA - RUH - Narjis</t>
  </si>
  <si>
    <t>006VO00000Ik5okYAB</t>
  </si>
  <si>
    <t>Shawarma House, Narjis, K26</t>
  </si>
  <si>
    <t>a1L6T00000iJA2JUAW</t>
  </si>
  <si>
    <t>K20 (Hot) - SA - RUH - Narjis</t>
  </si>
  <si>
    <t>006VO00000Ik6KzYAJ</t>
  </si>
  <si>
    <t>Shawarma House, Narjis, K20</t>
  </si>
  <si>
    <t>a1L6T00000iJA2TUAW</t>
  </si>
  <si>
    <t>K21 (Hot) - SA - RUH - Narjis</t>
  </si>
  <si>
    <t>006VO00000Ik6MbYAJ</t>
  </si>
  <si>
    <t>Shawarma House, Narjis, K21</t>
  </si>
  <si>
    <t>a1L6T00000iJA2QUAW</t>
  </si>
  <si>
    <t>K22 (Hot) - SA - RUH - Narjis</t>
  </si>
  <si>
    <t>006VO00000Ik6RRYAZ</t>
  </si>
  <si>
    <t>Shawarma House, Narjis, K22</t>
  </si>
  <si>
    <t>a1L6T00000iJA2SUAW</t>
  </si>
  <si>
    <t>K23 (Hot) - SA - RUH - Narjis</t>
  </si>
  <si>
    <t>006VO00000Ik6T3YAJ</t>
  </si>
  <si>
    <t>Shawarma House, Narjis, K23</t>
  </si>
  <si>
    <t>a1L6T00000iJA2RUAW</t>
  </si>
  <si>
    <t>K25 (Hot) - SA - RUH - Narjis</t>
  </si>
  <si>
    <t>006VO00000Ik6WHYAZ</t>
  </si>
  <si>
    <t>Shawarma House, Narjis, K25</t>
  </si>
  <si>
    <t>a1L6T00000iJA2PUAW</t>
  </si>
  <si>
    <t>K24 (Hot) - SA - RUH - Narjis</t>
  </si>
  <si>
    <t>006VO00000Ik6fxYAB</t>
  </si>
  <si>
    <t>Shawarma House, Narjis, K24</t>
  </si>
  <si>
    <t>a1L6T00000iJBZ4UAO</t>
  </si>
  <si>
    <t>K14 (Hot) - SA - RUH - Sulimaniyah</t>
  </si>
  <si>
    <t>006VO00000Ik72XYAR</t>
  </si>
  <si>
    <t>Shawarma House, Sulimaniah, K14</t>
  </si>
  <si>
    <t>a1L6T00000iJBZ9UAO</t>
  </si>
  <si>
    <t>K16 (Hot) - SA - RUH - Sulimaniyah</t>
  </si>
  <si>
    <t>006VO00000Ik75lYAB</t>
  </si>
  <si>
    <t>Shawarma House, Sulimaniah, K16</t>
  </si>
  <si>
    <t>a1L6T00000iJBYZUA4</t>
  </si>
  <si>
    <t>K17 (Hot) - SA - RUH - Sulimaniyah</t>
  </si>
  <si>
    <t>006VO00000Ik7AbYAJ</t>
  </si>
  <si>
    <t>Shawarma House, Sulimaniah, K17</t>
  </si>
  <si>
    <t>a1L6T00000iJBZNUA4</t>
  </si>
  <si>
    <t>K19 (Hot) - SA - RUH - Sulimaniyah</t>
  </si>
  <si>
    <t>006VO00000Ik7P7YAJ</t>
  </si>
  <si>
    <t>Shawarma House, Sulimaniah, K19</t>
  </si>
  <si>
    <t>a1L5G000004TzrgUAC</t>
  </si>
  <si>
    <t>K02 (Hot) SA - RUH - Qurtoba</t>
  </si>
  <si>
    <t>006VO00000IkAGXYA3</t>
  </si>
  <si>
    <t>a1L5G000004TzowUAC</t>
  </si>
  <si>
    <t>K12 (Hot) - SA - RUH - Wadi</t>
  </si>
  <si>
    <t>006VO00000IlgO2YAJ</t>
  </si>
  <si>
    <t>Gastronomica Wadi</t>
  </si>
  <si>
    <t>a1L5G000004TzneUAC</t>
  </si>
  <si>
    <t>K01 (Cold) - SA - RUH - Dahrat Laban</t>
  </si>
  <si>
    <t>006VO00000Imo9pYAB</t>
  </si>
  <si>
    <t>Cref Cookies Dahrat Laban</t>
  </si>
  <si>
    <t>a1L5G000004NSiHUAW</t>
  </si>
  <si>
    <t>K30 (Cold) - SA - RUH - Khaleej</t>
  </si>
  <si>
    <t>006VO00000Iq4WbYAJ</t>
  </si>
  <si>
    <t>Happiness Cookies</t>
  </si>
  <si>
    <t>a1L6T00000jqkpHUAQ</t>
  </si>
  <si>
    <t>K24 (Hot) - SA - RUH - Salam</t>
  </si>
  <si>
    <t>006VO00000Iq4nIYAR</t>
  </si>
  <si>
    <t>Signature Salam</t>
  </si>
  <si>
    <t>a1L6T00000iJBZ3UAO</t>
  </si>
  <si>
    <t>K13 (Hot) - SA - RUH - Sulimaniyah</t>
  </si>
  <si>
    <t>006VO00000JC1yHYAT</t>
  </si>
  <si>
    <t>Shawarma House, Sulimaniah, K13</t>
  </si>
  <si>
    <t>a1L6T00000iJdvgUAC</t>
  </si>
  <si>
    <t>K14 (Hot) - SA - RUH - Yasmin</t>
  </si>
  <si>
    <t>006VO00000JCAofYAH</t>
  </si>
  <si>
    <t>Jedo Shaker Yasmin</t>
  </si>
  <si>
    <t>a1L6T00000iJBYVUA4</t>
  </si>
  <si>
    <t>K10 (Cold) - SA - RUH - Sulimaniyah</t>
  </si>
  <si>
    <t>006VO00000JCCGzYAP</t>
  </si>
  <si>
    <t>La Creperie - KSA - Member Transfer</t>
  </si>
  <si>
    <t>a1L6T00000mlk8FUAQ</t>
  </si>
  <si>
    <t>K03 (Hot) - BH - MAN - UAH</t>
  </si>
  <si>
    <t>006VO00000JCEPIYA5</t>
  </si>
  <si>
    <t>Aziz 88 (K3 UAH)</t>
  </si>
  <si>
    <t>a1L6T00000iJBZ8UAO</t>
  </si>
  <si>
    <t>K15 (Hot) - SA - RUH - Sulimaniyah</t>
  </si>
  <si>
    <t>006VO00000JFBxuYAH</t>
  </si>
  <si>
    <t>Shawarma House, Sulimaniah, K15</t>
  </si>
  <si>
    <t>a1L5G000004TzjwUAC</t>
  </si>
  <si>
    <t>K04 (Cold) - SA - RUH - Olaya</t>
  </si>
  <si>
    <t>006VO00000JNWicYAH</t>
  </si>
  <si>
    <t>Cref Cookies Olaya</t>
  </si>
  <si>
    <t>a1L6T00000iJBYzUAO</t>
  </si>
  <si>
    <t>K12 (Hot) - SA - RUH - Sulimaniyah</t>
  </si>
  <si>
    <t>006VO00000JNhirYAD</t>
  </si>
  <si>
    <t>Shawarma House, Sulimaniah, K12</t>
  </si>
  <si>
    <t>a1L6T00000iJBYyUAO</t>
  </si>
  <si>
    <t>K11 (Cold) - SA - RUH - Sulimaniyah</t>
  </si>
  <si>
    <t>006VO00000JNhnhYAD</t>
  </si>
  <si>
    <t>Shawarma House, Sulimaniah, K11</t>
  </si>
  <si>
    <t>a1L5G000004OE0DUAW</t>
  </si>
  <si>
    <t>K06 (Cold) - SA - RUH - Malga 2</t>
  </si>
  <si>
    <t>006VO00000JT1sXYAT</t>
  </si>
  <si>
    <t>Delluci Cake - KSA</t>
  </si>
  <si>
    <t>Gadah Saud</t>
  </si>
  <si>
    <t>a1L6T00000iJA2OUAW</t>
  </si>
  <si>
    <t>K13 (Hot) - SA - RUH - Narjis</t>
  </si>
  <si>
    <t>006VO00000JYHTxYAP</t>
  </si>
  <si>
    <t>Shawarma House, Narjis, K13</t>
  </si>
  <si>
    <t>a1L5G000004TzkbUAC</t>
  </si>
  <si>
    <t>K03 (Cold) - SA - RUH - Dahrat Laban</t>
  </si>
  <si>
    <t>006VO00000JiV5BYAV</t>
  </si>
  <si>
    <t>a1L6T00000jqkp3UAA</t>
  </si>
  <si>
    <t>K11 (Cold) - SA - RUH - Salam</t>
  </si>
  <si>
    <t>006VO00000Jiy7CYAR</t>
  </si>
  <si>
    <t>Cref Cookies Salam</t>
  </si>
  <si>
    <t>a1L5G000004OE0FUAW</t>
  </si>
  <si>
    <t>K03 (Hot) - SA - RUH - Malga 2</t>
  </si>
  <si>
    <t>006VO00000JoFH3YAN</t>
  </si>
  <si>
    <t>Raghad Start Up</t>
  </si>
  <si>
    <t>a1LVO000004AxED2A0</t>
  </si>
  <si>
    <t>K24 (CPU) - SA - RUH - Jarir</t>
  </si>
  <si>
    <t>006VO00000KBi77YAD</t>
  </si>
  <si>
    <t>Imran SU</t>
  </si>
  <si>
    <t>Retail Space</t>
  </si>
  <si>
    <t>a1LVO000004H3aH2AS</t>
  </si>
  <si>
    <t>K26 (CPU) - SA - RUH - Sulimaniyah</t>
  </si>
  <si>
    <t>006VO00000KEeA9YAL</t>
  </si>
  <si>
    <t>Shawarma House, Sulimaniah, CPU</t>
  </si>
  <si>
    <t>a1L6T00000iJBYuUAO</t>
  </si>
  <si>
    <t>K08 (Hot) - SA - RUH - Sulimaniyah</t>
  </si>
  <si>
    <t>006VO00000KIerXYAT</t>
  </si>
  <si>
    <t>Shawarma House, Sulimaniah, K08</t>
  </si>
  <si>
    <t>a1L6T00000iJA2FUAW</t>
  </si>
  <si>
    <t>K06 (Hot) - SA - RUH - Narjis</t>
  </si>
  <si>
    <t>006VO00000KN305YAD</t>
  </si>
  <si>
    <t>Shawarma House, Narjis, K06</t>
  </si>
  <si>
    <t>a1L5G000004Tzo8UAC</t>
  </si>
  <si>
    <t>K03 (Hot) - SA - RUH - Wadi</t>
  </si>
  <si>
    <t>006VO00000KWTg6YAH</t>
  </si>
  <si>
    <t>Dip N Dip KSA</t>
  </si>
  <si>
    <t>a1L5G000004NsYiUAK</t>
  </si>
  <si>
    <t>K07 (Hot) - SA - RUH - Aqiq</t>
  </si>
  <si>
    <t>006VO00000KYKjzYAH</t>
  </si>
  <si>
    <t>Smoothies Aqiq</t>
  </si>
  <si>
    <t>a1L6T00000iJA2KUAW</t>
  </si>
  <si>
    <t>K04 (Hot) - SA - RUH - Narjis</t>
  </si>
  <si>
    <t>006VO00000KdLlqYAF</t>
  </si>
  <si>
    <t>Shawarma House, Narjis, K04</t>
  </si>
  <si>
    <t>a1L5G000004NeciUAC</t>
  </si>
  <si>
    <t>K01 (Hot) - SA - DMM - Zuhur</t>
  </si>
  <si>
    <t>006VO00000Kxqf0YAB</t>
  </si>
  <si>
    <t>Baskin Robbins - K01 - KSA</t>
  </si>
  <si>
    <t>a1L6T00000iJdvUUAS</t>
  </si>
  <si>
    <t>K02 (Cold) - SA - RUH - Yasmin</t>
  </si>
  <si>
    <t>006VO00000LKcZhYAL</t>
  </si>
  <si>
    <t>mahmaset ard Al Sanawbar</t>
  </si>
  <si>
    <t>BH - MAN - Isa Town</t>
  </si>
  <si>
    <t>a1L6T00000nGqVLUA0</t>
  </si>
  <si>
    <t>K03 (Hot) - BAH - MAN-Issa Town</t>
  </si>
  <si>
    <t>3m</t>
  </si>
  <si>
    <t>006VO00000LMCrGYAX</t>
  </si>
  <si>
    <t>Fermented Friends (K03 Isa) - Delayed Transfer</t>
  </si>
  <si>
    <t>a1L6T00000nGqVOUA0</t>
  </si>
  <si>
    <t>K16 (Hot) - BAH - MAN-Issa Town</t>
  </si>
  <si>
    <t>4m</t>
  </si>
  <si>
    <t>006VO00000LMKJsYAP</t>
  </si>
  <si>
    <t>U.L.D. Trading Company (K16)</t>
  </si>
  <si>
    <t>a1L6T00000nGqVJUA0</t>
  </si>
  <si>
    <t>K05 (Hot) - BAH - MAN-Issa Town</t>
  </si>
  <si>
    <t>006VO00000LMMPCYA5</t>
  </si>
  <si>
    <t>U.L.D. Trading Company (K05)</t>
  </si>
  <si>
    <t>a1L6T00000nGqVQUA0</t>
  </si>
  <si>
    <t>K14 (Hot) - BAH - MAN-Issa Town</t>
  </si>
  <si>
    <t>006VO00000LMMSQYA5</t>
  </si>
  <si>
    <t>U.L.D. Trading Company (K14)</t>
  </si>
  <si>
    <t>a1L6T00000nGqVRUA0</t>
  </si>
  <si>
    <t>K13 (Hot) - BAH - MAN-Issa Town</t>
  </si>
  <si>
    <t>006VO00000LMOR0YAP</t>
  </si>
  <si>
    <t>U.L.D. Trading Company (K13)</t>
  </si>
  <si>
    <t>a1L6T00000nGqVKUA0</t>
  </si>
  <si>
    <t>K04 (Hot) - BAH - MAN-Issa Town</t>
  </si>
  <si>
    <t>006VO00000LMP8XYAX</t>
  </si>
  <si>
    <t>U.L.D. Trading Company (K04)</t>
  </si>
  <si>
    <t>a1L6T00000nGqVPUA0</t>
  </si>
  <si>
    <t>K15 (Hot) - BAH - MAN-Issa Town</t>
  </si>
  <si>
    <t>006VO00000LMQCfYAP</t>
  </si>
  <si>
    <t>U.L.D. Trading Company (K15)</t>
  </si>
  <si>
    <t>a1L6T00000nGqVSUA0</t>
  </si>
  <si>
    <t>K12 (Hot) - BAH - MAN-Issa Town</t>
  </si>
  <si>
    <t>006VO00000LMQUPYA5</t>
  </si>
  <si>
    <t>U.L.D. Trading Company (K12)</t>
  </si>
  <si>
    <t>a1L6T00000nGqVTUA0</t>
  </si>
  <si>
    <t>K11 (Hot) - BAH - MAN-Issa Town</t>
  </si>
  <si>
    <t>006VO00000LMQfhYAH</t>
  </si>
  <si>
    <t>U.L.D. Trading Company (K11)</t>
  </si>
  <si>
    <t>SA - RUH - King Faisal</t>
  </si>
  <si>
    <t>J</t>
  </si>
  <si>
    <t>a1LVO000004WfKH2A0</t>
  </si>
  <si>
    <t>K15 (Hot) - SA - RUH - King Faisal</t>
  </si>
  <si>
    <t>2.4m hood</t>
  </si>
  <si>
    <t>006VO00000LQ9A2YAL</t>
  </si>
  <si>
    <t>Right Calories King Faisal k15</t>
  </si>
  <si>
    <t>a1L6T00000mllwzUAA</t>
  </si>
  <si>
    <t>K09 (Cold) - SA - RUH - Wadi</t>
  </si>
  <si>
    <t>006VO00000LhtgIYAR</t>
  </si>
  <si>
    <t>Clever Juices - Beesket Juices</t>
  </si>
  <si>
    <t>a1L6T00000jr77EUAQ</t>
  </si>
  <si>
    <t>K29 (Hot) - SA - RUH - Malga 2</t>
  </si>
  <si>
    <t>006VO00000LhycjYAB</t>
  </si>
  <si>
    <t>a1L5G000004NYIMUA4</t>
  </si>
  <si>
    <t>K24 (Cold) - SA - KBR - Aqrabiya</t>
  </si>
  <si>
    <t>006VO00000LjR6RYAV</t>
  </si>
  <si>
    <t>Healthy nation</t>
  </si>
  <si>
    <t>a1LVO000001aKVt2AM</t>
  </si>
  <si>
    <t>K18 (CPU) - SA - RUH - QSM</t>
  </si>
  <si>
    <t>006VO00000LkvlZYAR</t>
  </si>
  <si>
    <t>BAKA - Member Transfer - Member Transfer</t>
  </si>
  <si>
    <t>a1L5G000004NSiFUAW</t>
  </si>
  <si>
    <t>K28 (Hot) - SA - RUH - Khaleej</t>
  </si>
  <si>
    <t>006VO00000LnO0IYAV</t>
  </si>
  <si>
    <t>Neska Company (Biga Burger, Krnsh , Rosella , Shawarma Allawi, Bo Kees , Bakkar, Koshka, Varo), Khaleej</t>
  </si>
  <si>
    <t>a1L6T00000mllx4UAA</t>
  </si>
  <si>
    <t>K10 (Cold) - SA - RUH - Wadi</t>
  </si>
  <si>
    <t>006VO00000Lnn8LYAR</t>
  </si>
  <si>
    <t>Suwairs Cold Kitchen - Wadi - Member Transfer</t>
  </si>
  <si>
    <t>a1L5G000004NYIKUA4</t>
  </si>
  <si>
    <t>K22 (Hot) - SA - KBR - Aqrabiya</t>
  </si>
  <si>
    <t>006VO00000LwaIMYAZ</t>
  </si>
  <si>
    <t>Chocomelt Aqrabiya</t>
  </si>
  <si>
    <t>a1L6T00000iJA2HUAW</t>
  </si>
  <si>
    <t>K17 (Hot) - SA - RUH - Narjis</t>
  </si>
  <si>
    <t>006VO00000M5GHBYA3</t>
  </si>
  <si>
    <t>Shawarma House, Narjis, K17</t>
  </si>
  <si>
    <t>a1L6T00000jr77DUAQ</t>
  </si>
  <si>
    <t>K22 (Hot) - SA - RUH - Malga 2</t>
  </si>
  <si>
    <t>006VO00000MAEY5YAP</t>
  </si>
  <si>
    <t>Jo Drinks, Malga2</t>
  </si>
  <si>
    <t>a1L6T00000iJBYaUAO</t>
  </si>
  <si>
    <t>K18 (Cold) - SA - RUH - Sulimaniyah</t>
  </si>
  <si>
    <t>006VO00000MAqa9YAD</t>
  </si>
  <si>
    <t>Shawarma House, Sulimaniah, K18</t>
  </si>
  <si>
    <t>a1L5G000004NrUZUA0</t>
  </si>
  <si>
    <t>K08 (Cold) - SA - RUH - Wadi</t>
  </si>
  <si>
    <t>006VO00000MEF8zYAH</t>
  </si>
  <si>
    <t>Godiva Chocolatier</t>
  </si>
  <si>
    <t>a1L6T00000mlk8OUAQ</t>
  </si>
  <si>
    <t>K11 (Hot) - BH - MAN - UAH</t>
  </si>
  <si>
    <t>006VO00000MRS3aYAH</t>
  </si>
  <si>
    <t>Des Lis Delices (K11 UAH)</t>
  </si>
  <si>
    <t>a1L6T00000mlk8LUAQ</t>
  </si>
  <si>
    <t>K14 (Hot) - BH - MAN - UAH</t>
  </si>
  <si>
    <t>006VO00000MRZLBYA5</t>
  </si>
  <si>
    <t>Petiole Foods (K14 UAH)</t>
  </si>
  <si>
    <t>a1L5G000004Tzi0UAC</t>
  </si>
  <si>
    <t>K02 (Hot) - SA - RUH - Olaya</t>
  </si>
  <si>
    <t>006VO00000MoUawYAF</t>
  </si>
  <si>
    <t>Soma's Kitchen Laban - Member Transfer</t>
  </si>
  <si>
    <t>a1L6T00000mllx9UAA</t>
  </si>
  <si>
    <t>K11 (Cold) - SA - RUH - Wadi</t>
  </si>
  <si>
    <t>006VO00000MpuzbYAB</t>
  </si>
  <si>
    <t>Almaris - Smarf Burger - Missimiss Fottor - Balla Chappati - Sizzle &amp; Smoke Grills - Ammiji.D Biryani</t>
  </si>
  <si>
    <t>a1L5G000004TzrWUAS</t>
  </si>
  <si>
    <t>K01 (Hot) SA - RUH - Qurtoba</t>
  </si>
  <si>
    <t>006VO00000Mq5mvYAB</t>
  </si>
  <si>
    <t>Candied riyadh SA - RUH - Qurtoba</t>
  </si>
  <si>
    <t>Moayad Sami Abedalqader Yassin</t>
  </si>
  <si>
    <t>a1L5G000004NtPcUAK</t>
  </si>
  <si>
    <t>K11 (Cold) - SA - RUH - King Fahd</t>
  </si>
  <si>
    <t>006VO00000MvNOEYA3</t>
  </si>
  <si>
    <t>Marta's Cake - KSA- - Member Transfer</t>
  </si>
  <si>
    <t>a1L5G000004NWeKUAW</t>
  </si>
  <si>
    <t>K07 (Cold) - SA - RUH - Wadi</t>
  </si>
  <si>
    <t>006VO00000N4157YAB</t>
  </si>
  <si>
    <t>a1L5G000004NsYlUAK</t>
  </si>
  <si>
    <t>K20 (Cold) - SA - RUH - Aqiq</t>
  </si>
  <si>
    <t>006VO00000NBQy1YAH</t>
  </si>
  <si>
    <t>a1L5G000004TzqFUAS</t>
  </si>
  <si>
    <t>K17 (Hot) SA - RUH - Qurtoba</t>
  </si>
  <si>
    <t>006VO00000NK3KfYAL</t>
  </si>
  <si>
    <t>Adyaf Gulf (Madeleine ) - SA - RUH - Qurtoba - Member Transfer</t>
  </si>
  <si>
    <t>a1L6T00000d2MvLUAU</t>
  </si>
  <si>
    <t>K06 (Hot) - SA - RUH - QSM</t>
  </si>
  <si>
    <t>006VO00000NLUxAYAX</t>
  </si>
  <si>
    <t>Sushi Demure</t>
  </si>
  <si>
    <t>a1L5G000004Tzl9UAC</t>
  </si>
  <si>
    <t>K01 (Cold) - SA - RUH - Sweidi</t>
  </si>
  <si>
    <t>006VO00000NPpIGYA1</t>
  </si>
  <si>
    <t>a1L5G000004Ned8UAC</t>
  </si>
  <si>
    <t>K04 (Cold) - SA - DMM - Zuhur</t>
  </si>
  <si>
    <t>006VO00000NQBYrYAP</t>
  </si>
  <si>
    <t>Baskin Robbins - K04 - KSA</t>
  </si>
  <si>
    <t>a1L5G000004NecjUAC</t>
  </si>
  <si>
    <t>K05 (Hot) - SA - DMM - Zuhur</t>
  </si>
  <si>
    <t>006VO00000NQDCTYA5</t>
  </si>
  <si>
    <t>Baskin Robbins - K05 - KSA</t>
  </si>
  <si>
    <t>a1L5G000004NeczUAC</t>
  </si>
  <si>
    <t>K09 (Hot) - SA - DMM - Zuhur</t>
  </si>
  <si>
    <t>006VO00000NQOuFYAX</t>
  </si>
  <si>
    <t>Baskin Robbins - K09 - KSA</t>
  </si>
  <si>
    <t>a1L5G000004NectUAC</t>
  </si>
  <si>
    <t>K08 (Cold) - SA - DMM - Zuhur</t>
  </si>
  <si>
    <t>006VO00000NQi6XYAT</t>
  </si>
  <si>
    <t>Baskin Robbins - K08 - KSA</t>
  </si>
  <si>
    <t>a1L5G000004NecgUAC</t>
  </si>
  <si>
    <t>K07 (Hot) - SA - DMM - Zuhur</t>
  </si>
  <si>
    <t>006VO00000NQj4HYAT</t>
  </si>
  <si>
    <t>Baskin Robbins - K07 - KSA</t>
  </si>
  <si>
    <t>a1L5G000004NecmUAC</t>
  </si>
  <si>
    <t>K06 (Hot) - SA - DMM - Zuhur</t>
  </si>
  <si>
    <t>006VO00000NQqtlYAD</t>
  </si>
  <si>
    <t>Baskin Robbins - K06 - KSA</t>
  </si>
  <si>
    <t>a1L5G000004NeceUAC</t>
  </si>
  <si>
    <t>K10 (Hot) - SA - DMM - Zuhur</t>
  </si>
  <si>
    <t>006VO00000NR53BYAT</t>
  </si>
  <si>
    <t>Baskin Robbins - K10 - KSA</t>
  </si>
  <si>
    <t>a1L5G000004Ned6UAC</t>
  </si>
  <si>
    <t>K11 (Hot) - SA - DMM - Zuhur</t>
  </si>
  <si>
    <t>006VO00000NR8YvYAL</t>
  </si>
  <si>
    <t>Baskin Robbins - K11 - KSA</t>
  </si>
  <si>
    <t>a1L5G000004NecfUAC</t>
  </si>
  <si>
    <t>K12 (Hot) - SA - DMM - Zuhur</t>
  </si>
  <si>
    <t>006VO00000NRARrYAP</t>
  </si>
  <si>
    <t>Baskin Robbins - K12 - KSA</t>
  </si>
  <si>
    <t>a1LVO000004MBVZ2A4</t>
  </si>
  <si>
    <t>K25 (CPU) - SA - DMM - Zuhur</t>
  </si>
  <si>
    <t>006VO00000Nae8AYAR</t>
  </si>
  <si>
    <t>Baskin Robbins - K25 - KSA</t>
  </si>
  <si>
    <t>a1L5G000004TznyUAC</t>
  </si>
  <si>
    <t>K05 (Cold) - SA - RUH - Dahrat Laban</t>
  </si>
  <si>
    <t>006VO00000Oc545YAB</t>
  </si>
  <si>
    <t>Munch bakery - Member Transfer</t>
  </si>
  <si>
    <t>a1L5G000004NShyUAG</t>
  </si>
  <si>
    <t>K05 (Hot) - SA - RUH - Khaleej</t>
  </si>
  <si>
    <t>006VO00000OdYFJYA3</t>
  </si>
  <si>
    <t>a1L5G000004NtPmUAK</t>
  </si>
  <si>
    <t>K19 (Hot) - SA - RUH - King Fahd</t>
  </si>
  <si>
    <t>006VO00000OhS9hYAF</t>
  </si>
  <si>
    <t>Fames burger</t>
  </si>
  <si>
    <t>a1L5G000004TziAUAS</t>
  </si>
  <si>
    <t>K04 (Hot) - SA - RUH - Olaya</t>
  </si>
  <si>
    <t>006VO00000OlNZeYAN</t>
  </si>
  <si>
    <t>Boga Super Foods</t>
  </si>
  <si>
    <t>a1L5G000004TztXUAS</t>
  </si>
  <si>
    <t>K26 (Hot) SA - RUH - Qurtoba</t>
  </si>
  <si>
    <t>006VO00000PBQyTYAX</t>
  </si>
  <si>
    <t>Shawarma House, Qurtoba, K26</t>
  </si>
  <si>
    <t>a1L6T00000iJA2BUAW</t>
  </si>
  <si>
    <t>K18 (Hot) - SA - RUH - Narjis</t>
  </si>
  <si>
    <t>006VO00000PBREbYAP</t>
  </si>
  <si>
    <t>Shawarma House, Narjis, K18</t>
  </si>
  <si>
    <t>a1LVO000004X0IH2A0</t>
  </si>
  <si>
    <t>K28 (CPU) - SA - Narjis</t>
  </si>
  <si>
    <t>006VO00000PBRL3YAP</t>
  </si>
  <si>
    <t>Shawarma House, Narjis, CPU</t>
  </si>
  <si>
    <t>a1L6T00000iJBYUUA4</t>
  </si>
  <si>
    <t>K09 (Hot) - SA - RUH - Sulimaniyah</t>
  </si>
  <si>
    <t>006VO00000PBRbBYAX</t>
  </si>
  <si>
    <t>Shawarma House, Sulimaniah, K09</t>
  </si>
  <si>
    <t>a1L6T00000iJBZSUA4</t>
  </si>
  <si>
    <t>K21 (Hot) - SA - RUH - Sulimaniyah</t>
  </si>
  <si>
    <t>006VO00000PBRkrYAH</t>
  </si>
  <si>
    <t>Shawarma House, Sulimaniah, K21</t>
  </si>
  <si>
    <t>a1L5G000004TztwUAC</t>
  </si>
  <si>
    <t>K32 (Hot) SA - RUH - Qurtoba</t>
  </si>
  <si>
    <t>006VO00000PBVoVYAX</t>
  </si>
  <si>
    <t>Shawarma House, Qurtoba, K32</t>
  </si>
  <si>
    <t>a1L5G000004TzthUAC</t>
  </si>
  <si>
    <t>K28 (Hot) SA - RUH - Qurtoba</t>
  </si>
  <si>
    <t>006VO00000PBdR3YAL</t>
  </si>
  <si>
    <t>Shawarma House, Qurtoba, K28</t>
  </si>
  <si>
    <t>a1L5G000004TztrUAC</t>
  </si>
  <si>
    <t>K29 (Hot) SA - RUH - Qurtoba</t>
  </si>
  <si>
    <t>006VO00000PBdm1YAD</t>
  </si>
  <si>
    <t>Shawarma House, Qurtoba, K29</t>
  </si>
  <si>
    <t>a1L5G000004Tzu1UAC</t>
  </si>
  <si>
    <t>K33 (Hot) SA - RUH - Qurtoba</t>
  </si>
  <si>
    <t>006VO00000PBkNhYAL</t>
  </si>
  <si>
    <t>Shawarma House, Qurtoba, K33</t>
  </si>
  <si>
    <t>a1L5G000004TzibUAC</t>
  </si>
  <si>
    <t>K37 (Hot) SA - RUH - Qurtoba</t>
  </si>
  <si>
    <t>006VO00000PIhswYAD</t>
  </si>
  <si>
    <t>Shawarma House, Qurtoba, K37</t>
  </si>
  <si>
    <t>a1L5G000004Tzs1UAC</t>
  </si>
  <si>
    <t>K41 (Hot) SA - RUH - Qurtoba</t>
  </si>
  <si>
    <t>006VO00000PIkHKYA1</t>
  </si>
  <si>
    <t>Shawarma House, Qurtoba, K41</t>
  </si>
  <si>
    <t>a1L5G000004Tzu6UAC</t>
  </si>
  <si>
    <t>K34 (Hot) SA - RUH - Qurtoba</t>
  </si>
  <si>
    <t>006VO00000PInDZYA1</t>
  </si>
  <si>
    <t>Shawarma House, Qurtoba, K34</t>
  </si>
  <si>
    <t>a1L5G000004TzuBUAS</t>
  </si>
  <si>
    <t>K35 (Hot) SA - RUH - Qurtoba</t>
  </si>
  <si>
    <t>006VO00000PInIPYA1</t>
  </si>
  <si>
    <t>Shawarma House, Qurtoba, K35</t>
  </si>
  <si>
    <t>a1L5G000004TzuGUAS</t>
  </si>
  <si>
    <t>K36 (Hot) SA - RUH - Qurtoba</t>
  </si>
  <si>
    <t>006VO00000PInQTYA1</t>
  </si>
  <si>
    <t>Shawarma House, Qurtoba, K36</t>
  </si>
  <si>
    <t>a1L5G000004TzuQUAS</t>
  </si>
  <si>
    <t>K39 (Hot) SA - RUH - Qurtoba</t>
  </si>
  <si>
    <t>006VO00000PInWvYAL</t>
  </si>
  <si>
    <t>Shawarma House, Qurtoba, K39</t>
  </si>
  <si>
    <t>a1L5G000004TzuVUAS</t>
  </si>
  <si>
    <t>K40 (Hot) SA - RUH - Qurtoba</t>
  </si>
  <si>
    <t>006VO00000PInblYAD</t>
  </si>
  <si>
    <t>Shawarma House, Qurtoba, K40</t>
  </si>
  <si>
    <t>a1L5G000004NtQ1UAK</t>
  </si>
  <si>
    <t>K24 (Hot) - SA - RUH - King Fahd</t>
  </si>
  <si>
    <t>006VO00000PIrdmYAD</t>
  </si>
  <si>
    <t>Feels KFD</t>
  </si>
  <si>
    <t>a1L5G000004TzufUAC</t>
  </si>
  <si>
    <t>K43 (Hot) SA - RUH - Qurtoba</t>
  </si>
  <si>
    <t>006VO00000PJ1reYAD</t>
  </si>
  <si>
    <t>Shawarma House, Qurtoba, K43</t>
  </si>
  <si>
    <t>a1L5G000004Tzq0UAC</t>
  </si>
  <si>
    <t>K38 (Hot) - SA - RUH - Wadi</t>
  </si>
  <si>
    <t>006VO00000PKPrtYAH</t>
  </si>
  <si>
    <t>Anwar Bakery - SU</t>
  </si>
  <si>
    <t>a1L6T00000iJdvWUAS</t>
  </si>
  <si>
    <t>K04 (Hot) - SA - RUH - Yasmin</t>
  </si>
  <si>
    <t>006VO00000PKac3YAD</t>
  </si>
  <si>
    <t>Roma company Kebab hub - Well done</t>
  </si>
  <si>
    <t>a1L5G000004TztmUAC</t>
  </si>
  <si>
    <t>K31 (Hot) SA - RUH - Qurtoba</t>
  </si>
  <si>
    <t>006VO00000PRr9uYAD</t>
  </si>
  <si>
    <t>Shawarma House, Qurtoba, K31</t>
  </si>
  <si>
    <t>a1L5G000004TzuaUAC</t>
  </si>
  <si>
    <t>K42 (Hot) SA - RUH - Qurtoba</t>
  </si>
  <si>
    <t>006VO00000PRrrRYAT</t>
  </si>
  <si>
    <t>Shawarma House, Qurtoba, K42</t>
  </si>
  <si>
    <t>a1L5G000004TznuUAC</t>
  </si>
  <si>
    <t>K30 (Hot) SA - RUH - Qurtoba</t>
  </si>
  <si>
    <t>006VO00000PS8VhYAL</t>
  </si>
  <si>
    <t>Shawarma House, Qurtoba, K30</t>
  </si>
  <si>
    <t>a1LVO000004X0II2A0</t>
  </si>
  <si>
    <t>K45 (CPU) SA - RUH - Qurtoba</t>
  </si>
  <si>
    <t>006VO00000PebQhYAJ</t>
  </si>
  <si>
    <t>Shawarma House, Qurtoba, K45 (CPU)</t>
  </si>
  <si>
    <t>a1L5G000004TzvJUAS</t>
  </si>
  <si>
    <t>K07 (Cold) SA - RUH - Qurtoba</t>
  </si>
  <si>
    <t>006VO00000PekFSYAZ</t>
  </si>
  <si>
    <t>Shawarma House, Qurtoba, K07</t>
  </si>
  <si>
    <t>a1L5G000004TzukUAC</t>
  </si>
  <si>
    <t>K44 (Hot) SA - RUH - Qurtoba</t>
  </si>
  <si>
    <t>006VO00000PemNhYAJ</t>
  </si>
  <si>
    <t>Shawarma House, Qurtoba, K44</t>
  </si>
  <si>
    <t>a1L5G000004Tzt8UAC</t>
  </si>
  <si>
    <t>K21 (Hot) SA - RUH - Qurtoba</t>
  </si>
  <si>
    <t>006VO00000PoKd3YAF</t>
  </si>
  <si>
    <t>Dar Al Raeda- Olaya - Member Transfer - Member Transfer - Member Transfer</t>
  </si>
  <si>
    <t>a1LVO000004Wf7N2AS</t>
  </si>
  <si>
    <t>K01 (Hot) - SA - RUH - King Faisal</t>
  </si>
  <si>
    <t>3.0m hood</t>
  </si>
  <si>
    <t>006VO00000PoNizYAF</t>
  </si>
  <si>
    <t>Seedling Salad</t>
  </si>
  <si>
    <t>a1L5G000004TztcUAC</t>
  </si>
  <si>
    <t>K27 (Hot) SA - RUH - Qurtoba</t>
  </si>
  <si>
    <t>006VO00000Poat7YAB</t>
  </si>
  <si>
    <t>Shawarma House, Qurtoba, K27</t>
  </si>
  <si>
    <t>a1L5G000004TzuLUAS</t>
  </si>
  <si>
    <t>K38 (Hot) SA - RUH - Qurtoba</t>
  </si>
  <si>
    <t>006VO00000Pob1BYAR</t>
  </si>
  <si>
    <t>Shawarma House, Qurtoba, K38</t>
  </si>
  <si>
    <t>a1L6T00000jr3nRUAQ</t>
  </si>
  <si>
    <t>K09 (Cold) - SA - RUH - Jarir</t>
  </si>
  <si>
    <t>006VO00000PsBBNYA3</t>
  </si>
  <si>
    <t>Eat Ha - Member Transfer - Member Transfer</t>
  </si>
  <si>
    <t>a1L5G000004TziaUAC</t>
  </si>
  <si>
    <t>K14 (Hot) - SA - RUH - Wadi</t>
  </si>
  <si>
    <t>006VO00000Q0EP0YAN</t>
  </si>
  <si>
    <t>Copo</t>
  </si>
  <si>
    <t>a1L6T00000iJ1E8UAK</t>
  </si>
  <si>
    <t>K16 (Hot) - SA - DMM - Rawda</t>
  </si>
  <si>
    <t>006VO00000Q0hXSYAZ</t>
  </si>
  <si>
    <t>Applebee's</t>
  </si>
  <si>
    <t>a1L5G000004TzpBUAS</t>
  </si>
  <si>
    <t>K17 (Hot) - SA - RUH - Wadi</t>
  </si>
  <si>
    <t>006VO00000QOIL0YAP</t>
  </si>
  <si>
    <t>FireFly Burger - KSA - Kiwi</t>
  </si>
  <si>
    <t>a1L5G000004NGZNUA4</t>
  </si>
  <si>
    <t>K03 (Cold) - SA - RUH - Wadi</t>
  </si>
  <si>
    <t>006VO00000QieAsYAJ</t>
  </si>
  <si>
    <t>CoJo Cafe-</t>
  </si>
  <si>
    <t>a1L6T00000mllxEUAQ</t>
  </si>
  <si>
    <t>K12 (Cold) - SA - RUH - Wadi</t>
  </si>
  <si>
    <t>006VO00000QjmeDYAR</t>
  </si>
  <si>
    <t>Manga Al Zaeem For Juices</t>
  </si>
  <si>
    <t>a1L5G000004TzmMUAS</t>
  </si>
  <si>
    <t>K12 (Hot) - SA - RUH - Dahrat Laban</t>
  </si>
  <si>
    <t>006VO00000QjoD0YAJ</t>
  </si>
  <si>
    <t>Juice Item - Member Transfer</t>
  </si>
  <si>
    <t>a1L6T00000mlk8KUAQ</t>
  </si>
  <si>
    <t>K15 (Hot) - BH - MAN - UAH</t>
  </si>
  <si>
    <t>006VO00000QlBKRYA3</t>
  </si>
  <si>
    <t>Petiole Foods (K15 UAH)</t>
  </si>
  <si>
    <t>a1L5G000004TzrlUAC</t>
  </si>
  <si>
    <t>K02 (Cold) - SA - RUH - Wadi</t>
  </si>
  <si>
    <t>006VO00000Qm34lYAB</t>
  </si>
  <si>
    <t>Abdulaziz Al Ahmari</t>
  </si>
  <si>
    <t>a1L6T00000iJdviUAC</t>
  </si>
  <si>
    <t>K16 (Cold) - SA - RUH - Yasmin</t>
  </si>
  <si>
    <t>006VO00000QtkHlYAJ</t>
  </si>
  <si>
    <t>Fruit Art</t>
  </si>
  <si>
    <t>a1L5G000004Tzv4UAC</t>
  </si>
  <si>
    <t>K03 (Cold) SA - RUH - Qurtoba</t>
  </si>
  <si>
    <t>006VO00000R6TNxYAN</t>
  </si>
  <si>
    <t>Cut Crush Company -KSA-</t>
  </si>
  <si>
    <t>a1L6T00000iJA2VUAW</t>
  </si>
  <si>
    <t>K15 (Hot) - SA - RUH - Narjis</t>
  </si>
  <si>
    <t>006VO00000R6ThJYAV</t>
  </si>
  <si>
    <t>Shawarma House, Narjis, K15</t>
  </si>
  <si>
    <t>a1L5G000004OE0UUAW</t>
  </si>
  <si>
    <t>K27 (Cold) - SA - RUH - Malga 2</t>
  </si>
  <si>
    <t>006VO00000RAjQvYAL</t>
  </si>
  <si>
    <t>Marta's Cake</t>
  </si>
  <si>
    <t>a1L5G000004NtQLUA0</t>
  </si>
  <si>
    <t>K02 (Hot) - SA - RUH - King Fahd</t>
  </si>
  <si>
    <t>006VO00000RF6FFYA1</t>
  </si>
  <si>
    <t>a1L5G000004TzjEUAS</t>
  </si>
  <si>
    <t>K15 (Hot) - SA - RUH - Wadi</t>
  </si>
  <si>
    <t>006VO00000RJjJdYAL</t>
  </si>
  <si>
    <t>Juice Item SA - Member Transfer</t>
  </si>
  <si>
    <t>a1L5G000004NSfiUAG</t>
  </si>
  <si>
    <t>K23 (Cold) - SA - RUH - Malga 1</t>
  </si>
  <si>
    <t>006VO00000RSma2YAD</t>
  </si>
  <si>
    <t>Half Tree (Al Malga)</t>
  </si>
  <si>
    <t>a1L5G000004NYIOUA4</t>
  </si>
  <si>
    <t>K26 (Cold) - SA - KBR - Aqrabiya</t>
  </si>
  <si>
    <t>006VO00000RT5rDYAT</t>
  </si>
  <si>
    <t>Half Tree (Aqrabiya)</t>
  </si>
  <si>
    <t>a1L6T00000iJLZgUAO</t>
  </si>
  <si>
    <t>K09 (Cold)- KSA - AHS- Hofuf</t>
  </si>
  <si>
    <t>006VO00000RT60xYAD</t>
  </si>
  <si>
    <t>Half Tree (Hofuf)</t>
  </si>
  <si>
    <t>a1L5G000004NLfoUAG</t>
  </si>
  <si>
    <t>K05 (Cold) - SA - RUH - Wadi</t>
  </si>
  <si>
    <t>006VO00000RT84HYAT</t>
  </si>
  <si>
    <t>Half Tree (Al Wadi)</t>
  </si>
  <si>
    <t>a1L5G000004TzliUAC</t>
  </si>
  <si>
    <t>K06 (Cold) - SA - RUH - Sweidi</t>
  </si>
  <si>
    <t>006VO00000RTAvhYAH</t>
  </si>
  <si>
    <t>Half Tree (Sweidi)</t>
  </si>
  <si>
    <t>a1L6T00000iJLZiUAO</t>
  </si>
  <si>
    <t>K11 (Hot)- KSA - AHS- Hofuf</t>
  </si>
  <si>
    <t>006VO00000RdTyfYAF</t>
  </si>
  <si>
    <t>a1L6T00000jr3nMUAQ</t>
  </si>
  <si>
    <t>K01 (Hot) - SA - RUH - Jarir</t>
  </si>
  <si>
    <t>006VO00000RwqoHYAR</t>
  </si>
  <si>
    <t>Kcal - KSA - Jarir</t>
  </si>
  <si>
    <t>a1LVO000004WfH42AK</t>
  </si>
  <si>
    <t>K14 (Hot) - SA - RUH - King Faisal</t>
  </si>
  <si>
    <t>006VO00000SdyNaYAJ</t>
  </si>
  <si>
    <t>V60 Coffee Bar -KSA- - Member Transfer</t>
  </si>
  <si>
    <t>SA - RUH - Sweidi (2)</t>
  </si>
  <si>
    <t>a1LVO000002JcLN2A0</t>
  </si>
  <si>
    <t>K01 (Hot) - SA - RUH - SWD2</t>
  </si>
  <si>
    <t>006VO00000SptvBYAR</t>
  </si>
  <si>
    <t>Pret A Manger Saudi Arabia k1</t>
  </si>
  <si>
    <t>a1L5G000004NShsUAG</t>
  </si>
  <si>
    <t>K13 (Hot) - SA - RUH - Khaleej</t>
  </si>
  <si>
    <t>006VO00000SzijxYAB</t>
  </si>
  <si>
    <t>Suwairs Cold Kitchen - Khaleej - Member Transfer - Member Transfer</t>
  </si>
  <si>
    <t>a1L5G000004TznFUAS</t>
  </si>
  <si>
    <t>K25 (Hot) - SA - RUH - Dahrat Laban</t>
  </si>
  <si>
    <t>006VO00000SzjGDYAZ</t>
  </si>
  <si>
    <t>Al Hamra Bukhari Restaurant - SA - RUH - Dahrat Laban - Delayed Transfer</t>
  </si>
  <si>
    <t>a1L5G000004TznZUAS</t>
  </si>
  <si>
    <t>K29 (Hot) - SA - RUH - Dahrat Laban</t>
  </si>
  <si>
    <t>006VO00000SzkCHYAZ</t>
  </si>
  <si>
    <t>a1L6T00000jqkp5UAA</t>
  </si>
  <si>
    <t>K06 (Cold) - SA - RUH - Salam</t>
  </si>
  <si>
    <t>006VO00000T02xBYAR</t>
  </si>
  <si>
    <t>Chocomelt Laban - Member Transfer - Member Transfer</t>
  </si>
  <si>
    <t>a1L6T00000iJ1E5UAK</t>
  </si>
  <si>
    <t>K07 (Hot) - SA - DMM - Rawda</t>
  </si>
  <si>
    <t>006VO00000T1eIrYAJ</t>
  </si>
  <si>
    <t>Ganache - Member Transfer - Member Transfer</t>
  </si>
  <si>
    <t>a1L5G000004NYI3UAO</t>
  </si>
  <si>
    <t>K05 (Hot) - SA - KBR - Aqrabiya</t>
  </si>
  <si>
    <t>006VO00000T1fq1YAB</t>
  </si>
  <si>
    <t>a1LVO000004E7492AC</t>
  </si>
  <si>
    <t>K09 (Hot) - SA - RUH - Arid (2)</t>
  </si>
  <si>
    <t>006VO00000T68WtYAJ</t>
  </si>
  <si>
    <t>Maqloba - KSA</t>
  </si>
  <si>
    <t>a1L5G000004NYI8UAO</t>
  </si>
  <si>
    <t>K10 (Cold) - SA - KBR - Aqrabiya</t>
  </si>
  <si>
    <t>006VO00000TDnqDYAT</t>
  </si>
  <si>
    <t>Quttna KSA</t>
  </si>
  <si>
    <t>a1L6T00000iJBYKUA4</t>
  </si>
  <si>
    <t>K03 (Hot) - SA - RUH - Sulimaniyah</t>
  </si>
  <si>
    <t>006VO00000TEGc7YAH</t>
  </si>
  <si>
    <t>Al Hamra Bukhari Restaurant - SA - RUH</t>
  </si>
  <si>
    <t>a1L5G000004NsYXUA0</t>
  </si>
  <si>
    <t>K08 (Hot) - SA - RUH - Aqiq</t>
  </si>
  <si>
    <t>006VO00000TWDizYAH</t>
  </si>
  <si>
    <t>ISFC International Specialized Food Co- (Diet World - Madqoud Alsadra - Kiwi grill) Aqiq</t>
  </si>
  <si>
    <t>a1LVO000004E7Lt2AK</t>
  </si>
  <si>
    <t>K20 (Hot) - SA - RUH - Arid (2)</t>
  </si>
  <si>
    <t>006VO00000TjYMbYAN</t>
  </si>
  <si>
    <t>a1LVO000004E70v2AC</t>
  </si>
  <si>
    <t>K07 (Hot) - SA - RUH - Arid (2)</t>
  </si>
  <si>
    <t>006VO00000TjgaHYAR</t>
  </si>
  <si>
    <t>a1L5G000004NSiGUAW</t>
  </si>
  <si>
    <t>K29 (Cold) - SA - RUH - Khaleej</t>
  </si>
  <si>
    <t>006VO00000TjjRhYAJ</t>
  </si>
  <si>
    <t>The delicous</t>
  </si>
  <si>
    <t>a1L5G000004TzohUAC</t>
  </si>
  <si>
    <t>K09 (Hot) - SA - RUH - Wadi</t>
  </si>
  <si>
    <t>006VO00000TlZuTYAV</t>
  </si>
  <si>
    <t>Hayat Alnokbaah company</t>
  </si>
  <si>
    <t>a1L5G000004NYIIUA4</t>
  </si>
  <si>
    <t>K20 (Cold) - SA - KBR - Aqrabiya</t>
  </si>
  <si>
    <t>006VO00000Tle7lYAB</t>
  </si>
  <si>
    <t>Etoile Aqrabiya</t>
  </si>
  <si>
    <t>Micheal Fahmy</t>
  </si>
  <si>
    <t>a1L6T00000iJBYGUA4</t>
  </si>
  <si>
    <t>K02 (Hot) - SA - RUH - Sulimaniyah</t>
  </si>
  <si>
    <t>006VO00000TpbxjYAB</t>
  </si>
  <si>
    <t>ISFC International Specialized Food Co- (Diet World - Madqoud Alsadra - Kiwi grill) Sulimaniyah</t>
  </si>
  <si>
    <t>a1L6T00000jr77CUAQ</t>
  </si>
  <si>
    <t>K02 (Hot) - SA - RUH - Malga 2</t>
  </si>
  <si>
    <t>006VO00000Tpv0MYAR</t>
  </si>
  <si>
    <t>Crisper</t>
  </si>
  <si>
    <t>a1L5G000004NSiCUAW</t>
  </si>
  <si>
    <t>K25 (Hot) - SA - RUH - Khaleej</t>
  </si>
  <si>
    <t>006VO00000TuDEnYAN</t>
  </si>
  <si>
    <t>Fames burger Khaleej</t>
  </si>
  <si>
    <t>a1L5G000004TzjNUAS</t>
  </si>
  <si>
    <t>K01 (Hot) - SA - RUH - Sweidi</t>
  </si>
  <si>
    <t>006VO00000TuDbNYAV</t>
  </si>
  <si>
    <t>Fames burger Sweidi 1</t>
  </si>
  <si>
    <t>a1L5G000004NtR4UAK</t>
  </si>
  <si>
    <t>K29 (Cold) - SA - RUH - King Fahd</t>
  </si>
  <si>
    <t>006VO00000TxX0wYAF</t>
  </si>
  <si>
    <t>Etoile King Fahad</t>
  </si>
  <si>
    <t>a1LVO000004Wf902AC</t>
  </si>
  <si>
    <t>K04 (Hot) - SA - RUH - King Faisal</t>
  </si>
  <si>
    <t>006VO00000Ty5SMYAZ</t>
  </si>
  <si>
    <t>Etoile King Faisal</t>
  </si>
  <si>
    <t>a1L6T00000jr3nnUAA</t>
  </si>
  <si>
    <t>K19 (Hot) - SA - RUH - Jarir</t>
  </si>
  <si>
    <t>006VO00000TyCf7YAF</t>
  </si>
  <si>
    <t>Etoile - Jarir</t>
  </si>
  <si>
    <t>a1LVO000004E7KH2A0</t>
  </si>
  <si>
    <t>K19 (Hot) - SA - RUH - Arid (2)</t>
  </si>
  <si>
    <t>006VO00000TyW5xYAF</t>
  </si>
  <si>
    <t>Shawaya House, Arid2</t>
  </si>
  <si>
    <t>a1L5G000004NYI1UAO</t>
  </si>
  <si>
    <t>K03 (Hot) - SA - KBR - Aqrabiya</t>
  </si>
  <si>
    <t>006VO00000U7gZ7YAJ</t>
  </si>
  <si>
    <t>GOFA, Rakah</t>
  </si>
  <si>
    <t>a1L5G000004NSiIUAW</t>
  </si>
  <si>
    <t>K31 (Hot) - SA - RUH - Khaleej</t>
  </si>
  <si>
    <t>006VO00000U9nLBYAZ</t>
  </si>
  <si>
    <t>Hala Batta</t>
  </si>
  <si>
    <t>a1L5G000004TzrvUAC</t>
  </si>
  <si>
    <t>K05 (Hot) SA - RUH - Qurtoba</t>
  </si>
  <si>
    <t>006VO00000UHtJlYAL</t>
  </si>
  <si>
    <t>Alreef Broasted</t>
  </si>
  <si>
    <t>a1L5G000004TzldUAC</t>
  </si>
  <si>
    <t>K05 (Cold) - SA - RUH - Sweidi</t>
  </si>
  <si>
    <t>006VO00000UI4n3YAD</t>
  </si>
  <si>
    <t>Cref Cookies Sweidi</t>
  </si>
  <si>
    <t>a1L6T00000iJBYtUAO</t>
  </si>
  <si>
    <t>K07 (Hot) - SA - RUH - Sulimaniyah</t>
  </si>
  <si>
    <t>006VO00000UMD6zYAH</t>
  </si>
  <si>
    <t>Shawarma House, Sulimaniah, K07</t>
  </si>
  <si>
    <t>a1L6T00000iJdvaUAC</t>
  </si>
  <si>
    <t>K08 (Hot) - SA - RUH - Yasmin</t>
  </si>
  <si>
    <t>006VO00000UfUSIYA3</t>
  </si>
  <si>
    <t>Alreef Broastedx</t>
  </si>
  <si>
    <t>a1L5G000004TziKUAS</t>
  </si>
  <si>
    <t>K07 (Hot) - SA - RUH - Olaya</t>
  </si>
  <si>
    <t>006VO00000UfXJhYAN</t>
  </si>
  <si>
    <t>a1L5G000004TzlYUAS</t>
  </si>
  <si>
    <t>K03 (Hot) - SA - RUH - Dahrat Laban</t>
  </si>
  <si>
    <t>006VO00000UkLGHYA3</t>
  </si>
  <si>
    <t>Hajeen Roasters</t>
  </si>
  <si>
    <t>a1LVO000004WfKI2A0</t>
  </si>
  <si>
    <t>K16 (Hot) - SA - RUH - King Faisal</t>
  </si>
  <si>
    <t>006VO00000UkNTNYA3</t>
  </si>
  <si>
    <t>Mashael SU</t>
  </si>
  <si>
    <t>a1L5G000004Tzs5UAC</t>
  </si>
  <si>
    <t>K06 (Hot) SA - RUH - Qurtoba</t>
  </si>
  <si>
    <t>006VO00000UkZcdYAF</t>
  </si>
  <si>
    <t>a1L6T00000jqkpAUAQ</t>
  </si>
  <si>
    <t>K04 (Hot) - SA - RUH - Salam</t>
  </si>
  <si>
    <t>006VO00000UkicfYAB</t>
  </si>
  <si>
    <t>a1LVO000004WfNW2A0</t>
  </si>
  <si>
    <t>K22 (Hot) - SA - RUH - King Faisal</t>
  </si>
  <si>
    <t>006VO00000UuUDRYA3</t>
  </si>
  <si>
    <t>a1L5G000004Ned7UAC</t>
  </si>
  <si>
    <t>K03 (Cold) - SA - DMM - Zuhur</t>
  </si>
  <si>
    <t>006VO00000V5VirYAF</t>
  </si>
  <si>
    <t>Ganache - Member Transfer</t>
  </si>
  <si>
    <t>a1L5G000004TzmRUAS</t>
  </si>
  <si>
    <t>K13 (Hot) - SA - RUH - Dahrat Laban</t>
  </si>
  <si>
    <t>006VO00000VKOiiYAH</t>
  </si>
  <si>
    <t>a1L6T00000iJ1EQUA0</t>
  </si>
  <si>
    <t>K22 (Hot) - SA - DMM - Rawda</t>
  </si>
  <si>
    <t>006VO00000VNwzAYAT</t>
  </si>
  <si>
    <t>Al Ghalia Company - CAFÉ LILOU - RWD</t>
  </si>
  <si>
    <t>a1L6T00000iJdvXUAS</t>
  </si>
  <si>
    <t>K05 (Hot) - SA - RUH - Yasmin</t>
  </si>
  <si>
    <t>006VO00000VTIVyYAP</t>
  </si>
  <si>
    <t>Lolivo Yasmin</t>
  </si>
  <si>
    <t>a1L5G000004NShqUAG</t>
  </si>
  <si>
    <t>K11 (Cold) - SA - RUH - Khaleej</t>
  </si>
  <si>
    <t>006VO00000Vi2STYAZ</t>
  </si>
  <si>
    <t>Haqwa Coffee</t>
  </si>
  <si>
    <t>a1L6T00000iJ1E6UAK</t>
  </si>
  <si>
    <t>K09 (Cold) - SA - DMM - Rawda</t>
  </si>
  <si>
    <t>006VO00000Vjm54YAB</t>
  </si>
  <si>
    <t>Loleta Sweets Rawdah - Member Transfer</t>
  </si>
  <si>
    <t>a1L6T00000iJ1EHUA0</t>
  </si>
  <si>
    <t>K23 (Hot) - SA - DMM - Rawda</t>
  </si>
  <si>
    <t>006VO00000VngCMYAZ</t>
  </si>
  <si>
    <t>Fullah</t>
  </si>
  <si>
    <t>a1L5G000004TznoUAC</t>
  </si>
  <si>
    <t>K04 (Cold) - SA - RUH - Dahrat Laban</t>
  </si>
  <si>
    <t>006VO00000Vnr1JYAR</t>
  </si>
  <si>
    <t>Sugarize</t>
  </si>
  <si>
    <t>a1LVO000004WfFS2A0</t>
  </si>
  <si>
    <t>K12 (Hot) - SA - RUH - King Faisal</t>
  </si>
  <si>
    <t>006VO00000Vs3ogYAB</t>
  </si>
  <si>
    <t>Biox - The Health Bar by RAW King Faisal</t>
  </si>
  <si>
    <t>a1L5G000004NSiNUAW</t>
  </si>
  <si>
    <t>K36 (Cold) - SA - RUH - Khaleej</t>
  </si>
  <si>
    <t>006VO00000VwQDBYA3</t>
  </si>
  <si>
    <t>Al Ghalia Company - CAFÉ LILOU - KHJ</t>
  </si>
  <si>
    <t>a1L5G000004TzlOUAS</t>
  </si>
  <si>
    <t>K03 (Cold) - SA - RUH - Sweidi</t>
  </si>
  <si>
    <t>006VO00000VwR1BYAV</t>
  </si>
  <si>
    <t>Al Ghalia Company - CAFÉ LILOU - SWD</t>
  </si>
  <si>
    <t>a1L5G000004NKhpUAG</t>
  </si>
  <si>
    <t>K12 (Hot) - SA - RUH - Malga 1</t>
  </si>
  <si>
    <t>006VO00000Vwa9JYAR</t>
  </si>
  <si>
    <t>Al Ghalia Company - CAFÉ LILOU - Malga</t>
  </si>
  <si>
    <t>I</t>
  </si>
  <si>
    <t>a1LVO000002JcTR2A0</t>
  </si>
  <si>
    <t>K06 (Hot) - SA - RUH - SWD2</t>
  </si>
  <si>
    <t>006VO00000W7njRYAR</t>
  </si>
  <si>
    <t>Pret A Manger Saudi Arabia K6</t>
  </si>
  <si>
    <t>a1LVO000002JcMz2AK</t>
  </si>
  <si>
    <t>K02 (Hot) - SA - RUH - SWD2</t>
  </si>
  <si>
    <t>006VO00000W7xc1YAB</t>
  </si>
  <si>
    <t>Pret A Manger Saudi Arabia K2</t>
  </si>
  <si>
    <t>a1LVO000002JcQD2A0</t>
  </si>
  <si>
    <t>K04 (Hot) - SA - RUH - SWD2</t>
  </si>
  <si>
    <t>006VO00000W7xk5YAB</t>
  </si>
  <si>
    <t>Pret A Manger Saudi Arabia K4</t>
  </si>
  <si>
    <t>a1LVO000002JcYH2A0</t>
  </si>
  <si>
    <t>K09 (Hot) - SA - RUH - SWD2</t>
  </si>
  <si>
    <t>006VO00000W7xs9YAB</t>
  </si>
  <si>
    <t>Pret A Manger Saudi Arabia K9</t>
  </si>
  <si>
    <t>a1LVO0000049DLV2A2</t>
  </si>
  <si>
    <t>K10 (Hot) - SA - RUH - SWD2</t>
  </si>
  <si>
    <t>006VO00000W7y1pYAB</t>
  </si>
  <si>
    <t>Pret A Manger Saudi Arabia K10</t>
  </si>
  <si>
    <t>a1LVO0000049DLW2A2</t>
  </si>
  <si>
    <t>K11 (Hot) - SA - RUH - SWD2</t>
  </si>
  <si>
    <t>006VO00000W7y6fYAB</t>
  </si>
  <si>
    <t>Pret A Manger Saudi Arabia K11</t>
  </si>
  <si>
    <t>a1L5G000004TzkVUAS</t>
  </si>
  <si>
    <t>K11 (Hot) - SA - RUH - Sweidi</t>
  </si>
  <si>
    <t>006VO00000W8DdZYAV</t>
  </si>
  <si>
    <t>ISFC International Specialized Food Co- (Diet World - Madqoud Alsadra - Kiwi grill) Sweidi - Member Transfer</t>
  </si>
  <si>
    <t>a1L6T00000iJLZoUAO</t>
  </si>
  <si>
    <t>K17 (Cold)- KSA - AHS- Hofuf</t>
  </si>
  <si>
    <t>006VO00000W8c7LYAR</t>
  </si>
  <si>
    <t>Chocomelt Rawda - Member Transfer</t>
  </si>
  <si>
    <t>a1L5G000004OE0TUAW</t>
  </si>
  <si>
    <t>K26 (Cold) - SA - RUH - Malga 2</t>
  </si>
  <si>
    <t>006VO00000WHIxNYAX</t>
  </si>
  <si>
    <t>Etoile - Malga 2 - Member Transfer</t>
  </si>
  <si>
    <t>a1L5G000004NtQQUA0</t>
  </si>
  <si>
    <t>K07 (Hot) - SA - RUH - King Fahd</t>
  </si>
  <si>
    <t>006VO00000WKzBNYA1</t>
  </si>
  <si>
    <t>Nakhati - Member Transfer</t>
  </si>
  <si>
    <t>SA - KBR - Rakah</t>
  </si>
  <si>
    <t>a1LVO000004RAqd2AG</t>
  </si>
  <si>
    <t>K03 (Hot) - SA - KBR - Rakah</t>
  </si>
  <si>
    <t>006VO00000WLSJpYAP</t>
  </si>
  <si>
    <t>Strawberry and cheese - KSA-</t>
  </si>
  <si>
    <t>a1L6T00000iJA2LUAW</t>
  </si>
  <si>
    <t>K10 (Hot) - SA - RUH - Narjis</t>
  </si>
  <si>
    <t>006VO00000WYde1YAD</t>
  </si>
  <si>
    <t>a1L5G000004NShpUAG</t>
  </si>
  <si>
    <t>K10 (Cold) - SA - RUH - Khaleej</t>
  </si>
  <si>
    <t>006VO00000WbTrpYAF</t>
  </si>
  <si>
    <t>Souffle Altahliyah-</t>
  </si>
  <si>
    <t>K</t>
  </si>
  <si>
    <t>a1LVO000004WfP72AK</t>
  </si>
  <si>
    <t>K23 (Hot) - SA - RUH - King Faisal</t>
  </si>
  <si>
    <t>006VO00000Wbe7JYAR</t>
  </si>
  <si>
    <t>Calo - RUH - King Faisal - KSA</t>
  </si>
  <si>
    <t>a1L5G000004NYI7UAO</t>
  </si>
  <si>
    <t>K09 (Hot) - SA - KBR - Aqrabiya</t>
  </si>
  <si>
    <t>006VO00000WhAhfYAF</t>
  </si>
  <si>
    <t>Abdulrahman Alamer Start Up</t>
  </si>
  <si>
    <t>a1L5G000004NecrUAC</t>
  </si>
  <si>
    <t>K21 (Hot) - SA - DMM - Zuhur</t>
  </si>
  <si>
    <t>006VO00000Wun5GYAR</t>
  </si>
  <si>
    <t>Juice Item - Member Transfer - Member Transfer - Member Transfer</t>
  </si>
  <si>
    <t>a1LVO000004Wf8z2AC</t>
  </si>
  <si>
    <t>K03 (Hot) - SA - RUH - King Faisal</t>
  </si>
  <si>
    <t>006VO00000Wv3d3YAB</t>
  </si>
  <si>
    <t>Paella Pan King Faisal</t>
  </si>
  <si>
    <t>a1L6T00000iJ1EEUA0</t>
  </si>
  <si>
    <t>K24 (Cold) - SA - DMM - Rawda</t>
  </si>
  <si>
    <t>006VO00000X1mHJYAZ</t>
  </si>
  <si>
    <t>Cold Summer</t>
  </si>
  <si>
    <t>a1L6T00000mlk8MUAQ</t>
  </si>
  <si>
    <t>K13 (Hot) - BH - MAN - UAH</t>
  </si>
  <si>
    <t>006VO00000X6qIfYAJ</t>
  </si>
  <si>
    <t>The Fancy Fork (K13 UAH)</t>
  </si>
  <si>
    <t>a1L6T00000iJA27UAG</t>
  </si>
  <si>
    <t>K03 (Cold) - SA - RUH - Narjis</t>
  </si>
  <si>
    <t>006VO00000XC1BqYAL</t>
  </si>
  <si>
    <t>Misslawh - KSA- - Member Transfer</t>
  </si>
  <si>
    <t>a1L5G000004NtQ6UAK</t>
  </si>
  <si>
    <t>K22 (Hot) - SA - RUH - King Fahd</t>
  </si>
  <si>
    <t>006VO00000XKeHfYAL</t>
  </si>
  <si>
    <t>Lolivo King Fahad</t>
  </si>
  <si>
    <t>a1LVO000004WfCE2A0</t>
  </si>
  <si>
    <t>K08 (Hot) - SA - RUH - King Faisal</t>
  </si>
  <si>
    <t>006VO00000XQdvZYAT</t>
  </si>
  <si>
    <t>Choply Salad</t>
  </si>
  <si>
    <t>a1L5G000004TzmvUAC</t>
  </si>
  <si>
    <t>K20 (Hot) - SA - RUH - Dahrat Laban</t>
  </si>
  <si>
    <t>006VO00000XV9s1YAD</t>
  </si>
  <si>
    <t>Copo laban</t>
  </si>
  <si>
    <t>a1L6T00000mlk8IUAQ</t>
  </si>
  <si>
    <t>K17 (Hot) - BH - MAN - UAH</t>
  </si>
  <si>
    <t>006VO00000XpSorYAF</t>
  </si>
  <si>
    <t>Sheffas Shack- K17 UAH</t>
  </si>
  <si>
    <t>a1LVO000004Wf7O2AS</t>
  </si>
  <si>
    <t>K02 (Hot) - SA - RUH - King Faisal</t>
  </si>
  <si>
    <t>006VO00000XtN12YAF</t>
  </si>
  <si>
    <t>a1L6T00000jr3nVUAQ</t>
  </si>
  <si>
    <t>K14 (Hot) - SA - RUH - Jarir</t>
  </si>
  <si>
    <t>006VO00000XtS77YAF</t>
  </si>
  <si>
    <t>a1L6T00000jr3nXUAQ</t>
  </si>
  <si>
    <t>K15 (Hot) - SA - RUH - Jarir</t>
  </si>
  <si>
    <t>006VO00000XtSGnYAN</t>
  </si>
  <si>
    <t>a1L6T00000mlk8XUAQ</t>
  </si>
  <si>
    <t>K21 (Hot) - BH - MAN - UAH</t>
  </si>
  <si>
    <t>006VO00000XxOksYAF</t>
  </si>
  <si>
    <t>FASSCO international - K21 UAH</t>
  </si>
  <si>
    <t>a1L6T00000jr3naUAA</t>
  </si>
  <si>
    <t>K02 (Hot) - SA - RUH - Jarir</t>
  </si>
  <si>
    <t>006VO00000Y7z3BYAR</t>
  </si>
  <si>
    <t>a1L5G000004TzkGUAS</t>
  </si>
  <si>
    <t>K08 (Hot) - SA - RUH - Sweidi</t>
  </si>
  <si>
    <t>006VO00000Y9s8sYAB</t>
  </si>
  <si>
    <t>Seedling Salad - Member Transfer - Member Transfer</t>
  </si>
  <si>
    <t>SA - DMM - Ghirnatah (2)</t>
  </si>
  <si>
    <t>a1LVO0000056Lq52AE</t>
  </si>
  <si>
    <t>K01 (Hot) - SA - DMM - Ghirnatah 2</t>
  </si>
  <si>
    <t>006VO00000YA9JNYA1</t>
  </si>
  <si>
    <t>Gecat plastic factory - 1</t>
  </si>
  <si>
    <t>a1L5G000004TziZUAS</t>
  </si>
  <si>
    <t>K09 (Hot) - SA - RUH - Olaya</t>
  </si>
  <si>
    <t>006VO00000YADmpYAH</t>
  </si>
  <si>
    <t>Biox - The Health Bar by RAW Sulimaniyah - Delayed Transfer</t>
  </si>
  <si>
    <t>a1L6T00000iJdvdUAC</t>
  </si>
  <si>
    <t>K11 (Cold) - SA - RUH - Yasmin</t>
  </si>
  <si>
    <t>006VO00000YEPnlYAH</t>
  </si>
  <si>
    <t>Toby's Estate</t>
  </si>
  <si>
    <t>a1L5G000004TzntUAC</t>
  </si>
  <si>
    <t>K01 (Hot) - SA - RUH - Wadi</t>
  </si>
  <si>
    <t>006VO00000YEcjNYAT</t>
  </si>
  <si>
    <t>Almaris - Smarf Burger - Missimiss Fottor - Balla Chappati - Sizzle &amp; Smoke Grills - Ammiji.D Biryani - Member Transfer</t>
  </si>
  <si>
    <t>a1L5G000004NSi4UAG</t>
  </si>
  <si>
    <t>K17 (Hot) - SA - RUH - Khaleej</t>
  </si>
  <si>
    <t>006VO00000YHmhPYAT</t>
  </si>
  <si>
    <t>Wissam Su</t>
  </si>
  <si>
    <t>a1L5G000004TzmqUAC</t>
  </si>
  <si>
    <t>K19 (Hot) - SA - RUH - Dahrat Laban</t>
  </si>
  <si>
    <t>006VO00000YIvdmYAD</t>
  </si>
  <si>
    <t>Copo laban K19</t>
  </si>
  <si>
    <t>a1LVO000004E7NV2A0</t>
  </si>
  <si>
    <t>K21 (Hot) - SA - RUH - Arid (2)</t>
  </si>
  <si>
    <t>006VO00000YJ2c1YAD</t>
  </si>
  <si>
    <t>Mohammad Masri</t>
  </si>
  <si>
    <t>a1L6T00000mlk8GUAQ</t>
  </si>
  <si>
    <t>K19 (Hot) - BH - MAN - UAH</t>
  </si>
  <si>
    <t>006VO00000YMlgJYAT</t>
  </si>
  <si>
    <t>Petiole Foods (K19 UAH)</t>
  </si>
  <si>
    <t>a1L5G000004TzjiUAC</t>
  </si>
  <si>
    <t>K02 (Hot) - SA - RUH - Dahrat Laban</t>
  </si>
  <si>
    <t>006VO00000YN6vaYAD</t>
  </si>
  <si>
    <t>Shawaya House, DHL - Member Transfer</t>
  </si>
  <si>
    <t>a1L6T00000iJLZbUAO</t>
  </si>
  <si>
    <t>K04 (Hot)- KSA - AHS- Hofuf</t>
  </si>
  <si>
    <t>006VO00000YXWfDYAX</t>
  </si>
  <si>
    <t>Sushi Demure - Member Transfer</t>
  </si>
  <si>
    <t>a1LVO000004E77N2AS</t>
  </si>
  <si>
    <t>K11 (Hot) - SA - RUH - Arid (2)</t>
  </si>
  <si>
    <t>006VO00000YXmYXYA1</t>
  </si>
  <si>
    <t>TAO Arid 2</t>
  </si>
  <si>
    <t>a1L6T00000jqkpBUAQ</t>
  </si>
  <si>
    <t>K08 (Hot) - SA - RUH - Salam</t>
  </si>
  <si>
    <t>006VO00000YYCXqYAP</t>
  </si>
  <si>
    <t>Sushi do</t>
  </si>
  <si>
    <t>a1L5G000004TzoSUAS</t>
  </si>
  <si>
    <t>K06 (Hot) - SA - RUH - Wadi</t>
  </si>
  <si>
    <t>006VO00000YZcBhYAL</t>
  </si>
  <si>
    <t>Diet Center</t>
  </si>
  <si>
    <t>a1L5G000004NYINUA4</t>
  </si>
  <si>
    <t>K25 (Cold) - SA - KBR - Aqrabiya</t>
  </si>
  <si>
    <t>006VO00000YZd6AYAT</t>
  </si>
  <si>
    <t>Hak group</t>
  </si>
  <si>
    <t>a1L6T00000iJBZDUA4</t>
  </si>
  <si>
    <t>K24 (Hot) - SA - RUH - Sulimaniyah</t>
  </si>
  <si>
    <t>006VO00000YhcBLYAZ</t>
  </si>
  <si>
    <t>K24, Shawarma House, Sulimaniah</t>
  </si>
  <si>
    <t>a1L6T00000iJBZTUA4</t>
  </si>
  <si>
    <t>K22 (Cold) - SA - RUH - Sulimaniyah</t>
  </si>
  <si>
    <t>006VO00000YhwupYAB</t>
  </si>
  <si>
    <t>CK22, Shawarma House, Sulimaniah</t>
  </si>
  <si>
    <t>a1L6T00000iJBZXUA4</t>
  </si>
  <si>
    <t>K23 (Hot) - SA - RUH - Sulimaniyah</t>
  </si>
  <si>
    <t>006VO00000Yi6voYAB</t>
  </si>
  <si>
    <t>K23, Shawarma House, Sulimaniah</t>
  </si>
  <si>
    <t>a1L5G000004TzkzUAC</t>
  </si>
  <si>
    <t>K17 (Hot) - SA - RUH - Sweidi</t>
  </si>
  <si>
    <t>006VO00000YjOU2YAN</t>
  </si>
  <si>
    <t>Neska (Biga Burger, Krnsh , Rosella , Shawarma Allawi, Bo Kees , Bakkar, Koshka, Varo), Sweidi</t>
  </si>
  <si>
    <t>a1L5G000004NsYmUAK</t>
  </si>
  <si>
    <t>K05 (Hot) - SA - RUH - Aqiq</t>
  </si>
  <si>
    <t>006VO00000YyKzcYAF</t>
  </si>
  <si>
    <t>Kcal - KSA - Aqiq</t>
  </si>
  <si>
    <t>a1L6T00000jr3ngUAA</t>
  </si>
  <si>
    <t>K04 (Hot) - SA - RUH - Jarir</t>
  </si>
  <si>
    <t>006VO00000YyidhYAB</t>
  </si>
  <si>
    <t>ALNahdi Catering  - KSA-</t>
  </si>
  <si>
    <t>Abdelrahman Matar</t>
  </si>
  <si>
    <t>a1L5G000004TztIUAS</t>
  </si>
  <si>
    <t>K23 (Hot) SA - RUH - Qurtoba</t>
  </si>
  <si>
    <t>006VO00000Yyik9YAB</t>
  </si>
  <si>
    <t>Kcal - KSA - Qurtoba</t>
  </si>
  <si>
    <t>a1LVO000002JcRp2AK</t>
  </si>
  <si>
    <t>K05 (Hot) - SA - RUH - SWD2</t>
  </si>
  <si>
    <t>006VO00000Yyxw6YAB</t>
  </si>
  <si>
    <t>Pret A Manger Saudi Arabia K 05</t>
  </si>
  <si>
    <t>a1LVO000002JcV32AK</t>
  </si>
  <si>
    <t>K07 (Hot) - SA - RUH - SWD2</t>
  </si>
  <si>
    <t>006VO00000YyyAbYAJ</t>
  </si>
  <si>
    <t>Pret A Manger Saudi Arabia K7</t>
  </si>
  <si>
    <t>a1LVO0000049DLX2A2</t>
  </si>
  <si>
    <t>K12 (Hot) - SA - RUH - SWD2</t>
  </si>
  <si>
    <t>006VO00000Yz2FsYAJ</t>
  </si>
  <si>
    <t>Pret A Manger Saudi Arabia K 12</t>
  </si>
  <si>
    <t>a1LVO000002JcWf2AK</t>
  </si>
  <si>
    <t>K08 (Hot) - SA - RUH - SWD2</t>
  </si>
  <si>
    <t>006VO00000YzDWEYA3</t>
  </si>
  <si>
    <t>Pret A Manger Saudi Arabia K 08</t>
  </si>
  <si>
    <t>a1LVO0000049DLY2A2</t>
  </si>
  <si>
    <t>K13 (Hot) - SA - RUH - SWD2</t>
  </si>
  <si>
    <t>006VO00000YzEKDYA3</t>
  </si>
  <si>
    <t>Pret A Manger Saudi Arabia K 13</t>
  </si>
  <si>
    <t>a1LVO000002JcOb2AK</t>
  </si>
  <si>
    <t>K03 (Hot) - SA - RUH - SWD2</t>
  </si>
  <si>
    <t>006VO00000YzGU5YAN</t>
  </si>
  <si>
    <t>Pret A Manger Saudi Arabia K 03</t>
  </si>
  <si>
    <t>a1L5G000004NtPrUAK</t>
  </si>
  <si>
    <t>K25 (Cold) - SA - RUH - King Fahd</t>
  </si>
  <si>
    <t>006VO00000YzH5BYAV</t>
  </si>
  <si>
    <t>Cocoli Cafe KFD</t>
  </si>
  <si>
    <t>a1L5G000004OE0HUAW</t>
  </si>
  <si>
    <t>K08 (Hot) - SA - RUH - Malga 2</t>
  </si>
  <si>
    <t>006VO00000Z3G2VYAV</t>
  </si>
  <si>
    <t>Cleanse and Glow - KSA</t>
  </si>
  <si>
    <t>a1L5G000004OE0aUAG</t>
  </si>
  <si>
    <t>K18 (Hot) - SA - RUH - Malga 2</t>
  </si>
  <si>
    <t>006VO00000ZCM0cYAH</t>
  </si>
  <si>
    <t>Meld</t>
  </si>
  <si>
    <t>a1L5G000004NsYdUAK</t>
  </si>
  <si>
    <t>K06 (Hot) - SA - RUH - Aqiq</t>
  </si>
  <si>
    <t>006VO00000ZMir5YAD</t>
  </si>
  <si>
    <t>breakin bun</t>
  </si>
  <si>
    <t>a1L5G000004OE0YUAW</t>
  </si>
  <si>
    <t>K11 (Hot) - SA - RUH - Malga 2</t>
  </si>
  <si>
    <t>006VO00000ZMiz7YAD</t>
  </si>
  <si>
    <t>a1L5G000004Tzp1UAC</t>
  </si>
  <si>
    <t>K13 (Hot) - SA - RUH - Wadi</t>
  </si>
  <si>
    <t>006VO00000ZMrG1YAL</t>
  </si>
  <si>
    <t>Big Matt</t>
  </si>
  <si>
    <t>a1L5G000004Tzp6UAC</t>
  </si>
  <si>
    <t>K16 (Hot) - SA - RUH - Wadi</t>
  </si>
  <si>
    <t>006VO00000ZORW0YAP</t>
  </si>
  <si>
    <t>Nadoush Su</t>
  </si>
  <si>
    <t>a1L5G000004OE0OUAW</t>
  </si>
  <si>
    <t>K17 (Hot) - SA - RUH - Malga 2</t>
  </si>
  <si>
    <t>006VO00000ZOW4DYAX</t>
  </si>
  <si>
    <t>Meld - Member Transfer</t>
  </si>
  <si>
    <t>a1L5G000004NSi5UAG</t>
  </si>
  <si>
    <t>K18 (Hot) - SA - RUH - Khaleej</t>
  </si>
  <si>
    <t>006VO00000ZOqUMYA1</t>
  </si>
  <si>
    <t>a1L6T00000iJBYQUA4</t>
  </si>
  <si>
    <t>K06 (Hot) - SA - RUH - Sulimaniyah</t>
  </si>
  <si>
    <t>006VO00000ZSm2LYAT</t>
  </si>
  <si>
    <t>REI Chocolate - KSA- Member Transfer</t>
  </si>
  <si>
    <t>a1L5G000004Tzo3UAC</t>
  </si>
  <si>
    <t>K02 (Hot) - SA - RUH - Wadi</t>
  </si>
  <si>
    <t>006VO00000ZWjXKYA1</t>
  </si>
  <si>
    <t>Maher  JAM - KSA- - Churn Transfer - Delayed Transfer - Member Transfer</t>
  </si>
  <si>
    <t>a1L5G000004NSi1UAG</t>
  </si>
  <si>
    <t>K08 (Cold) - SA - RUH - Khaleej</t>
  </si>
  <si>
    <t>006VO00000Zj0CcYAJ</t>
  </si>
  <si>
    <t>Melted-</t>
  </si>
  <si>
    <t>a1L6T00000iJ1ENUA0</t>
  </si>
  <si>
    <t>K14 (Hot) - SA - DMM - Rawda</t>
  </si>
  <si>
    <t>006VO00000ZkjnaYAB</t>
  </si>
  <si>
    <t>Protein plus - Olive Branches - yughamish zaman - KSA-</t>
  </si>
  <si>
    <t>a1LVO0000056Lq72AE</t>
  </si>
  <si>
    <t>K03 (Hot) - SA - DMM - Ghirnatah 2</t>
  </si>
  <si>
    <t>006VO00000ZmVOkYAN</t>
  </si>
  <si>
    <t>Gecat plastic factory - 3</t>
  </si>
  <si>
    <t>a1LVO0000056LqG2AU</t>
  </si>
  <si>
    <t>K12 (Hot) - SA - DMM - Ghirnatah 2</t>
  </si>
  <si>
    <t>006VO00000ZmYssYAF</t>
  </si>
  <si>
    <t>Gecat plastic factory - 12</t>
  </si>
  <si>
    <t>a1LVO0000056Lq92AE</t>
  </si>
  <si>
    <t>K05 (Hot) - SA - DMM - Ghirnatah 2</t>
  </si>
  <si>
    <t>006VO00000ZmiH8YAJ</t>
  </si>
  <si>
    <t>Gecat plastic factory - 5</t>
  </si>
  <si>
    <t>a1LVO0000056LqB2AU</t>
  </si>
  <si>
    <t>K07 (Hot) - SA - DMM - Ghirnatah 2</t>
  </si>
  <si>
    <t>006VO00000Zmk7eYAB</t>
  </si>
  <si>
    <t>Gecat plastic factory - 7</t>
  </si>
  <si>
    <t>a1LVO0000056Lq62AE</t>
  </si>
  <si>
    <t>K02 (Hot) - SA - DMM - Ghirnatah 2</t>
  </si>
  <si>
    <t>006VO00000ZmmcTYAR</t>
  </si>
  <si>
    <t>Gecat plastic factory - 2</t>
  </si>
  <si>
    <t>a1LVO0000056Lq82AE</t>
  </si>
  <si>
    <t>K04 (Hot) - SA - DMM - Ghirnatah 2</t>
  </si>
  <si>
    <t>006VO00000ZmmqzYAB</t>
  </si>
  <si>
    <t>Gecat plastic factory - 4</t>
  </si>
  <si>
    <t>a1LVO0000056LqC2AU</t>
  </si>
  <si>
    <t>K08 (Hot) - SA - DMM - Ghirnatah 2</t>
  </si>
  <si>
    <t>006VO00000Zmmz4YAB</t>
  </si>
  <si>
    <t>Gecat plastic factory - 8</t>
  </si>
  <si>
    <t>a1LVO0000056LqI2AU</t>
  </si>
  <si>
    <t>K14 (Hot) - SA - DMM - Ghirnatah 2</t>
  </si>
  <si>
    <t>006VO00000ZmnLeYAJ</t>
  </si>
  <si>
    <t>Gecat plastic factory - 14</t>
  </si>
  <si>
    <t>a1LVO0000056LqA2AU</t>
  </si>
  <si>
    <t>K06 (Hot) - SA - DMM - Ghirnatah 2</t>
  </si>
  <si>
    <t>006VO00000ZmnofYAB</t>
  </si>
  <si>
    <t>Gecat plastic factory - 6</t>
  </si>
  <si>
    <t>a1LVO0000056LqD2AU</t>
  </si>
  <si>
    <t>K09 (Hot) - SA - DMM - Ghirnatah 2</t>
  </si>
  <si>
    <t>006VO00000ZmoBFYAZ</t>
  </si>
  <si>
    <t>Gecat plastic factory - 9</t>
  </si>
  <si>
    <t>a1LVO0000056LqE2AU</t>
  </si>
  <si>
    <t>K10 (Hot) - SA - DMM - Ghirnatah 2</t>
  </si>
  <si>
    <t>006VO00000ZmoMXYAZ</t>
  </si>
  <si>
    <t>Gecat plastic factory - 10</t>
  </si>
  <si>
    <t>a1LVO0000056LqF2AU</t>
  </si>
  <si>
    <t>K11 (Hot) - SA - DMM - Ghirnatah 2</t>
  </si>
  <si>
    <t>006VO00000ZmoPlYAJ</t>
  </si>
  <si>
    <t>Gecat plastic factory - 11</t>
  </si>
  <si>
    <t>a1LVO0000056LqH2AU</t>
  </si>
  <si>
    <t>K13 (Hot) - SA - DMM - Ghirnatah 2</t>
  </si>
  <si>
    <t>006VO00000ZmoftYAB</t>
  </si>
  <si>
    <t>Gecat plastic factory - 13</t>
  </si>
  <si>
    <t>a1L5G000004NLftUAG</t>
  </si>
  <si>
    <t>K06 (Cold) - SA - RUH - Wadi</t>
  </si>
  <si>
    <t>006VO00000ZvuAzYAJ</t>
  </si>
  <si>
    <t>Etoile - Arid 2 - Member Transfer</t>
  </si>
  <si>
    <t>a1L6T00000iJLZlUAO</t>
  </si>
  <si>
    <t>K14 (Hot)- KSA - AHS- Hofuf</t>
  </si>
  <si>
    <t>006VO00000Zzk3OYAR</t>
  </si>
  <si>
    <t>Al Ghalia Company - CAFÉ LILOU - HOF</t>
  </si>
  <si>
    <t>a1L5G000004TzmWUAS</t>
  </si>
  <si>
    <t>K14 (Hot) - SA - RUH - Dahrat Laban</t>
  </si>
  <si>
    <t>006VO00000aG1g9YAC</t>
  </si>
  <si>
    <t>Dr.Kabsa</t>
  </si>
  <si>
    <t>a1L6T00000jr3nkUAA</t>
  </si>
  <si>
    <t>K06 (Hot) - SA - RUH - Jarir</t>
  </si>
  <si>
    <t>006VO00000aJe6fYAC</t>
  </si>
  <si>
    <t>ALNahdi Catering  - KSA</t>
  </si>
  <si>
    <t>a1L6T00000iJBYFUA4</t>
  </si>
  <si>
    <t>K01 (Cold) - SA - RUH - Sulimaniyah</t>
  </si>
  <si>
    <t>006VO00000aLERRYA4</t>
  </si>
  <si>
    <t>Dolce Ragusa Sulimaniya</t>
  </si>
  <si>
    <t>a1L6T00000mlk8UUAQ</t>
  </si>
  <si>
    <t>K24 (Hot) - BH - MAN - UAH</t>
  </si>
  <si>
    <t>006VO00000aRoQcYAK</t>
  </si>
  <si>
    <t>FASSCO international - K24 UAH</t>
  </si>
  <si>
    <t>a1L6T00000mlk8WUAQ</t>
  </si>
  <si>
    <t>K22 (Hot) - BH - MAN - UAH</t>
  </si>
  <si>
    <t>006VO00000aS2TZYA0</t>
  </si>
  <si>
    <t>FASSCO international - K22 UAH</t>
  </si>
  <si>
    <t>a1L6T00000mlk8VUAQ</t>
  </si>
  <si>
    <t>K23 (Hot) - BH - MAN - UAH</t>
  </si>
  <si>
    <t>006VO00000aS2oXYAS</t>
  </si>
  <si>
    <t>FASSCO international - K23 UAH</t>
  </si>
  <si>
    <t>a1L6T00000mlk8TUAQ</t>
  </si>
  <si>
    <t>K25 (Hot) - BH - MAN - UAH</t>
  </si>
  <si>
    <t>006VO00000aS2rlYAC</t>
  </si>
  <si>
    <t>FASSCO international - K25 UAH</t>
  </si>
  <si>
    <t>a1L6T00000mlk8EUAQ</t>
  </si>
  <si>
    <t>K02 (Hot) - BH - MAN - UAH</t>
  </si>
  <si>
    <t>006VO00000aXSK9YAO</t>
  </si>
  <si>
    <t>Savory Dishes Restaurant- UAH K02</t>
  </si>
  <si>
    <t>a1L5G000004TznUUAS</t>
  </si>
  <si>
    <t>K28 (Hot) - SA - RUH - Dahrat Laban</t>
  </si>
  <si>
    <t>006VO00000aZ87dYAC</t>
  </si>
  <si>
    <t>Success Creators Laban</t>
  </si>
  <si>
    <t>a1L6T00000jqkpFUAQ</t>
  </si>
  <si>
    <t>K23 (Hot) - SA - RUH - Salam</t>
  </si>
  <si>
    <t>006VO00000aZARBYA4</t>
  </si>
  <si>
    <t>Nahj Alghitha Company Salam K23</t>
  </si>
  <si>
    <t>a1L5G000004TznGUAS</t>
  </si>
  <si>
    <t>K06 (Cold) - SA - RUH - Dahrat Laban</t>
  </si>
  <si>
    <t>006VO00000adhlBYAQ</t>
  </si>
  <si>
    <t>Nolia- KSA</t>
  </si>
  <si>
    <t>a1L6T00000d2NFGUA2</t>
  </si>
  <si>
    <t>K01 (CPU) - SA - RUH - QSM</t>
  </si>
  <si>
    <t>006VO00000ai7cAYAQ</t>
  </si>
  <si>
    <t>a1L6T00000iJLZaUAO</t>
  </si>
  <si>
    <t>K03 (Hot)- KSA - AHS- Hofuf</t>
  </si>
  <si>
    <t>006VO00000aiDhZYAU</t>
  </si>
  <si>
    <t>a1LVO000004E9XN2A0</t>
  </si>
  <si>
    <t>K16 (Hot) - SA - RUH - Arid (2)</t>
  </si>
  <si>
    <t>006VO00000alpqLYAQ</t>
  </si>
  <si>
    <t>Success Creators Arid - Member Transfer</t>
  </si>
  <si>
    <t>a1L5G000004NsYrUAK</t>
  </si>
  <si>
    <t>K15 (Hot) - SA - RUH - Aqiq</t>
  </si>
  <si>
    <t>006VO00000awuujYAA</t>
  </si>
  <si>
    <t>Douven</t>
  </si>
  <si>
    <t>a1L5G000004NSiJUAW</t>
  </si>
  <si>
    <t>K32 (Cold) - SA - RUH - Khaleej</t>
  </si>
  <si>
    <t>006VO00000axbzjYAA</t>
  </si>
  <si>
    <t>Fresh House - KHL</t>
  </si>
  <si>
    <t>a1L6T00000mlk8RUAQ</t>
  </si>
  <si>
    <t>K27 (Hot) - BH - MAN - UAH</t>
  </si>
  <si>
    <t>006VO00000b3H0cYAE</t>
  </si>
  <si>
    <t>FASSCO international - K27 UAH</t>
  </si>
  <si>
    <t>a1L6T00000mlk8PUAQ</t>
  </si>
  <si>
    <t>K29 (Hot) - BH - MAN - UAH</t>
  </si>
  <si>
    <t>006VO00000b3L95YAE</t>
  </si>
  <si>
    <t>FASSCO international - K29 UAH</t>
  </si>
  <si>
    <t>a1L5G000004TzqnUAC</t>
  </si>
  <si>
    <t>K37 (Hot) - SA - RUH - Wadi</t>
  </si>
  <si>
    <t>006VO00000b3OLRYA2</t>
  </si>
  <si>
    <t>Sandwitch - Burger &amp; Me - Member Transfer</t>
  </si>
  <si>
    <t>a1L6T00000mlk8SUAQ</t>
  </si>
  <si>
    <t>K26 (Hot) - BH - MAN - UAH</t>
  </si>
  <si>
    <t>006VO00000b3QgbYAE</t>
  </si>
  <si>
    <t>FASSCO international - K26 UAH</t>
  </si>
  <si>
    <t>a1L6T00000mlk8QUAQ</t>
  </si>
  <si>
    <t>K28 (Hot) - BH - MAN - UAH</t>
  </si>
  <si>
    <t>006VO00000b3Qn3YAE</t>
  </si>
  <si>
    <t>FASSCO international - K28UAH</t>
  </si>
  <si>
    <t>a1L6T00000mlk8HUAQ</t>
  </si>
  <si>
    <t>K18 (Hot) - BH - MAN - UAH</t>
  </si>
  <si>
    <t>006VO00000b7BflYAE</t>
  </si>
  <si>
    <t>Sweet Evolution - BAH (18 UMH)</t>
  </si>
  <si>
    <t>a1L5G000004TzmlUAC</t>
  </si>
  <si>
    <t>K18 (Hot) - SA - RUH - Dahrat Laban</t>
  </si>
  <si>
    <t>006VO00000bLFupYAG</t>
  </si>
  <si>
    <t>SA - RUH - Wurud</t>
  </si>
  <si>
    <t>a1LVO0000052kK62AI</t>
  </si>
  <si>
    <t>K06 (Hot) - SA - RUH - Wurud</t>
  </si>
  <si>
    <t>006VO00000bNC81YAG</t>
  </si>
  <si>
    <t>Mahboob</t>
  </si>
  <si>
    <t>a1LVO0000052kKA2AY</t>
  </si>
  <si>
    <t>K10 (Hot) - SA - RUH - Wurud</t>
  </si>
  <si>
    <t>006VO00000bNCG5YAO</t>
  </si>
  <si>
    <t>a1L5G000004TzjDUAS</t>
  </si>
  <si>
    <t>K17 (Hot) - SA - RUH - Olaya</t>
  </si>
  <si>
    <t>006VO00000bNGpxYAG</t>
  </si>
  <si>
    <t>Dip N Dip KSA - Member Transfer</t>
  </si>
  <si>
    <t>a1L5G000004NtQaUAK</t>
  </si>
  <si>
    <t>K08 (Hot) - SA - RUH - King Fahd</t>
  </si>
  <si>
    <t>006VO00000bNXdtYAG</t>
  </si>
  <si>
    <t>Tochka</t>
  </si>
  <si>
    <t>a1L6T00000iJ1ESUA0</t>
  </si>
  <si>
    <t>K20 (Hot) - SA - DMM - Rawda</t>
  </si>
  <si>
    <t>006VO00000bVgqTYAS</t>
  </si>
  <si>
    <t>Luqaimat W Sauce - Member Transfer</t>
  </si>
  <si>
    <t>a1L6T00000iJLZhUAO</t>
  </si>
  <si>
    <t>K10 (Hot)- KSA - AHS- Hofuf</t>
  </si>
  <si>
    <t>006VO00000bVhBRYA0</t>
  </si>
  <si>
    <t>Protein plus - ALAhsaa K10</t>
  </si>
  <si>
    <t>a1L6T00000jqkpEUAQ</t>
  </si>
  <si>
    <t>K09 (Hot) - SA - RUH - Salam</t>
  </si>
  <si>
    <t>006VO00000boc6PYAQ</t>
  </si>
  <si>
    <t>Noho Deli Salam</t>
  </si>
  <si>
    <t>a1L6T00000iJ1ETUA0</t>
  </si>
  <si>
    <t>K21 (Hot) - SA - DMM - Rawda</t>
  </si>
  <si>
    <t>006VO00000bogI6YAI</t>
  </si>
  <si>
    <t>Shawayet Hasan  -KSA</t>
  </si>
  <si>
    <t>a1L5G000004TzpaUAC</t>
  </si>
  <si>
    <t>K22 (Hot) - SA - RUH - Wadi</t>
  </si>
  <si>
    <t>006VO00000bsnEXYAY</t>
  </si>
  <si>
    <t>a1LVO000005MsV72AK</t>
  </si>
  <si>
    <t>K46 (Hot) SA - RUH - Qurtoba</t>
  </si>
  <si>
    <t>006VO00000bx6YjYAI</t>
  </si>
  <si>
    <t>Shawarma House, Qurtoba, K46</t>
  </si>
  <si>
    <t>a1L6T00000jr3nQUAQ</t>
  </si>
  <si>
    <t>K11 (Hot) - SA - RUH - Jarir</t>
  </si>
  <si>
    <t>006VO00000cD1RpYAK</t>
  </si>
  <si>
    <t>a1L5G000004TzocUAC</t>
  </si>
  <si>
    <t>K08 (Hot) - SA - RUH - Wadi</t>
  </si>
  <si>
    <t>006VO00000cDCGnYAO</t>
  </si>
  <si>
    <t>Premium Foods Company - Gulf Eye Co (We Burger - Wahed Falafel - We Bakery - LAROSE), HK8</t>
  </si>
  <si>
    <t>a1L6T00000jqkp9UAA</t>
  </si>
  <si>
    <t>K22 (Hot) - SA - RUH - Salam</t>
  </si>
  <si>
    <t>006VO00000cH9LyYAK</t>
  </si>
  <si>
    <t>Nahj Alghitha Company Salam K22</t>
  </si>
  <si>
    <t>a1L6T00000jr3nOUAQ</t>
  </si>
  <si>
    <t>K05 (Cold) - SA - RUH - Jarir</t>
  </si>
  <si>
    <t>006VO00000cVHWXYA4</t>
  </si>
  <si>
    <t>Keto Sar</t>
  </si>
  <si>
    <t>Faisal Alajmah</t>
  </si>
  <si>
    <t>a1L6T00000nGqVNUA0</t>
  </si>
  <si>
    <t>K01 (Hot) - BAH - MAN-Issa Town</t>
  </si>
  <si>
    <t>006VO00000cVZBiYAO</t>
  </si>
  <si>
    <t>IONIC KITCHEN</t>
  </si>
  <si>
    <t>a1L6T00000iJ1ECUA0</t>
  </si>
  <si>
    <t>K15 (Hot) - SA - DMM - Rawda</t>
  </si>
  <si>
    <t>006VO00000ckXmJYAU</t>
  </si>
  <si>
    <t>Bassam Burger Start Up - Member Transfer</t>
  </si>
  <si>
    <t>a1L5G000004TzrbUAC</t>
  </si>
  <si>
    <t>K01 (Cold) - SA - RUH - Wadi</t>
  </si>
  <si>
    <t>006VO00000ctiovYAA</t>
  </si>
  <si>
    <t>Premium Foods Company - Gulf Eye Co (We Burger - Wahed Falafel - We Bakery - LAROSE), CK1</t>
  </si>
  <si>
    <t>a1L5G000004TzoDUAS</t>
  </si>
  <si>
    <t>K07 (Cold) - SA - RUH - Dahrat Laban</t>
  </si>
  <si>
    <t>006VO00000ctlLNYAY</t>
  </si>
  <si>
    <t>Chocomelt Jarir - Member Transfer - Member Transfer</t>
  </si>
  <si>
    <t>a1LVO000004WfDq2AK</t>
  </si>
  <si>
    <t>K10 (Cold) - SA - RUH - King Faisal</t>
  </si>
  <si>
    <t>006VO00000cv59zYAA</t>
  </si>
  <si>
    <t>Regal King Faisal K10 (Cold)</t>
  </si>
  <si>
    <t>a1LVO000004WfDp2AK</t>
  </si>
  <si>
    <t>K09 (Hot) - SA - RUH - King Faisal</t>
  </si>
  <si>
    <t>006VO00000cvI5ZYAU</t>
  </si>
  <si>
    <t>Regal King Faisal K09 (Hot)</t>
  </si>
  <si>
    <t>a1LVO000004WfFR2A0</t>
  </si>
  <si>
    <t>K11 (Hot - SA - RUH - King Faisal</t>
  </si>
  <si>
    <t>006VO00000czUBNYA2</t>
  </si>
  <si>
    <t>Ez Bakery ( Khalia Aziz ) - Member Transfer - Member Transfer</t>
  </si>
  <si>
    <t>a1L5G000004NsYJUA0</t>
  </si>
  <si>
    <t>K10 (Hot) - SA - RUH - Aqiq</t>
  </si>
  <si>
    <t>006VO00000czYAAYA2</t>
  </si>
  <si>
    <t>Khush Muskhan</t>
  </si>
  <si>
    <t>a1L5G000004TzkQUAS</t>
  </si>
  <si>
    <t>K10 (Hot) - SA - RUH - Sweidi</t>
  </si>
  <si>
    <t>006VO00000d33nhYAA</t>
  </si>
  <si>
    <t>Saqyah - KSA</t>
  </si>
  <si>
    <t>a1L5G000004TzpLUAS</t>
  </si>
  <si>
    <t>K19 (Hot) - SA - RUH - Wadi</t>
  </si>
  <si>
    <t>006VO00000dC9XKYA0</t>
  </si>
  <si>
    <t>TBO - Hoba</t>
  </si>
  <si>
    <t>a1L5G000004NtQGUA0</t>
  </si>
  <si>
    <t>K26 (Hot) - SA - RUH - King Fahd</t>
  </si>
  <si>
    <t>006VO00000dC9ibYAC</t>
  </si>
  <si>
    <t>German Doner Kebab</t>
  </si>
  <si>
    <t>a1L5G000004TzkLUAS</t>
  </si>
  <si>
    <t>K09 (Hot) - SA - RUH - Sweidi</t>
  </si>
  <si>
    <t>006VO00000dCCdFYAW</t>
  </si>
  <si>
    <t>PLENTY SLD’S, Earth made, catcha.</t>
  </si>
  <si>
    <t>a1L5G000004NSi2UAG</t>
  </si>
  <si>
    <t>K09 (Cold) - SA - RUH - Khaleej</t>
  </si>
  <si>
    <t>006VO00000dI1dWYAS</t>
  </si>
  <si>
    <t>Donut Time Khaleej</t>
  </si>
  <si>
    <t>a1L5G000004NSfTUAW</t>
  </si>
  <si>
    <t>K20 (Cold) - SA - RUH - Malga 1</t>
  </si>
  <si>
    <t>006VO00000dI2w9YAC</t>
  </si>
  <si>
    <t>Donut Time Malga</t>
  </si>
  <si>
    <t>a1L6T00000jqkp2UAA</t>
  </si>
  <si>
    <t>K05 (Cold) - SA - RUH - Salam</t>
  </si>
  <si>
    <t>006VO00000dI8n3YAC</t>
  </si>
  <si>
    <t>Donut Time Salam</t>
  </si>
  <si>
    <t>a1LVO000004WfCD2A0</t>
  </si>
  <si>
    <t>K07 (Hot) - SA - RUH - King Faisal</t>
  </si>
  <si>
    <t>006VO00000dLljqYAC</t>
  </si>
  <si>
    <t>Kcal - KSA  - Member Transfer</t>
  </si>
  <si>
    <t>a1L5G000004TzjrUAC</t>
  </si>
  <si>
    <t>K04 (Hot) - SA - RUH - Sweidi</t>
  </si>
  <si>
    <t>006VO00000dP9CvYAK</t>
  </si>
  <si>
    <t>Somas Kitchen  - Member Transfer</t>
  </si>
  <si>
    <t>a1L5G000004TzkpUAC</t>
  </si>
  <si>
    <t>K15 (Hot) - SA - RUH - Sweidi</t>
  </si>
  <si>
    <t>006VO00000dti5BYAQ</t>
  </si>
  <si>
    <t>NOURISHEFZ -KSA - Member Transfer</t>
  </si>
  <si>
    <t>a1L5G000004NtROUA0</t>
  </si>
  <si>
    <t>K03 (Hot) - SA - RUH - King Fahd</t>
  </si>
  <si>
    <t>006VO00000dvQH7YAM</t>
  </si>
  <si>
    <t>Najla's Cuisine - Member Transfer</t>
  </si>
  <si>
    <t>a1L5G000004NtQzUAK</t>
  </si>
  <si>
    <t>K13 (Hot) - SA - RUH - King Fahd</t>
  </si>
  <si>
    <t>006VO00000dvffuYAA</t>
  </si>
  <si>
    <t>Shawaya House, King Fahad</t>
  </si>
  <si>
    <t>a1L6T00000d2MvaUAE</t>
  </si>
  <si>
    <t>K09 (Hot) - SA - RUH - QSM</t>
  </si>
  <si>
    <t>006VO00000dvj1yYAA</t>
  </si>
  <si>
    <t>Nukhba al Wasal - Member Transfer</t>
  </si>
  <si>
    <t>a1LVO000004E6sr2AC</t>
  </si>
  <si>
    <t>K02 (Hot) - SA - RUH - Arid (2)</t>
  </si>
  <si>
    <t>006VO00000dy7xsYAA</t>
  </si>
  <si>
    <t>Usta Asim - KSA - Arid 2 - K02</t>
  </si>
  <si>
    <t>a1LVO000004RAqb2AG</t>
  </si>
  <si>
    <t>K01 (Hot) - SA - KBR - Rakah</t>
  </si>
  <si>
    <t>006VO00000eOGpNYAW</t>
  </si>
  <si>
    <t>Shawaya House, Rakah - Member Transfer</t>
  </si>
  <si>
    <t>a1L5G000004TznjUAC</t>
  </si>
  <si>
    <t>K02 (Cold) - SA - RUH - Dahrat Laban</t>
  </si>
  <si>
    <t>006VO00000eOPnpYAG</t>
  </si>
  <si>
    <t>mahmaset ard Al Sanawbar - Member Transfer</t>
  </si>
  <si>
    <t>a1L5G000004NYI9UAO</t>
  </si>
  <si>
    <t>K11 (Hot) - SA - KBR - Aqrabiya</t>
  </si>
  <si>
    <t>006VO00000eOriTYAS</t>
  </si>
  <si>
    <t>Fantasy Recipe - Member Transfer</t>
  </si>
  <si>
    <t>a1LVO000004RAsE2AW</t>
  </si>
  <si>
    <t>K07 (Hot) - SA - KBR - Rakah</t>
  </si>
  <si>
    <t>006VO00000ecVyDYAU</t>
  </si>
  <si>
    <t>Hazim Aldahiree Start Up - Member Transfer</t>
  </si>
  <si>
    <t>a1L5G000004TzorUAC</t>
  </si>
  <si>
    <t>K11 (Hot) - SA - RUH - Wadi</t>
  </si>
  <si>
    <t>006VO00000esb6oYAA</t>
  </si>
  <si>
    <t>AL Amer Trading -KSA-</t>
  </si>
  <si>
    <t>a1L6T00000jr3nWUAQ</t>
  </si>
  <si>
    <t>K10 (Hot) - SA - RUH - Jarir</t>
  </si>
  <si>
    <t>006VO00000fTCKjYAO</t>
  </si>
  <si>
    <t>Yogi - Member Transfer - Member Transfer</t>
  </si>
  <si>
    <t>a1LVO000004WfIg2AK</t>
  </si>
  <si>
    <t>K18 (Hot) - SA - RUH - King Faisal</t>
  </si>
  <si>
    <t>Sold</t>
  </si>
  <si>
    <t>006VO00000SP18rYAD</t>
  </si>
  <si>
    <t>Donuttery - K18 KSA-</t>
  </si>
  <si>
    <t>a1LVO000004WfNV2A0</t>
  </si>
  <si>
    <t>K21 (Hot) - SA - RUH - King Faisal</t>
  </si>
  <si>
    <t>006VO00000T5bFzYAJ</t>
  </si>
  <si>
    <t>Donuttery -  K21 KSA-</t>
  </si>
  <si>
    <t>a1LVO000004WfIf2AK</t>
  </si>
  <si>
    <t>K17 (Hot) - SA - RUH - King Faisal</t>
  </si>
  <si>
    <t>006VO00000T5eowYAB</t>
  </si>
  <si>
    <t>Donuttery -  K17 KSA-</t>
  </si>
  <si>
    <t>a1LVO000004WfLu2AK</t>
  </si>
  <si>
    <t>K20 (Hot) - SA - RUH - King Faisal</t>
  </si>
  <si>
    <t>006VO00000T5fRfYAJ</t>
  </si>
  <si>
    <t>Donuttery -  K20 KSA-</t>
  </si>
  <si>
    <t>a1LVO000004WfLt2AK</t>
  </si>
  <si>
    <t>K19 (Hot) - SA - RUH - King Faisal</t>
  </si>
  <si>
    <t>006VO00000T5hurYAB</t>
  </si>
  <si>
    <t>Donuttery - K19 KSA-</t>
  </si>
  <si>
    <t>a1L5G000004NGZOUA4</t>
  </si>
  <si>
    <t>K04 (Cold) - SA - RUH - Wadi</t>
  </si>
  <si>
    <t>006VO00000Ulb2rYAB</t>
  </si>
  <si>
    <t>Donut Time Wadi</t>
  </si>
  <si>
    <t>a1L6T00000iJ1EDUA0</t>
  </si>
  <si>
    <t>K17 (Hot) - SA - DMM - Rawda</t>
  </si>
  <si>
    <t>006VO00000bCIWvYAO</t>
  </si>
  <si>
    <t>Sweet Evolution SA - RWD</t>
  </si>
  <si>
    <t>a1L5G000004NSiAUAW</t>
  </si>
  <si>
    <t>K23 (Hot) - SA - RUH - Khaleej</t>
  </si>
  <si>
    <t>006VO00000biAPmYAM</t>
  </si>
  <si>
    <t>chickin worx</t>
  </si>
  <si>
    <t>a1L5G000004NsYMUA0</t>
  </si>
  <si>
    <t>K14 (Hot) - SA - RUH - Aqiq</t>
  </si>
  <si>
    <t>006VO00000cVjEHYA0</t>
  </si>
  <si>
    <t>Fat Bun</t>
  </si>
  <si>
    <t>a1L6T00000iJ1EAUA0</t>
  </si>
  <si>
    <t>K01 (Hot) - SA - DMM - Rawda</t>
  </si>
  <si>
    <t>006VO00000ckJY1YAM</t>
  </si>
  <si>
    <t>I'M Hungry Rawda</t>
  </si>
  <si>
    <t>a1L6T00000kcQBKUA2</t>
  </si>
  <si>
    <t>K02 (Hot) - SA - DMM - Zuhur</t>
  </si>
  <si>
    <t>006VO00000ckJeTYAU</t>
  </si>
  <si>
    <t>I'M Hungry Zuhur</t>
  </si>
  <si>
    <t>a1L6T00000iJ1EMUA0</t>
  </si>
  <si>
    <t>K13 (Hot) - SA - DMM - Rawda</t>
  </si>
  <si>
    <t>006VO00000ctYO9YAM</t>
  </si>
  <si>
    <t>Abdulaziz Alqarni Start Up</t>
  </si>
  <si>
    <t>a1L6T00000iJ1EBUA0</t>
  </si>
  <si>
    <t>K04 (Hot) - SA - DMM - Rawda</t>
  </si>
  <si>
    <t>006VO00000d5OXuYAM</t>
  </si>
  <si>
    <t>AlYasmen Company - Member Transfer</t>
  </si>
  <si>
    <t>a1L6T00000jr3nYUAQ</t>
  </si>
  <si>
    <t>K17 (Hot) - SA - RUH - Jarir</t>
  </si>
  <si>
    <t>2.4 m</t>
  </si>
  <si>
    <t>006VO00000dcfrlYAA</t>
  </si>
  <si>
    <t>Healthy Style - KSA - Jarir - K17</t>
  </si>
  <si>
    <t>a1L6T00000jr3nZUAQ</t>
  </si>
  <si>
    <t>K20 (Hot) - SA - RUH - Jarir</t>
  </si>
  <si>
    <t>006VO00000eXEhwYAG</t>
  </si>
  <si>
    <t>Healthy Style - KSA - Jarir - K20</t>
  </si>
  <si>
    <t>a1L6T00000jr3njUAA</t>
  </si>
  <si>
    <t>K22 (Hot) - SA - RUH - Jarir</t>
  </si>
  <si>
    <t>006VO00000eXMtxYAG</t>
  </si>
  <si>
    <t>Healthy Style - KSA - Jarir - K22</t>
  </si>
  <si>
    <t>a1L6T00000jr3ndUAA</t>
  </si>
  <si>
    <t>K21 (Hot) - SA - RUH - Jarir</t>
  </si>
  <si>
    <t>006VO00000eXNI9YAO</t>
  </si>
  <si>
    <t>Healthy Style - KSA - Jarir - K21</t>
  </si>
  <si>
    <t>a1L6T00000iJ1EIUA0</t>
  </si>
  <si>
    <t>K11 (Hot) - SA - DMM - Rawda</t>
  </si>
  <si>
    <t>006VO00000eXWlFYAW</t>
  </si>
  <si>
    <t>Etoile - Rawda Dmm</t>
  </si>
  <si>
    <t>a1L5G000004NeclUAC</t>
  </si>
  <si>
    <t>K13 (Cold) - SA - DMM - Zuhur</t>
  </si>
  <si>
    <t>006VO00000eXWy9YAG</t>
  </si>
  <si>
    <t>Etoile - Zuhor Dmm</t>
  </si>
  <si>
    <t>a1L5G000004TzsUUAS</t>
  </si>
  <si>
    <t>K12 (Hot) SA - RUH - Qurtoba</t>
  </si>
  <si>
    <t>006VO00000eopMtYAI</t>
  </si>
  <si>
    <t>Bait el kil Qurtuba</t>
  </si>
  <si>
    <t>a1L5G000004TzlnUAC</t>
  </si>
  <si>
    <t>K04 (Hot) - SA - RUH - Dahrat Laban</t>
  </si>
  <si>
    <t>006VO00000eozKbYAI</t>
  </si>
  <si>
    <t>Biox - The Health Bar by RAW Laban - Delayed Transfer</t>
  </si>
  <si>
    <t>a1LVO000004E7If2AK</t>
  </si>
  <si>
    <t>K18 (Hot) - SA - RUH - Arid (2)</t>
  </si>
  <si>
    <t>006VO00000epHe5YAE</t>
  </si>
  <si>
    <t>Bait el kil Arid</t>
  </si>
  <si>
    <t>a1LVO000004WfAb2AK</t>
  </si>
  <si>
    <t>K05 (Hot) - SA - RUH - King Faisal</t>
  </si>
  <si>
    <t>006VO00000f1sy1YAA</t>
  </si>
  <si>
    <t>Opa sweet</t>
  </si>
  <si>
    <t>a1LVO000000Z6XB2A0</t>
  </si>
  <si>
    <t>K17 (Hot) - SA - RUH - QSM</t>
  </si>
  <si>
    <t>006VO00000fNQOnYAO</t>
  </si>
  <si>
    <t>Rustic Grill</t>
  </si>
  <si>
    <t>a1L5G000004OE0CUAW</t>
  </si>
  <si>
    <t>K05 (Hot) - SA - RUH - Malga 2</t>
  </si>
  <si>
    <t>006VO00000fObObYAK</t>
  </si>
  <si>
    <t>Shawaya House, Malga2 - Member Transfer</t>
  </si>
  <si>
    <t>a1L6T00000jr3nLUAQ</t>
  </si>
  <si>
    <t>K03 (Hot) - SA - RUH - Jarir</t>
  </si>
  <si>
    <t>006VO00000fTCfhYAG</t>
  </si>
  <si>
    <t>Ibrahim Melhem  SU - KSA - Member Transfer</t>
  </si>
  <si>
    <t>a1LVO000004E6rF2AS</t>
  </si>
  <si>
    <t>K01 (Hot) - SA - RUH - Arid (2)</t>
  </si>
  <si>
    <t>006VO00000fYpN3YAK</t>
  </si>
  <si>
    <t>Big Matt - Member Transfer</t>
  </si>
  <si>
    <t>a1LVO000004Kx6T2AS</t>
  </si>
  <si>
    <t>K36 (Cold) - BH - MAN - UAH</t>
  </si>
  <si>
    <t>Vacant</t>
  </si>
  <si>
    <t>006VO00000QaaE9YAJ</t>
  </si>
  <si>
    <t>DN Gulf (UAH K36)</t>
  </si>
  <si>
    <t>a1LVO0000052kK12AI</t>
  </si>
  <si>
    <t>K01 (Cold) - SA - RUH - Wurud</t>
  </si>
  <si>
    <t>006VO00000XjPosYAF</t>
  </si>
  <si>
    <t>Glaze-</t>
  </si>
  <si>
    <t>a1L5G000004NtRdUAK</t>
  </si>
  <si>
    <t>K04 (Hot) - SA - RUH - King Fahd</t>
  </si>
  <si>
    <t>006VO00000ZTBojYAH</t>
  </si>
  <si>
    <t>Wahib Start Up</t>
  </si>
  <si>
    <t>a1L5G000004Tzn5UAC</t>
  </si>
  <si>
    <t>K23 (Hot) - SA - RUH - Dahrat Laban</t>
  </si>
  <si>
    <t>006VO00000bVfPlYAK</t>
  </si>
  <si>
    <t>Neska (Biga Burger, Krnsh , Rosella , Shawarma Allawi, Bo Kees , Bakkar, Koshka, Varo), Dahrat Laban</t>
  </si>
  <si>
    <t>a1L5G000004TztSUAS</t>
  </si>
  <si>
    <t>K25 (Hot) SA - RUH - Qurtoba</t>
  </si>
  <si>
    <t>006VO00000biYtXYAU</t>
  </si>
  <si>
    <t>Alarrab Restaurant</t>
  </si>
  <si>
    <t>a1LVO000004RAqc2AG</t>
  </si>
  <si>
    <t>K02 (Hot) - SA - KBR - Rakah</t>
  </si>
  <si>
    <t>006VO00000bkg3lYAA</t>
  </si>
  <si>
    <t>National Catering Company - Rakah - 1</t>
  </si>
  <si>
    <t>a1LVO000004RAtq2AG</t>
  </si>
  <si>
    <t>K12 (Hot) - SA - KBR - Rakah</t>
  </si>
  <si>
    <t>006VO00000btDFRYA2</t>
  </si>
  <si>
    <t>National Catering Company - Rakah - 2</t>
  </si>
  <si>
    <t>a1LVO000004RAtr2AG</t>
  </si>
  <si>
    <t>K13 (Hot) - SA - KBR - Rakah</t>
  </si>
  <si>
    <t>006VO00000btDYnYAM</t>
  </si>
  <si>
    <t>National Catering Company - Rakah - 3</t>
  </si>
  <si>
    <t>a1L6T00000jqkpMUAQ</t>
  </si>
  <si>
    <t>K03 (Hot) - SA - RUH - Salam</t>
  </si>
  <si>
    <t>006VO00000c9B1ZYAU</t>
  </si>
  <si>
    <t>Neska (Biga Burger, Krnsh , Rosella , Shawarma Allawi, Bo Kees , Bakkar, Koshka, Varo), Salam</t>
  </si>
  <si>
    <t>a1LVO0000052kKG2AY</t>
  </si>
  <si>
    <t>K16 (Hot) - SA - RUH - Wurud</t>
  </si>
  <si>
    <t>006VO00000cHAgEYAW</t>
  </si>
  <si>
    <t>Pizza di Rocco - KSA - WUR - K16</t>
  </si>
  <si>
    <t>SA - RUH - Aqiq (2)</t>
  </si>
  <si>
    <t>a1LVO000004OIO52AO</t>
  </si>
  <si>
    <t>K05 (Hot) - SA - RUH - Aqiq 2</t>
  </si>
  <si>
    <t>006VO00000cHQHxYAO</t>
  </si>
  <si>
    <t>Pizza di Rocco - KSA - Aqiq 2 - K05</t>
  </si>
  <si>
    <t>FF</t>
  </si>
  <si>
    <t>006VO00000ckPvCYAU</t>
  </si>
  <si>
    <t>D'PEARL CAFÉ HOUSE OF BOBA-</t>
  </si>
  <si>
    <t>a1L5G000004TzoNUAS</t>
  </si>
  <si>
    <t>K05 (Hot) - SA - RUH - Wadi</t>
  </si>
  <si>
    <t>006VO00000cvJMbYAM</t>
  </si>
  <si>
    <t>Canela Wadi</t>
  </si>
  <si>
    <t>a1L5G000004OE0BUAW</t>
  </si>
  <si>
    <t>K04 (Hot) - SA - RUH - Malga 2</t>
  </si>
  <si>
    <t>006VO00000dMB6PYAW</t>
  </si>
  <si>
    <t>XY Noodles Malga 2</t>
  </si>
  <si>
    <t>a1LVO000004RAsH2AW</t>
  </si>
  <si>
    <t>K10 (Hot) - SA - KBR - Rakah</t>
  </si>
  <si>
    <t>006VO00000dgVXGYA2</t>
  </si>
  <si>
    <t>Meal Box KSA-</t>
  </si>
  <si>
    <t>a1L5G000004NSiLUAW</t>
  </si>
  <si>
    <t>K34 (Cold) - SA - RUH - Khaleej</t>
  </si>
  <si>
    <t>006VO00000dy3r0YAA</t>
  </si>
  <si>
    <t>Food Axis - KSA - Khaleej - K34</t>
  </si>
  <si>
    <t>a1L6T00000jr3nNUAQ</t>
  </si>
  <si>
    <t>K18 (Hot) - SA - RUH - Jarir</t>
  </si>
  <si>
    <t>006VO00000e4AJVYA2</t>
  </si>
  <si>
    <t>Bread Loaf - KSA - Jarir - K34</t>
  </si>
  <si>
    <t>a1LVO000004RAtt2AG</t>
  </si>
  <si>
    <t>K15 (Hot) - SA - KBR - Rakah</t>
  </si>
  <si>
    <t>006VO00000eLya2YAC</t>
  </si>
  <si>
    <t>National Catering Company - Rakah - 5</t>
  </si>
  <si>
    <t>a1LVO000004RAts2AG</t>
  </si>
  <si>
    <t>K14 (Hot) - SA - KBR - Rakah</t>
  </si>
  <si>
    <t>006VO00000eMFxRYAW</t>
  </si>
  <si>
    <t>National Catering Company - Rakah - 4</t>
  </si>
  <si>
    <t>a1LVO000004Kx4r2AC</t>
  </si>
  <si>
    <t>K37 (Cold) - BH - MAN - UAH</t>
  </si>
  <si>
    <t>006VO00000eOSAbYAO</t>
  </si>
  <si>
    <t>Petiole Foods (K37 UAH)z</t>
  </si>
  <si>
    <t>a1LVO000004RAvR2AW</t>
  </si>
  <si>
    <t>K16 (Hot) - SA - KBR - Rakah</t>
  </si>
  <si>
    <t>006VO00000ePeRRYA0</t>
  </si>
  <si>
    <t>National Catering Company - Rakah - 6</t>
  </si>
  <si>
    <t>a1LVO000004RAvS2AW</t>
  </si>
  <si>
    <t>K17 (Hot) - SA - KBR - Rakah</t>
  </si>
  <si>
    <t>006VO00000eSIhJYAW</t>
  </si>
  <si>
    <t>National Catering Company - Rakah - 7</t>
  </si>
  <si>
    <t>a1L6T00000jr3nSUAQ</t>
  </si>
  <si>
    <t>K12 (Hot) - SA - RUH - Jarir</t>
  </si>
  <si>
    <t>006VO00000epGTVYA2</t>
  </si>
  <si>
    <t>Ahmed AlBazar</t>
  </si>
  <si>
    <t>a1L6T00000iJA2CUAW</t>
  </si>
  <si>
    <t>K09 (Hot) - SA - RUH - Narjis</t>
  </si>
  <si>
    <t>006VO00000fMlbnYAC</t>
  </si>
  <si>
    <t>Shawarma House, Narjis, K09</t>
  </si>
  <si>
    <t>a1L5G000004NtRTUA0</t>
  </si>
  <si>
    <t>K01 (Hot) - SA - RUH - King Fahd</t>
  </si>
  <si>
    <t>006VO00000fPeU5YAK</t>
  </si>
  <si>
    <t>Al Hayat Restaurant / Tikka Mood</t>
  </si>
  <si>
    <t>a1L5G000004NtR9UAK</t>
  </si>
  <si>
    <t>K23 (Hot) - SA - RUH - King Fahd</t>
  </si>
  <si>
    <t>006VO00000fqKXiYAM</t>
  </si>
  <si>
    <t>Calo - On Demand - RUH - King Fahad - K23 - KSA</t>
  </si>
  <si>
    <t>a1L5G000004TziPUAS</t>
  </si>
  <si>
    <t>K06 (Hot) - SA - RUH - Olaya</t>
  </si>
  <si>
    <t>a1L5G000004TziFUAS</t>
  </si>
  <si>
    <t>K05 (Hot) - SA - RUH - Olaya</t>
  </si>
  <si>
    <t>a1L5G000004TzioUAC</t>
  </si>
  <si>
    <t>K12 (Hot) - SA - RUH - Olaya</t>
  </si>
  <si>
    <t>a1L5G000004TzipUAC</t>
  </si>
  <si>
    <t>K17 (Hot) - SA - RUH - Dahrat Laban</t>
  </si>
  <si>
    <t>a1L5G000004TzieUAC</t>
  </si>
  <si>
    <t>K10 (Hot) - SA - RUH - Olaya</t>
  </si>
  <si>
    <t>a1LVO000004OIG12AO</t>
  </si>
  <si>
    <t>K01 (Hot) - SA - RUH - Aqiq 2</t>
  </si>
  <si>
    <t>a1L5G000004TzhvUAC</t>
  </si>
  <si>
    <t>K01 (Hot) - SA - RUH - Olaya</t>
  </si>
  <si>
    <t>a1L5G000004Tzj3UAC</t>
  </si>
  <si>
    <t>K15 (Hot) - SA - RUH - Olaya</t>
  </si>
  <si>
    <t>a1L5G000004TzkHUAS</t>
  </si>
  <si>
    <t>K05 (Hot) - SA - RUH - Dahrat Laban</t>
  </si>
  <si>
    <t>a1L5G000004TzjhUAC</t>
  </si>
  <si>
    <t>K03 (Cold) - SA - RUH - Olaya</t>
  </si>
  <si>
    <t>a1L5G000004TzkIUAS</t>
  </si>
  <si>
    <t>K08 (Cold) - SA - RUH - Dahrat Laban</t>
  </si>
  <si>
    <t>a1L5G000004TziyUAC</t>
  </si>
  <si>
    <t>K14 (Hot) - SA - RUH - Olaya</t>
  </si>
  <si>
    <t>a1L5G000004TzjSUAS</t>
  </si>
  <si>
    <t>K01 (Cold) - SA - RUH - Olaya</t>
  </si>
  <si>
    <t>a1L5G000004Tzk6UAC</t>
  </si>
  <si>
    <t>K06 (Hot) - SA - RUH - Sweidi</t>
  </si>
  <si>
    <t>a1L5G000004TzitUAC</t>
  </si>
  <si>
    <t>K13 (Hot) - SA - RUH - Olaya</t>
  </si>
  <si>
    <t>a1L5G000004TzpVUAS</t>
  </si>
  <si>
    <t>K21 (Hot) - SA - RUH - Wadi</t>
  </si>
  <si>
    <t>a1L5G000004TzpQUAS</t>
  </si>
  <si>
    <t>K20 (Hot) - SA - RUH - Wadi</t>
  </si>
  <si>
    <t>a1L5G000004TzomUAC</t>
  </si>
  <si>
    <t>K10 (Hot) - SA - RUH - Wadi</t>
  </si>
  <si>
    <t>a1L5G000004Tzr7UAC</t>
  </si>
  <si>
    <t>K42 (Hot) - SA - RUH - Wadi</t>
  </si>
  <si>
    <t>a1L5G000004Tzr2UAC</t>
  </si>
  <si>
    <t>K41 (Hot) - SA - RUH - Wadi</t>
  </si>
  <si>
    <t>a1L5G000004TzqTUAS</t>
  </si>
  <si>
    <t>K33 (Hot) - SA - RUH - Wadi</t>
  </si>
  <si>
    <t>a1L5G000004TzqOUAS</t>
  </si>
  <si>
    <t>K32 (Hot) - SA - RUH - Wadi</t>
  </si>
  <si>
    <t>a1L5G000004Tzq9UAC</t>
  </si>
  <si>
    <t>K29 (Hot) - SA - RUH - Wadi</t>
  </si>
  <si>
    <t>a1L5G000004TzqxUAC</t>
  </si>
  <si>
    <t>K40 (Hot) - SA - RUH - Wadi</t>
  </si>
  <si>
    <t>a1L5G000004Tzs0UAC</t>
  </si>
  <si>
    <t>K04 (Hot) SA - RUH - Qurtoba</t>
  </si>
  <si>
    <t>a1L5G000004TzqiUAC</t>
  </si>
  <si>
    <t>K36 (Hot) - SA - RUH - Wadi</t>
  </si>
  <si>
    <t>a1L5G000004TzrMUAS</t>
  </si>
  <si>
    <t>K46 (Hot) - SA - RUH - Wadi</t>
  </si>
  <si>
    <t>a1L5G000004TzrHUAS</t>
  </si>
  <si>
    <t>K44 (Hot) - SA - RUH - Wadi</t>
  </si>
  <si>
    <t>a1L5G000004TzqdUAC</t>
  </si>
  <si>
    <t>K35 (Hot) - SA - RUH - Wadi</t>
  </si>
  <si>
    <t>a1L5G000004TzqYUAS</t>
  </si>
  <si>
    <t>K34 (Hot) - SA - RUH - Wadi</t>
  </si>
  <si>
    <t>a1L5G000004TzsZUAS</t>
  </si>
  <si>
    <t>K13 (Hot) SA - RUH - Qurtoba</t>
  </si>
  <si>
    <t>a1L5G000004Tzt3UAC</t>
  </si>
  <si>
    <t>K20 (Hot) SA - RUH - Qurtoba</t>
  </si>
  <si>
    <t>a1L5G000004TzlsUAC</t>
  </si>
  <si>
    <t>K06 (Hot) - SA - RUH - Dahrat Laban</t>
  </si>
  <si>
    <t>a1L5G000004Tzn0UAC</t>
  </si>
  <si>
    <t>K21 (Hot) - SA - RUH - Dahrat Laban</t>
  </si>
  <si>
    <t>a1L5G000004TzmCUAS</t>
  </si>
  <si>
    <t>K10 (Hot) - SA - RUH - Dahrat Laban</t>
  </si>
  <si>
    <t>a1L5G000004TzkuUAC</t>
  </si>
  <si>
    <t>K16 (Hot) - SA - RUH - Sweidi</t>
  </si>
  <si>
    <t>a1L5G000004TznPUAS</t>
  </si>
  <si>
    <t>K27 (Hot) - SA - RUH - Dahrat Laban</t>
  </si>
  <si>
    <t>a1L5G000004TznKUAS</t>
  </si>
  <si>
    <t>K26 (Hot) - SA - RUH - Dahrat Laban</t>
  </si>
  <si>
    <t>a1L5G000004TznAUAS</t>
  </si>
  <si>
    <t>K24 (Hot) - SA - RUH - Dahrat Laban</t>
  </si>
  <si>
    <t>a1L6T00000iJLZjUAO</t>
  </si>
  <si>
    <t>K12 (Hot)- KSA - AHS- Hofuf</t>
  </si>
  <si>
    <t>a1L6T00000iJLZkUAO</t>
  </si>
  <si>
    <t>K13 (Hot)- KSA - AHS- Hofuf</t>
  </si>
  <si>
    <t>a1L6T00000iJLZmUAO</t>
  </si>
  <si>
    <t>K15 (Hot)- KSA - AHS- Hofuf</t>
  </si>
  <si>
    <t>a1L6T00000iJLZnUAO</t>
  </si>
  <si>
    <t>K16 (Hot)- KSA - AHS- Hofuf</t>
  </si>
  <si>
    <t>a1L6T00000iJLZpUAO</t>
  </si>
  <si>
    <t>K18 (Hot)- KSA - AHS- Hofuf</t>
  </si>
  <si>
    <t>a1L6T00000iJLZZUA4</t>
  </si>
  <si>
    <t>K02 (Hot)- KSA - AHS- Hofuf</t>
  </si>
  <si>
    <t>a1LVO000004OIeD2AW</t>
  </si>
  <si>
    <t>K06 (Hot) - SA - RUH - Aqiq 2</t>
  </si>
  <si>
    <t>a1LVO000004OIcb2AG</t>
  </si>
  <si>
    <t>K04 (Hot) - SA - RUH - Aqiq 2</t>
  </si>
  <si>
    <t>a1LVO000004OIfp2AG</t>
  </si>
  <si>
    <t>K07 (Hot) - SA - RUH - Aqiq 2</t>
  </si>
  <si>
    <t>a1LVO000004OIaz2AG</t>
  </si>
  <si>
    <t>K13 (Hot) - SA - RUH - Aqiq 2</t>
  </si>
  <si>
    <t>Annex</t>
  </si>
  <si>
    <t>a1LVO000004OIZN2A4</t>
  </si>
  <si>
    <t>K12 (Hot) - SA - RUH - Aqiq 2</t>
  </si>
  <si>
    <t>a1L6T00000mlijXUAQ</t>
  </si>
  <si>
    <t>K20 (CPU) - KSA - AHS- Hofuf</t>
  </si>
  <si>
    <t>a1LVO000004OISv2AO</t>
  </si>
  <si>
    <t>K09 (Hot) - SA - RUH - Aqiq 2</t>
  </si>
  <si>
    <t>a1LVO000004OIW92AO</t>
  </si>
  <si>
    <t>K11 (Hot) - SA - RUH - Aqiq 2</t>
  </si>
  <si>
    <t>a1LVO000004OIUX2A4</t>
  </si>
  <si>
    <t>K10 (Hot) - SA - RUH - Aqiq 2</t>
  </si>
  <si>
    <t>a1LVO000004OIRJ2A4</t>
  </si>
  <si>
    <t>K08 (Hot) - SA - RUH - Aqiq 2</t>
  </si>
  <si>
    <t>a1L6T00000mlk8JUAQ</t>
  </si>
  <si>
    <t>K16 (Hot) - BH - MAN - UAH</t>
  </si>
  <si>
    <t>a1L6T00000mlk8NUAQ</t>
  </si>
  <si>
    <t>K12 (Hot) - BH - MAN - UAH</t>
  </si>
  <si>
    <t>a1LVO000004OIJF2A4</t>
  </si>
  <si>
    <t>K02 (Hot) - SA - RUH - Aqiq 2</t>
  </si>
  <si>
    <t>a1LVO000004OIHd2AO</t>
  </si>
  <si>
    <t>K03 (Hot) - SA - RUH - Aqiq 2</t>
  </si>
  <si>
    <t>a1L5G000004Ned4UAC</t>
  </si>
  <si>
    <t>K15 (Hot) - SA - DMM - Zuhur</t>
  </si>
  <si>
    <t>a1L5G000004Ned5UAC</t>
  </si>
  <si>
    <t>K19 (Hot) - SA - DMM - Zuhur</t>
  </si>
  <si>
    <t>a1L5G000004Ned2UAC</t>
  </si>
  <si>
    <t>K24 (Hot) - SA - DMM - Zuhur</t>
  </si>
  <si>
    <t>a1LVO000004RAtp2AG</t>
  </si>
  <si>
    <t>K11 (Hot) - SA - KBR - Rakah</t>
  </si>
  <si>
    <t>a1L5G000004NeckUAC</t>
  </si>
  <si>
    <t>K18 (Hot) - SA - DMM - Zuhur</t>
  </si>
  <si>
    <t>a1L5G000004NecnUAC</t>
  </si>
  <si>
    <t>K17 (Hot) - SA - DMM - Zuhur</t>
  </si>
  <si>
    <t>a1L5G000004NecdUAC</t>
  </si>
  <si>
    <t>K16 (Hot) - SA - DMM - Zuhur</t>
  </si>
  <si>
    <t>a1LVO000004RAsG2AW</t>
  </si>
  <si>
    <t>K09 (Hot) - SA - KBR - Rakah</t>
  </si>
  <si>
    <t>a1LVO000004RAsF2AW</t>
  </si>
  <si>
    <t>K08 (Hot) - SA - KBR - Rakah</t>
  </si>
  <si>
    <t>a1LVO000004RAsD2AW</t>
  </si>
  <si>
    <t>K06 (Hot) - SA - KBR - Rakah</t>
  </si>
  <si>
    <t>a1LVO000004RAqe2AG</t>
  </si>
  <si>
    <t>K04 (Hot) - SA - KBR - Rakah</t>
  </si>
  <si>
    <t>a1LVO000004RAqf2AG</t>
  </si>
  <si>
    <t>K05 (Hot) - SA - KBR - Rakah</t>
  </si>
  <si>
    <t>a1L5G000004NSiKUAW</t>
  </si>
  <si>
    <t>K33 (Cold) - SA - RUH - Khaleej</t>
  </si>
  <si>
    <t>SA - DMM - Jamiah (2)</t>
  </si>
  <si>
    <t>a1LVO000005Telq2AC</t>
  </si>
  <si>
    <t>K18 (Hot) - SA - DMM - Jamiah (2)</t>
  </si>
  <si>
    <t>a1LVO000005Telr2AC</t>
  </si>
  <si>
    <t>K19 (Hot) - SA - DMM - Jamiah (2)</t>
  </si>
  <si>
    <t>a1L5G000004NSiBUAW</t>
  </si>
  <si>
    <t>K24 (Hot) - SA - RUH - Khaleej</t>
  </si>
  <si>
    <t>a1LVO000005Telg2AC</t>
  </si>
  <si>
    <t>K08 (Hot) - SA - DMM - Jamiah (2)</t>
  </si>
  <si>
    <t>a1LVO000005Telh2AC</t>
  </si>
  <si>
    <t>K09 (Hot) - SA - DMM - Jamiah (2)</t>
  </si>
  <si>
    <t>a1L6T00000jqyJNUAY</t>
  </si>
  <si>
    <t>K08 (Cold) SA - RUH - Qurtoba</t>
  </si>
  <si>
    <t>a1LVO000005Tele2AC</t>
  </si>
  <si>
    <t>K06 (Hot) - SA - DMM - Jamiah (2)</t>
  </si>
  <si>
    <t>a1LVO000005Telf2AC</t>
  </si>
  <si>
    <t>K07 (Hot) - SA - DMM - Jamiah (2)</t>
  </si>
  <si>
    <t>a1LVO000005Telc2AC</t>
  </si>
  <si>
    <t>K04 (Hot) - SA - DMM - Jamiah (2)</t>
  </si>
  <si>
    <t>a1LVO000005Teld2AC</t>
  </si>
  <si>
    <t>K05 (Hot) - SA - DMM - Jamiah (2)</t>
  </si>
  <si>
    <t>a1LVO000005Tela2AC</t>
  </si>
  <si>
    <t>K02 (Hot) - SA - DMM - Jamiah (2)</t>
  </si>
  <si>
    <t>a1LVO000005Telb2AC</t>
  </si>
  <si>
    <t>K03 (Hot) - SA - DMM - Jamiah (2)</t>
  </si>
  <si>
    <t>a1LVO000005Telo2AC</t>
  </si>
  <si>
    <t>K16 (Hot) - SA - DMM - Jamiah (2)</t>
  </si>
  <si>
    <t>a1LVO000005Telp2AC</t>
  </si>
  <si>
    <t>K17 (Hot) - SA - DMM - Jamiah (2)</t>
  </si>
  <si>
    <t>a1LVO000005Telm2AC</t>
  </si>
  <si>
    <t>K14 (Hot) - SA - DMM - Jamiah (2)</t>
  </si>
  <si>
    <t>a1LVO000005Teln2AC</t>
  </si>
  <si>
    <t>K15 (Hot) - SA - DMM - Jamiah (2)</t>
  </si>
  <si>
    <t>a1LVO000005Telk2AC</t>
  </si>
  <si>
    <t>K12 (Hot) - SA - DMM - Jamiah (2)</t>
  </si>
  <si>
    <t>a1LVO000005Tell2AC</t>
  </si>
  <si>
    <t>K13 (Hot) - SA - DMM - Jamiah (2)</t>
  </si>
  <si>
    <t>a1LVO000005Teli2AC</t>
  </si>
  <si>
    <t>K10 (Hot) - SA - DMM - Jamiah (2)</t>
  </si>
  <si>
    <t>a1LVO000005Telj2AC</t>
  </si>
  <si>
    <t>K11 (Hot) - SA - DMM - Jamiah (2)</t>
  </si>
  <si>
    <t>a1LVO000005TelZ2AS</t>
  </si>
  <si>
    <t>K01 (Hot) - SA - DMM - Jamiah (2)</t>
  </si>
  <si>
    <t>a1L5G000004NShvUAG</t>
  </si>
  <si>
    <t>K02 (Hot) - SA - RUH - Khaleej</t>
  </si>
  <si>
    <t>SA - RUH - Al Nazim</t>
  </si>
  <si>
    <t>a1LVO000002B8yn2AC</t>
  </si>
  <si>
    <t>K17 (CPU) - SA - RUH - Al Nazim</t>
  </si>
  <si>
    <t>a1LVO000002B8tx2AC</t>
  </si>
  <si>
    <t>K13 (CPU) - SA - RUH - Al Nazim</t>
  </si>
  <si>
    <t>a1LVO000002B8vZ2AS</t>
  </si>
  <si>
    <t>K14 (CPU) - SA - RUH - Al Nazim</t>
  </si>
  <si>
    <t>a1LVO000002B8xB2AS</t>
  </si>
  <si>
    <t>K16 (CPU) - SA - RUH - Al Nazim</t>
  </si>
  <si>
    <t>a1LVO000002B8qj2AC</t>
  </si>
  <si>
    <t>K09 (CPU) - SA - RUH - Al Nazim</t>
  </si>
  <si>
    <t>a1LVO000002B8sL2AS</t>
  </si>
  <si>
    <t>K11 (CPU) - SA - RUH - Al Nazim</t>
  </si>
  <si>
    <t>a1LVO000002B8lt2AC</t>
  </si>
  <si>
    <t>K05 (CPU) - SA - RUH - Al Nazim</t>
  </si>
  <si>
    <t>a1LVO000002B8nV2AS</t>
  </si>
  <si>
    <t>K06 (CPU) - SA - RUH - Al Nazim</t>
  </si>
  <si>
    <t>a1LVO000002B8p72AC</t>
  </si>
  <si>
    <t>K07 (CPU) - SA - RUH - Al Nazim</t>
  </si>
  <si>
    <t>a1LVO000002B8if2AC</t>
  </si>
  <si>
    <t>K02 (CPU) - SA - RUH - Al Nazim</t>
  </si>
  <si>
    <t>a1LVO000002B8kH2AS</t>
  </si>
  <si>
    <t>K04 (CPU) - SA - RUH - Al Nazim</t>
  </si>
  <si>
    <t>a1LVO000002B8h32AC</t>
  </si>
  <si>
    <t>K01 (CPU) - SA - RUH - Al Nazim</t>
  </si>
  <si>
    <t>a1L6T00000iJA2MUAW</t>
  </si>
  <si>
    <t>K14 (Hot) - SA - RUH - Narjis</t>
  </si>
  <si>
    <t>a1L6T00000iJA2UUAW</t>
  </si>
  <si>
    <t>K11 (Cold) - SA - RUH - Narjis</t>
  </si>
  <si>
    <t>a1L6T00000iJA29UAG</t>
  </si>
  <si>
    <t>K07 (Cold) - SA - RUH - Narjis</t>
  </si>
  <si>
    <t>a1L6T00000iJA2AUAW</t>
  </si>
  <si>
    <t>K16 (Hot) - SA - RUH - Narjis</t>
  </si>
  <si>
    <t>a1L5G000004NYIGUA4</t>
  </si>
  <si>
    <t>K18 (Hot) - SA - KBR - Aqrabiya</t>
  </si>
  <si>
    <t>a1L5G000004NYIHUA4</t>
  </si>
  <si>
    <t>K19 (Hot) - SA - KBR - Aqrabiya</t>
  </si>
  <si>
    <t>a1L5G000004NYIJUA4</t>
  </si>
  <si>
    <t>K21 (Hot) - SA - KBR - Aqrabiya</t>
  </si>
  <si>
    <t>a1L5G000004NYIAUA4</t>
  </si>
  <si>
    <t>K12 (Hot) - SA - KBR - Aqrabiya</t>
  </si>
  <si>
    <t>a1L5G000004NYICUA4</t>
  </si>
  <si>
    <t>K14 (Hot) - SA - KBR - Aqrabiya</t>
  </si>
  <si>
    <t>a1L5G000004NYIBUA4</t>
  </si>
  <si>
    <t>K13 (Hot) - SA - KBR - Aqrabiya</t>
  </si>
  <si>
    <t>a1L5G000004NYI5UAO</t>
  </si>
  <si>
    <t>K07 (Hot) - SA - KBR - Aqrabiya</t>
  </si>
  <si>
    <t>a1L5G000004NYI6UAO</t>
  </si>
  <si>
    <t>K08 (Hot) - SA - KBR - Aqrabiya</t>
  </si>
  <si>
    <t>a1L5G000004NYI0UAO</t>
  </si>
  <si>
    <t>K02 (Hot) - SA - KBR - Aqrabiya</t>
  </si>
  <si>
    <t>a1L5G000004NYI2UAO</t>
  </si>
  <si>
    <t>K04 (Hot) - SA - KBR - Aqrabiya</t>
  </si>
  <si>
    <t>a1L6T00000jqkpCUAQ</t>
  </si>
  <si>
    <t>K07 (Hot) - SA - RUH - Salam</t>
  </si>
  <si>
    <t>a1L6T00000jqkpOUAQ</t>
  </si>
  <si>
    <t>K01 (Hot) - SA - RUH - Salam</t>
  </si>
  <si>
    <t>a1L6T00000jqkpNUAQ</t>
  </si>
  <si>
    <t>K10 (Hot) - SA - RUH - Salam</t>
  </si>
  <si>
    <t>a1L5G000004TzsyUAC</t>
  </si>
  <si>
    <t>K19 (Hot) SA - RUH - Qurtoba</t>
  </si>
  <si>
    <t>a1L5G000004TztNUAS</t>
  </si>
  <si>
    <t>K24 (Hot) SA - RUH - Qurtoba</t>
  </si>
  <si>
    <t>a1L5G000004TzseUAC</t>
  </si>
  <si>
    <t>K14 (Hot) SA - RUH - Qurtoba</t>
  </si>
  <si>
    <t>a1L5G000004Tzv9UAC</t>
  </si>
  <si>
    <t>K05 (Cold) SA - RUH - Qurtoba</t>
  </si>
  <si>
    <t>a1LVO000004E9PJ2A0</t>
  </si>
  <si>
    <t>K06 (Hot) - SA - RUH - Arid (2)</t>
  </si>
  <si>
    <t>a1L6T00000iJdvYUAS</t>
  </si>
  <si>
    <t>K06 (Hot) - SA - RUH - Yasmin</t>
  </si>
  <si>
    <t>a1LVO000004KxCv2AK</t>
  </si>
  <si>
    <t>K32 (Cold) - BH - MAN - UAH</t>
  </si>
  <si>
    <t>a1LVO000004KxEX2A0</t>
  </si>
  <si>
    <t>K31 (Cold) - BH - MAN - UAH</t>
  </si>
  <si>
    <t>a1LVO000004Kx852AC</t>
  </si>
  <si>
    <t>K35 (Cold) - BH - MAN - UAH</t>
  </si>
  <si>
    <t>a1LVO000004Kx9h2AC</t>
  </si>
  <si>
    <t>K34 (Cold) - BH - MAN - UAH</t>
  </si>
  <si>
    <t>a1LVO000002B79v2AC</t>
  </si>
  <si>
    <t>K12 (CPU) - SA - RUH - Al Nazim</t>
  </si>
  <si>
    <t>a1LVO000002B79u2AC</t>
  </si>
  <si>
    <t>K08 (CPU) - SA - RUH - Al Nazim</t>
  </si>
  <si>
    <t>a1LVO000002B5zK2AS</t>
  </si>
  <si>
    <t>K03 (CPU) - SA - RUH - Al Nazim</t>
  </si>
  <si>
    <t>a1LVO000002B89C2AS</t>
  </si>
  <si>
    <t>K15 (CPU) - SA - RUH - Al Nazim</t>
  </si>
  <si>
    <t>a1LVO000002B7Mo2AK</t>
  </si>
  <si>
    <t>K10 (CPU) - SA - RUH - Al Nazim</t>
  </si>
  <si>
    <t>a1L5G000004NKhrUAG</t>
  </si>
  <si>
    <t>K14 (Hot) - SA - RUH - Malga 1</t>
  </si>
  <si>
    <t>a1L5G000004NKhqUAG</t>
  </si>
  <si>
    <t>K13 (Cold) - SA - RUH - Malga 1</t>
  </si>
  <si>
    <t>a1L5G000004NKhsUAG</t>
  </si>
  <si>
    <t>K15 (Hot) - SA - RUH - Malga 1</t>
  </si>
  <si>
    <t>a1L6T00000iJ1EFUA0</t>
  </si>
  <si>
    <t>K03 (Hot) - SA - DMM - Rawda</t>
  </si>
  <si>
    <t>a1LVO000002B8PK2A0</t>
  </si>
  <si>
    <t>K20 (CPU) - SA - RUH - Al Nazim</t>
  </si>
  <si>
    <t>a1LVO000002B9212AC</t>
  </si>
  <si>
    <t>K19 (CPU) - SA - RUH - Al Nazim</t>
  </si>
  <si>
    <t>a1LVO000002B93d2AC</t>
  </si>
  <si>
    <t>K21 (CPU) - SA - RUH - Al Nazim</t>
  </si>
  <si>
    <t>a1LVO000002B95F2AS</t>
  </si>
  <si>
    <t>K22 (CPU) - SA - RUH - Al Nazim</t>
  </si>
  <si>
    <t>a1LVO000002B90P2AS</t>
  </si>
  <si>
    <t>K18 (CPU) - SA - RUH - Al Nazim</t>
  </si>
  <si>
    <t>a1LVO0000052kK82AI</t>
  </si>
  <si>
    <t>K08 (Hot) - SA - RUH - Wurud</t>
  </si>
  <si>
    <t>a1LVO0000052kK92AI</t>
  </si>
  <si>
    <t>K09 (Hot) - SA - RUH - Wurud</t>
  </si>
  <si>
    <t>a1LVO0000052kKF2AY</t>
  </si>
  <si>
    <t>K15 (Hot) - SA - RUH - Wurud</t>
  </si>
  <si>
    <t>a1LVO0000052kKD2AY</t>
  </si>
  <si>
    <t>K13 (Hot) - SA - RUH - Wurud</t>
  </si>
  <si>
    <t>a1LVO0000052kKE2AY</t>
  </si>
  <si>
    <t>K14 (Hot) - SA - RUH - Wurud</t>
  </si>
  <si>
    <t>a1LVO0000052kKB2AY</t>
  </si>
  <si>
    <t>K11 (Hot) - SA - RUH - Wurud</t>
  </si>
  <si>
    <t>a1LVO0000052kKC2AY</t>
  </si>
  <si>
    <t>K12 (Hot) - SA - RUH - Wurud</t>
  </si>
  <si>
    <t>a1LVO0000052kKJ2AY</t>
  </si>
  <si>
    <t>K19 (Hot) - SA - RUH - Wurud</t>
  </si>
  <si>
    <t>a1LVO0000052kKK2AY</t>
  </si>
  <si>
    <t>K20 (Hot) - SA - RUH - Wurud</t>
  </si>
  <si>
    <t>a1LVO0000052kKH2AY</t>
  </si>
  <si>
    <t>K17 (Hot) - SA - RUH - Wurud</t>
  </si>
  <si>
    <t>a1LVO0000052kKI2AY</t>
  </si>
  <si>
    <t>K18 (Hot) - SA - RUH - Wurud</t>
  </si>
  <si>
    <t>a1LVO0000052kK72AI</t>
  </si>
  <si>
    <t>K07 (Hot) - SA - RUH - Wurud</t>
  </si>
  <si>
    <t>a1LVO0000052kK42AI</t>
  </si>
  <si>
    <t>K04 (Hot) - SA - RUH - Wurud</t>
  </si>
  <si>
    <t>a1LVO0000052kK52AI</t>
  </si>
  <si>
    <t>K05 (Hot) - SA - RUH - Wurud</t>
  </si>
  <si>
    <t>a1LVO0000052kK22AI</t>
  </si>
  <si>
    <t>K02 (Cold) - SA - RUH - Wurud</t>
  </si>
  <si>
    <t>a1LVO0000052kK32AI</t>
  </si>
  <si>
    <t>K03 (Hot) - SA - RUH - Wurud</t>
  </si>
  <si>
    <t>a1LVO000004WfH32AK</t>
  </si>
  <si>
    <t>K13 (Hot) - SA - RUH - King Faisal</t>
  </si>
  <si>
    <t>a1LVO000004WfAc2AK</t>
  </si>
  <si>
    <t>K06 (Hot) - SA - RUH - King Faisal</t>
  </si>
  <si>
    <t>a1LVO0000053gHa2AI</t>
  </si>
  <si>
    <t>K22 (Hot) - SA - RUH - Wurud</t>
  </si>
  <si>
    <t>a1LVO0000053gHZ2AY</t>
  </si>
  <si>
    <t>K21 (Hot) - SA - RUH - Wurud</t>
  </si>
  <si>
    <t>a1L5G000004NtPIUA0</t>
  </si>
  <si>
    <t>K12 (Hot) - SA - RUH - King Fahd</t>
  </si>
  <si>
    <t>a1L5G000004NtQVUA0</t>
  </si>
  <si>
    <t>K20 (Hot) - SA - RUH - King Fahd</t>
  </si>
  <si>
    <t>a1L5G000004NtPwUAK</t>
  </si>
  <si>
    <t>K14 (Hot) - SA - RUH - King Fahd</t>
  </si>
  <si>
    <t>a1L5G000004OE0VUAW</t>
  </si>
  <si>
    <t>K28 (Hot) - SA - RUH - Malga 2</t>
  </si>
  <si>
    <t>a1L5G000004NtQuUAK</t>
  </si>
  <si>
    <t>K15 (Hot) - SA - RUH - King Fahd</t>
  </si>
  <si>
    <t>a1L5G000004NtQpUAK</t>
  </si>
  <si>
    <t>K16 (Hot) - SA - RUH - King Fahd</t>
  </si>
  <si>
    <t>a1L5G000004NtQfUAK</t>
  </si>
  <si>
    <t>K10 (Hot) - SA - RUH - King Fahd</t>
  </si>
  <si>
    <t>a1L5G000004NsYNUA0</t>
  </si>
  <si>
    <t>K01 (Hot) - SA - RUH - Aqiq</t>
  </si>
  <si>
    <t>a1L5G000004NsYsUAK</t>
  </si>
  <si>
    <t>K04 (Hot) - SA - RUH - Aqiq</t>
  </si>
  <si>
    <t>a1L5G000004NsYgUAK</t>
  </si>
  <si>
    <t>K12 (Hot) - SA - RUH - Aqiq</t>
  </si>
  <si>
    <t>a1L6T00000d2MvfUAE</t>
  </si>
  <si>
    <t>K10 (Hot) - SA - RUH - QSM</t>
  </si>
  <si>
    <t>a1L6T00000d2MvGUAU</t>
  </si>
  <si>
    <t>K05 (Hot) - SA - RUH - QSM</t>
  </si>
  <si>
    <t>a1L6T00000d2MvBUAU</t>
  </si>
  <si>
    <t>K04 (Cold) - SA - RUH - QSM</t>
  </si>
  <si>
    <t>a1L6T00000jr3nPUAQ</t>
  </si>
  <si>
    <t>K07 (Hot) - SA - RUH - Jarir</t>
  </si>
  <si>
    <t>a1L6T00000jr3nUUAQ</t>
  </si>
  <si>
    <t>K08 (Hot) - SA - RUH - Jarir</t>
  </si>
  <si>
    <t>a1LVO000004E75l2AC</t>
  </si>
  <si>
    <t>K10 (Hot) - SA - RUH - Arid (2)</t>
  </si>
  <si>
    <t>Blocked</t>
  </si>
  <si>
    <t>a1LVO000004E9Vl2AK</t>
  </si>
  <si>
    <t>K15 (Hot) - SA - RUH - Arid (2)</t>
  </si>
  <si>
    <t>a1LVO000004E9Qv2AK</t>
  </si>
  <si>
    <t>K08 (Hot) - SA - RUH - Arid (2)</t>
  </si>
  <si>
    <t>a1LVO000004E9U92AK</t>
  </si>
  <si>
    <t>K14 (Hot) - SA - RUH - Arid (2)</t>
  </si>
  <si>
    <t>a1LVO000004E9SX2A0</t>
  </si>
  <si>
    <t>K12 (Hot) - SA - RUH - Arid (2)</t>
  </si>
  <si>
    <t>a1L6T00000mlpzEUAQ</t>
  </si>
  <si>
    <t>K16 (Hot) - SA - RUH - QSM</t>
  </si>
  <si>
    <t>a1L6T00000d2MvzUAE</t>
  </si>
  <si>
    <t>K14 (Hot) - SA - RUH - QSM</t>
  </si>
  <si>
    <t>a1L6T00000d2MvkUAE</t>
  </si>
  <si>
    <t>K11 (Hot) - SA - RUH - QSM</t>
  </si>
  <si>
    <t>a1L6T00000d2MvVUAU</t>
  </si>
  <si>
    <t>K08 (Hot) - SA - RUH - QSM</t>
  </si>
  <si>
    <t>a1L6T00000d2Mw4UAE</t>
  </si>
  <si>
    <t>K15 (Hot) - SA - RUH - QSM</t>
  </si>
  <si>
    <t>a1L6T00000d2MvQUAU</t>
  </si>
  <si>
    <t>K07 (Hot) - SA - RUH - QSM</t>
  </si>
  <si>
    <t>a1L6T00000d2Mv6UAE</t>
  </si>
  <si>
    <t>K03 (CPU) - SA - RUH - QSM</t>
  </si>
  <si>
    <t>MSRP</t>
  </si>
  <si>
    <t>Electric Load (kW)</t>
  </si>
  <si>
    <t>Gas Load (kW)</t>
  </si>
  <si>
    <t>CloudRetail</t>
  </si>
  <si>
    <t>a1L5G000004NedAUAS</t>
  </si>
  <si>
    <t>K23 (Hot) - SA - DMM - Zuhur</t>
  </si>
  <si>
    <t>40 Amps</t>
  </si>
  <si>
    <t>37 mBar</t>
  </si>
  <si>
    <t>a1L5G000004NsYYUA0</t>
  </si>
  <si>
    <t>K09 (Cold) - SA - RUH - Aqiq (Deprecated)</t>
  </si>
  <si>
    <t>30 Amps</t>
  </si>
  <si>
    <t>a1L6T00000jr3ncUAA</t>
  </si>
  <si>
    <t>K16 (Cold) - SA - RUH - Jarir</t>
  </si>
  <si>
    <t>a1L5G000004TzupUAC</t>
  </si>
  <si>
    <t>K01 (Cold) SA - RUH - Qurtoba (Deprecated)</t>
  </si>
  <si>
    <t>a1L6T00000jqkpGUAQ</t>
  </si>
  <si>
    <t>K16 (Cold) - SA - RUH - Salam (Deprecated)</t>
  </si>
  <si>
    <t>a1L6T00000jqkp8UAA</t>
  </si>
  <si>
    <t>K02 (Hot) - SA - RUH - Salam</t>
  </si>
  <si>
    <t>a1L6T00000iJBYPUA4</t>
  </si>
  <si>
    <t>K05 (Cold) - SA - RUH - Sulimaniyah (Deprecated)</t>
  </si>
  <si>
    <t>a1L5G000004O0LgUAK</t>
  </si>
  <si>
    <t>K07 (Cold) - SA - RUH - Sweidi</t>
  </si>
  <si>
    <t>Sell Price</t>
  </si>
  <si>
    <t>Monthly License Fee</t>
  </si>
  <si>
    <t>SA - JED - Rehab</t>
  </si>
  <si>
    <t>a1L6T00000iJ1DzUAK</t>
  </si>
  <si>
    <t>K20 (Hot) - SA - JED - Rehab</t>
  </si>
  <si>
    <t>0066T00001AsymIQAR</t>
  </si>
  <si>
    <t>Delivery Hero - K20 (Hot) - SA - JED - Rehab</t>
  </si>
  <si>
    <t>a1L6T00000iJ1DyUAK</t>
  </si>
  <si>
    <t>K19 (Hot) - SA - JED - Rehab</t>
  </si>
  <si>
    <t>0066T00001AsymmQAB</t>
  </si>
  <si>
    <t>Delivery Hero - K19 (Hot) - SA - JED - Rehab</t>
  </si>
  <si>
    <t>SA - JED - Safa</t>
  </si>
  <si>
    <t>a1L5G000004NcycUAC</t>
  </si>
  <si>
    <t>K31 (Hot) - SA - SAF</t>
  </si>
  <si>
    <t>a1L5G000004NcybUAC</t>
  </si>
  <si>
    <t>K30 (Hot) - SA - SAF</t>
  </si>
  <si>
    <t>a1L5G000004NcyeUAC</t>
  </si>
  <si>
    <t>K33 (Cold) - SA - SAF</t>
  </si>
  <si>
    <t>a1L5G000004NcydUAC</t>
  </si>
  <si>
    <t>K32 (Cold) - SA - SAF</t>
  </si>
  <si>
    <t>a1L5G000004NcygUAC</t>
  </si>
  <si>
    <t>K35 (Hot) - SA - SAF</t>
  </si>
  <si>
    <t>a1L5G000004NcyfUAC</t>
  </si>
  <si>
    <t>K34 (Cold) - SA - SAF</t>
  </si>
  <si>
    <t>a1L5G000004NcyhUAC</t>
  </si>
  <si>
    <t>K36 (Hot) - SA - SAF</t>
  </si>
  <si>
    <t>chicken worx</t>
  </si>
  <si>
    <t>0066T000018cfkSQAQ</t>
  </si>
  <si>
    <t>Manoosha - Khobar AQ - Transfer Member</t>
  </si>
  <si>
    <t>0066T00001A6ggHQAR</t>
  </si>
  <si>
    <t>Broasted Express</t>
  </si>
  <si>
    <t>0066T00001As6snQAB</t>
  </si>
  <si>
    <t>SA - JED - Bawadi</t>
  </si>
  <si>
    <t>EXP2</t>
  </si>
  <si>
    <t>a1L5G000004OMh7UAG</t>
  </si>
  <si>
    <t>K14 (Hot) - SA - JED - Bawadi</t>
  </si>
  <si>
    <t>0066T00001AsyacQAB</t>
  </si>
  <si>
    <t>Delivery Hero - K14 (Hot) - SA - JED - Bawadi</t>
  </si>
  <si>
    <t>a1L5G000004OMgfUAG</t>
  </si>
  <si>
    <t>K01 (Hot) - SA - JED - Bawadi</t>
  </si>
  <si>
    <t>0066T00001AsydGQAR</t>
  </si>
  <si>
    <t>Delivery Hero - K01 (Hot) - SA - JED - Bawadi</t>
  </si>
  <si>
    <t>a1L5G000004OMh0UAG</t>
  </si>
  <si>
    <t>K23 (Hot) - SA - JED - Bawadi</t>
  </si>
  <si>
    <t>0066T00001AsydzQAB</t>
  </si>
  <si>
    <t>Delivery Hero - K23 (Hot) - SA - JED - Bawadi</t>
  </si>
  <si>
    <t>a1L5G000004OMh3UAG</t>
  </si>
  <si>
    <t>K06 (Hot) - SA - JED - Bawadi</t>
  </si>
  <si>
    <t>0066T00001Asye4QAB</t>
  </si>
  <si>
    <t>Delivery Hero - K06 (Hot) - SA - JED - Bawadi</t>
  </si>
  <si>
    <t>EXP1</t>
  </si>
  <si>
    <t>a1L5G000004OMh5UAG</t>
  </si>
  <si>
    <t>K04 (Hot) - SA - JED - Bawadi</t>
  </si>
  <si>
    <t>0066T00001AsyeEQAR</t>
  </si>
  <si>
    <t>Delivery Hero - K04 (Hot) - SA - JED - Bawadi</t>
  </si>
  <si>
    <t>a1L5G000004OMh4UAG</t>
  </si>
  <si>
    <t>K17 (Hot) - SA - JED - Bawadi</t>
  </si>
  <si>
    <t>0066T00001AsyeOQAR</t>
  </si>
  <si>
    <t>Delivery Hero - K17 (Hot) - SA - JED - Bawadi</t>
  </si>
  <si>
    <t>a1L5G000004OMh9UAG</t>
  </si>
  <si>
    <t>K11 (Hot) - SA - JED - Bawadi</t>
  </si>
  <si>
    <t>0066T00001AsyeTQAR</t>
  </si>
  <si>
    <t>Delivery Hero - K11 (Hot) - SA - JED - Bawadi</t>
  </si>
  <si>
    <t>SA - JED - Marwa</t>
  </si>
  <si>
    <t>a1L6T00000jqvBkUAI</t>
  </si>
  <si>
    <t>K11 (Hot) - SA - JED - Marwa</t>
  </si>
  <si>
    <t>0066T00001AsyeUQAR</t>
  </si>
  <si>
    <t>Delivery Hero - K11 (Hot) - SA - JED - Marwa</t>
  </si>
  <si>
    <t>a1L5G000004OMgzUAG</t>
  </si>
  <si>
    <t>K07 (Hot) - SA - JED - Bawadi</t>
  </si>
  <si>
    <t>0066T00001AsyeiQAB</t>
  </si>
  <si>
    <t>Delivery Hero - K07 (Hot) - SA - JED - Bawadi</t>
  </si>
  <si>
    <t>a1L5G000004OMh1UAG</t>
  </si>
  <si>
    <t>K22 (Hot) - SA - JED - Bawadi</t>
  </si>
  <si>
    <t>2 x 2.4m</t>
  </si>
  <si>
    <t>0066T00001AsyenQAB</t>
  </si>
  <si>
    <t>Delivery Hero - K22 (Hot) - SA - JED - Bawadi</t>
  </si>
  <si>
    <t>a1L5G000004OMgpUAG</t>
  </si>
  <si>
    <t>K10 (Hot) - SA - JED - Bawadi</t>
  </si>
  <si>
    <t>0066T00001AsyesQAB</t>
  </si>
  <si>
    <t>Delivery Hero - K10 (Hot) - SA - JED - Bawadi</t>
  </si>
  <si>
    <t>a1L5G000004OMgwUAG</t>
  </si>
  <si>
    <t>K18 (Hot) - SA - JED - Bawadi</t>
  </si>
  <si>
    <t>0066T00001Asyf7QAB</t>
  </si>
  <si>
    <t>Delivery Hero - K18 (Hot) - SA - JED - Bawadi</t>
  </si>
  <si>
    <t>a1L5G000004OMgyUAG</t>
  </si>
  <si>
    <t>K20 (Hot) - SA - JED - Bawadi</t>
  </si>
  <si>
    <t>0066T00001AsyfMQAR</t>
  </si>
  <si>
    <t>Delivery Hero - K20 (Hot) - SA - JED - Bawadi</t>
  </si>
  <si>
    <t>a1L5G000004OMgoUAG</t>
  </si>
  <si>
    <t>K16 (Hot) - SA - JED - Bawadi</t>
  </si>
  <si>
    <t>0066T00001AsyfWQAR</t>
  </si>
  <si>
    <t>Delivery Hero - K16 (Hot) - SA - JED - Bawadi</t>
  </si>
  <si>
    <t>a1L5G000004OMgtUAG</t>
  </si>
  <si>
    <t>K25 (Hot) - SA - JED - Bawadi</t>
  </si>
  <si>
    <t>0066T00001AsyfgQAB</t>
  </si>
  <si>
    <t>Delivery Hero - K25 (Hot) - SA - JED - Bawadi</t>
  </si>
  <si>
    <t>a1L5G000004OMgsUAG</t>
  </si>
  <si>
    <t>K13 (Hot) - SA - JED - Bawadi</t>
  </si>
  <si>
    <t>0066T00001AsyflQAB</t>
  </si>
  <si>
    <t>Delivery Hero - K13 (Hot) - SA - JED - Bawadi</t>
  </si>
  <si>
    <t>a1L5G000004OMgvUAG</t>
  </si>
  <si>
    <t>K19 (Hot) - SA - JED - Bawadi</t>
  </si>
  <si>
    <t>0066T00001AsyfqQAB</t>
  </si>
  <si>
    <t>Delivery Hero - K19 (Hot) - SA - JED - Bawadi</t>
  </si>
  <si>
    <t>a1L5G000004OMguUAG</t>
  </si>
  <si>
    <t>K15 (Hot) - SA - JED - Bawadi</t>
  </si>
  <si>
    <t>0066T00001AsyfvQAB</t>
  </si>
  <si>
    <t>Delivery Hero - K15 (Hot) - SA - JED - Bawadi</t>
  </si>
  <si>
    <t>a1L5G000004OMglUAG</t>
  </si>
  <si>
    <t>K05 (Hot) - SA - JED - Bawadi</t>
  </si>
  <si>
    <t>0066T00001Asyg0QAB</t>
  </si>
  <si>
    <t>Delivery Hero - K05 (Hot) - SA - JED - Bawadi</t>
  </si>
  <si>
    <t>a1L5G000004OMgnUAG</t>
  </si>
  <si>
    <t>K21 (Hot) - SA - JED - Bawadi</t>
  </si>
  <si>
    <t>0066T00001AsygAQAR</t>
  </si>
  <si>
    <t>Delivery Hero - K21 (Hot) - SA - JED - Bawadi</t>
  </si>
  <si>
    <t>a1L5G000004OMgeUAG</t>
  </si>
  <si>
    <t>K03 (Hot) - SA - JED - Bawadi</t>
  </si>
  <si>
    <t>0066T00001AsygFQAR</t>
  </si>
  <si>
    <t>Delivery Hero - K03 (Hot) - SA - JED - Bawadi</t>
  </si>
  <si>
    <t>a1L5G000004OMgqUAG</t>
  </si>
  <si>
    <t>K08 (Hot) - SA - JED - Bawadi</t>
  </si>
  <si>
    <t>0066T00001AsygKQAR</t>
  </si>
  <si>
    <t>Delivery Hero - K08 (Hot) - SA - JED - Bawadi</t>
  </si>
  <si>
    <t>a1L5G000004OMghUAG</t>
  </si>
  <si>
    <t>K02 (Hot) - SA - JED - Bawadi</t>
  </si>
  <si>
    <t>0066T00001AsygPQAR</t>
  </si>
  <si>
    <t>Delivery Hero - K02 (Hot) - SA - JED - Bawadi</t>
  </si>
  <si>
    <t>a1L5G000004OMgjUAG</t>
  </si>
  <si>
    <t>K12 (Hot) - SA - JED - Bawadi</t>
  </si>
  <si>
    <t>0066T00001AsygUQAR</t>
  </si>
  <si>
    <t>Delivery Hero - K12 (Hot) - SA - JED - Bawadi</t>
  </si>
  <si>
    <t>EXP</t>
  </si>
  <si>
    <t>a1L6T00000jqvBfUAI</t>
  </si>
  <si>
    <t>K06 (Hot) - SA - JED - Marwa</t>
  </si>
  <si>
    <t>0066T00001AsygVQAR</t>
  </si>
  <si>
    <t>Delivery Hero - K06 (Hot) - SA - JED - Marwa</t>
  </si>
  <si>
    <t>a1L5G000004OMgiUAG</t>
  </si>
  <si>
    <t>K09 (Hot) - SA - JED - Bawadi</t>
  </si>
  <si>
    <t>0066T00001AsygZQAR</t>
  </si>
  <si>
    <t>Delivery Hero - K09 (Hot) - SA - JED - Bawadi</t>
  </si>
  <si>
    <t>a1L6T00000jqvBgUAI</t>
  </si>
  <si>
    <t>K07 (Hot) - SA - JED - Marwa</t>
  </si>
  <si>
    <t>0066T00001AsygaQAB</t>
  </si>
  <si>
    <t>Delivery Hero - K07 (Hot) - SA - JED - Marwa</t>
  </si>
  <si>
    <t>a1L5G000004OMgkUAG</t>
  </si>
  <si>
    <t>K24 (Hot) - SA - JED - Bawadi</t>
  </si>
  <si>
    <t>0066T00001AsygeQAB</t>
  </si>
  <si>
    <t>Delivery Hero - K24 (Hot) - SA - JED - Bawadi</t>
  </si>
  <si>
    <t>a1L6T00000jqvBnUAI</t>
  </si>
  <si>
    <t>K14 (Cold) - SA - JED - Marwa</t>
  </si>
  <si>
    <t>0066T00001AsygjQAB</t>
  </si>
  <si>
    <t>Delivery Hero - K14 (Hot) - SA - JED - Marwa</t>
  </si>
  <si>
    <t>a1L6T00000jqvBpUAI</t>
  </si>
  <si>
    <t>K16 (Cold) - SA - JED - Marwa</t>
  </si>
  <si>
    <t>0066T00001AsygoQAB</t>
  </si>
  <si>
    <t>Delivery Hero - K16 (Hot) - SA - JED - Marwa</t>
  </si>
  <si>
    <t>a1L6T00000jqvBbUAI</t>
  </si>
  <si>
    <t>K02 (Hot) - SA - JED - Marwa</t>
  </si>
  <si>
    <t>0066T00001AsygyQAB</t>
  </si>
  <si>
    <t>Delivery Hero - K02 (Hot) - SA - JED - Marwa</t>
  </si>
  <si>
    <t>a1L6T00000jqvBlUAI</t>
  </si>
  <si>
    <t>K12 (Hot) - SA - JED - Marwa</t>
  </si>
  <si>
    <t>0066T00001Asyh3QAB</t>
  </si>
  <si>
    <t>Delivery Hero - K12 (Hot) - SA - JED - Marwa</t>
  </si>
  <si>
    <t>a1L6T00000jqvBmUAI</t>
  </si>
  <si>
    <t>K13 (Hot) - SA - JED - Marwa</t>
  </si>
  <si>
    <t>0066T00001AsyhDQAR</t>
  </si>
  <si>
    <t>Delivery Hero - K13 (Cold) - SA - JED - Marwa</t>
  </si>
  <si>
    <t>a1L6T00000jqvBcUAI</t>
  </si>
  <si>
    <t>K03 (Hot) - SA - JED - Marwa</t>
  </si>
  <si>
    <t>0066T00001AsyhcQAB</t>
  </si>
  <si>
    <t>Delivery Hero - K03 (Hot) - SA - JED - Marwa</t>
  </si>
  <si>
    <t>a1L5G000004NcyWUAS</t>
  </si>
  <si>
    <t>K25 (Hot) - SA - SAF</t>
  </si>
  <si>
    <t>0066T00001AsyhiQAB</t>
  </si>
  <si>
    <t>Delivery Hero - K25 (Hot) - SA - SAF</t>
  </si>
  <si>
    <t>a1L6T00000jqvBhUAI</t>
  </si>
  <si>
    <t>K08 (Hot) - SA - JED - Marwa</t>
  </si>
  <si>
    <t>0066T00001AsyhmQAB</t>
  </si>
  <si>
    <t>Delivery Hero - K08 (Hot) - SA - JED - Marwa</t>
  </si>
  <si>
    <t>a1L6T00000jqvBdUAI</t>
  </si>
  <si>
    <t>K04 (Hot) - SA - JED - Marwa</t>
  </si>
  <si>
    <t>0066T00001AsyhwQAB</t>
  </si>
  <si>
    <t>Delivery Hero - K04 (Hot) - SA - JED - Marwa</t>
  </si>
  <si>
    <t>a1L6T00000jqvBeUAI</t>
  </si>
  <si>
    <t>K05 (Hot) - SA - JED - Marwa</t>
  </si>
  <si>
    <t>0066T00001Asyi1QAB</t>
  </si>
  <si>
    <t>Delivery Hero - K05 (Hot) - SA - JED - Marwa</t>
  </si>
  <si>
    <t>a1L6T00000jqvBjUAI</t>
  </si>
  <si>
    <t>K10 (Hot) - SA - JED - Marwa</t>
  </si>
  <si>
    <t>0066T00001Asyi6QAB</t>
  </si>
  <si>
    <t>Delivery Hero - K10 (Hot) - SA - JED - Marwa</t>
  </si>
  <si>
    <t>a1L6T00000jqvBiUAI</t>
  </si>
  <si>
    <t>K09 (Hot) - SA - JED - Marwa</t>
  </si>
  <si>
    <t>0066T00001AsyiBQAR</t>
  </si>
  <si>
    <t>Delivery Hero - K09 (Hot) - SA - JED - Marwa</t>
  </si>
  <si>
    <t>a1L6T00000jqvBoUAI</t>
  </si>
  <si>
    <t>K15 (Hot) - SA - JED - Marwa</t>
  </si>
  <si>
    <t>0066T00001AsyiGQAR</t>
  </si>
  <si>
    <t>Delivery Hero - K15 (Cold) - SA - JED - Marwa</t>
  </si>
  <si>
    <t>a1L6T00000jqvBaUAI</t>
  </si>
  <si>
    <t>K01 (Hot) - SA - JED - Marwa</t>
  </si>
  <si>
    <t>0066T00001AsyiLQAR</t>
  </si>
  <si>
    <t>Delivery Hero - K01 (Hot) - SA - JED - Marwa</t>
  </si>
  <si>
    <t>a1L6T00000iJ1DjUAK</t>
  </si>
  <si>
    <t>K04 (Hot) - SA - JED - Rehab</t>
  </si>
  <si>
    <t>0066T00001AsykwQAB</t>
  </si>
  <si>
    <t>Delivery Hero - K04 (Hot) - SA - JED - Rehab</t>
  </si>
  <si>
    <t>a1L5G000004NcyGUAS</t>
  </si>
  <si>
    <t>K09 (Hot) - SA - SAF</t>
  </si>
  <si>
    <t>0066T00001AsymJQAR</t>
  </si>
  <si>
    <t>Delivery Hero - K09 (Hot) - SA - SAF</t>
  </si>
  <si>
    <t>a1L6T00000iJ1DpUAK</t>
  </si>
  <si>
    <t>K10 (Hot) - SA - JED - Rehab</t>
  </si>
  <si>
    <t>0066T00001AsymNQAR</t>
  </si>
  <si>
    <t>Delivery Hero - K10 (Hot) - SA - JED - Rehab</t>
  </si>
  <si>
    <t>a1L6T00000iJ1DrUAK</t>
  </si>
  <si>
    <t>K12 (Hot) - SA - JED - Rehab</t>
  </si>
  <si>
    <t>0066T00001AsymSQAR</t>
  </si>
  <si>
    <t>Delivery Hero - K12 (Hot) - SA - JED - Rehab</t>
  </si>
  <si>
    <t>a1L6T00000iJ1DlUAK</t>
  </si>
  <si>
    <t>K06 (Hot) - SA - JED - Rehab</t>
  </si>
  <si>
    <t>0066T00001AsymXQAR</t>
  </si>
  <si>
    <t>Delivery Hero - K06 (Hot) - SA - JED - Rehab</t>
  </si>
  <si>
    <t>a1L6T00000iJ1DoUAK</t>
  </si>
  <si>
    <t>K09 (Hot) - SA - JED - Rehab</t>
  </si>
  <si>
    <t>0066T00001AsymcQAB</t>
  </si>
  <si>
    <t>Delivery Hero - K09 (Hot) - SA - JED - Rehab</t>
  </si>
  <si>
    <t>a1L6T00000iJ1DxUAK</t>
  </si>
  <si>
    <t>K18 (Hot) - SA - JED - Rehab</t>
  </si>
  <si>
    <t>0066T00001AsymhQAB</t>
  </si>
  <si>
    <t>Delivery Hero - K18 (Hot) - SA - JED - Rehab</t>
  </si>
  <si>
    <t>a1L6T00000iJ1DhUAK</t>
  </si>
  <si>
    <t>K02 (Hot) - SA - JED - Rehab</t>
  </si>
  <si>
    <t>0066T00001AsymwQAB</t>
  </si>
  <si>
    <t>Delivery Hero - K02 (Hot) - SA - JED - Rehab</t>
  </si>
  <si>
    <t>a1L6T00000iJ1DiUAK</t>
  </si>
  <si>
    <t>K03 (Hot) - SA - JED - Rehab</t>
  </si>
  <si>
    <t>0066T00001Asyn1QAB</t>
  </si>
  <si>
    <t>Delivery Hero - K03 (Hot) - SA - JED - Rehab</t>
  </si>
  <si>
    <t>a1L6T00000iJ1DkUAK</t>
  </si>
  <si>
    <t>K05 (Hot) - SA - JED - Rehab</t>
  </si>
  <si>
    <t>0066T00001Asyn6QAB</t>
  </si>
  <si>
    <t>Delivery Hero - K05 (Hot) - SA - JED - Rehab</t>
  </si>
  <si>
    <t>a1L6T00000iJ1DqUAK</t>
  </si>
  <si>
    <t>K11 (Hot) - SA - JED - Rehab</t>
  </si>
  <si>
    <t>0066T00001AsynBQAR</t>
  </si>
  <si>
    <t>Delivery Hero - K11 (Hot) - SA - JED - Rehab</t>
  </si>
  <si>
    <t>a1L6T00000iJ1DsUAK</t>
  </si>
  <si>
    <t>K13 (Hot) - SA - JED - Rehab</t>
  </si>
  <si>
    <t>0066T00001AsynGQAR</t>
  </si>
  <si>
    <t>Delivery Hero - K13 (Hot) - SA - JED - Rehab</t>
  </si>
  <si>
    <t>a1L6T00000iJ1DtUAK</t>
  </si>
  <si>
    <t>K14 (Hot) - SA - JED - Rehab</t>
  </si>
  <si>
    <t>0066T00001AsynLQAR</t>
  </si>
  <si>
    <t>Delivery Hero - K14 (Hot) - SA - JED - Rehab</t>
  </si>
  <si>
    <t>a1L6T00000iJ1DuUAK</t>
  </si>
  <si>
    <t>K15 (Hot) - SA - JED - Rehab</t>
  </si>
  <si>
    <t>0066T00001AsynQQAR</t>
  </si>
  <si>
    <t>Delivery Hero - K15 (Hot) - SA - JED - Rehab</t>
  </si>
  <si>
    <t>a1L6T00000iJ1DvUAK</t>
  </si>
  <si>
    <t>K16 (Hot) - SA - JED - Rehab</t>
  </si>
  <si>
    <t>0066T00001AsynVQAR</t>
  </si>
  <si>
    <t>Delivery Hero - K16 (Hot) - SA - JED - Rehab</t>
  </si>
  <si>
    <t>a1L6T00000iJ1DwUAK</t>
  </si>
  <si>
    <t>K17 (Hot) - SA - JED - Rehab</t>
  </si>
  <si>
    <t>0066T00001AsynaQAB</t>
  </si>
  <si>
    <t>Delivery Hero - K17 (Hot) - SA - JED - Rehab</t>
  </si>
  <si>
    <t>a1L6T00000iJ1DgUAK</t>
  </si>
  <si>
    <t>K01 (Hot) - SA - JED - Rehab</t>
  </si>
  <si>
    <t>0066T00001AsynfQAB</t>
  </si>
  <si>
    <t>Delivery Hero - K01 (Hot) - SA - JED - Rehab</t>
  </si>
  <si>
    <t>a1L6T00000iJ1DmUAK</t>
  </si>
  <si>
    <t>K07 (Cold) - SA - JED - Rehab</t>
  </si>
  <si>
    <t>0066T00001AsynkQAB</t>
  </si>
  <si>
    <t>Delivery Hero - K07 (Cold) - SA - JED - Rehab</t>
  </si>
  <si>
    <t>a1L6T00000iJ1DnUAK</t>
  </si>
  <si>
    <t>K08 (Cold) - SA - JED - Rehab</t>
  </si>
  <si>
    <t>0066T00001AsynpQAB</t>
  </si>
  <si>
    <t>Delivery Hero - K08 (Cold) - SA - JED - Rehab</t>
  </si>
  <si>
    <t>a1L5G000004NcyLUAS</t>
  </si>
  <si>
    <t>K14 (Hot) - SA - SAF</t>
  </si>
  <si>
    <t>0066T00001AsynuQAB</t>
  </si>
  <si>
    <t>Delivery Hero - K14 (Hot) - SA - SAF</t>
  </si>
  <si>
    <t>a1L5G000004NcyEUAS</t>
  </si>
  <si>
    <t>K07 (Hot) - SA - SAF</t>
  </si>
  <si>
    <t>0066T00001AsynzQAB</t>
  </si>
  <si>
    <t>Delivery Hero - K07 (Hot) - SA - SAF</t>
  </si>
  <si>
    <t>a1L5G000004NcyDUAS</t>
  </si>
  <si>
    <t>K06 (Hot) - SA - SAF</t>
  </si>
  <si>
    <t>0066T00001Asyo4QAB</t>
  </si>
  <si>
    <t>Delivery Hero - K06 (Hot) - SA - SAF</t>
  </si>
  <si>
    <t>a1L5G000004NcyHUAS</t>
  </si>
  <si>
    <t>K10 (Cold) - SA - SAF</t>
  </si>
  <si>
    <t>0066T00001AsyoEQAR</t>
  </si>
  <si>
    <t>Delivery Hero - K10 (Hot) - SA - SAF</t>
  </si>
  <si>
    <t>a1L5G000004NcyYUAS</t>
  </si>
  <si>
    <t>K27 (Hot) - SA - SAF</t>
  </si>
  <si>
    <t>0066T00001AsyoJQAR</t>
  </si>
  <si>
    <t>Delivery Hero - K27 (Hot) - SA - SAF</t>
  </si>
  <si>
    <t>a1L5G000004NcyMUAS</t>
  </si>
  <si>
    <t>K15 (Cold) - SA - SAF</t>
  </si>
  <si>
    <t>0066T00001AsyoOQAR</t>
  </si>
  <si>
    <t>Delivery Hero - K15 (Hot) - SA - SAF</t>
  </si>
  <si>
    <t>a1L5G000004NcyOUAS</t>
  </si>
  <si>
    <t>K17 (Hot) - SA - SAF</t>
  </si>
  <si>
    <t>0066T00001AsyoYQAR</t>
  </si>
  <si>
    <t>Delivery Hero - K17 (Hot) - SA - SAF</t>
  </si>
  <si>
    <t>a1L5G000004NcyNUAS</t>
  </si>
  <si>
    <t>K16 (Hot) - SA - SAF</t>
  </si>
  <si>
    <t>0066T00001AsyodQAB</t>
  </si>
  <si>
    <t>Delivery Hero - K16 (Hot) - SA - SAF</t>
  </si>
  <si>
    <t>a1L5G000004NcyBUAS</t>
  </si>
  <si>
    <t>K04 (Hot) - SA - SAF</t>
  </si>
  <si>
    <t>0066T00001AsyoiQAB</t>
  </si>
  <si>
    <t>Delivery Hero - K04 (Hot) - SA - SAF</t>
  </si>
  <si>
    <t>a1L5G000004NcyFUAS</t>
  </si>
  <si>
    <t>K08 (Hot) - SA - SAF</t>
  </si>
  <si>
    <t>0066T00001AsyonQAB</t>
  </si>
  <si>
    <t>Delivery Hero - K08 (Hot) - SA - SAF</t>
  </si>
  <si>
    <t>a1L5G000004NcyZUAS</t>
  </si>
  <si>
    <t>K28 (Hot) - SA - SAF</t>
  </si>
  <si>
    <t>0066T00001Asyp2QAB</t>
  </si>
  <si>
    <t>Delivery Hero - K28 (Hot) - SA - SAF</t>
  </si>
  <si>
    <t>a1L5G000004NcyaUAC</t>
  </si>
  <si>
    <t>K29 (Hot) - SA - SAF</t>
  </si>
  <si>
    <t>0066T00001Asyp7QAB</t>
  </si>
  <si>
    <t>Delivery Hero - K29 (Hot) - SA - SAF</t>
  </si>
  <si>
    <t>a1L5G000004NcyUUAS</t>
  </si>
  <si>
    <t>K23 (Hot) - SA - SAF</t>
  </si>
  <si>
    <t>0066T00001AsypCQAR</t>
  </si>
  <si>
    <t>Delivery Hero - K23 (Hot) - SA - SAF</t>
  </si>
  <si>
    <t>a1L5G000004NcyKUAS</t>
  </si>
  <si>
    <t>K13 (Hot) - SA - SAF</t>
  </si>
  <si>
    <t>0066T00001AsypHQAR</t>
  </si>
  <si>
    <t>Delivery Hero - K13 (Hot) - SA - SAF</t>
  </si>
  <si>
    <t>a1L5G000004NcyJUAS</t>
  </si>
  <si>
    <t>K12 (Hot) - SA - SAF</t>
  </si>
  <si>
    <t>0066T00001AsypMQAR</t>
  </si>
  <si>
    <t>Delivery Hero - K12 (Hot) - SA - SAF</t>
  </si>
  <si>
    <t>a1L5G000004NcyIUAS</t>
  </si>
  <si>
    <t>K11 (Hot) - SA - SAF</t>
  </si>
  <si>
    <t>0066T00001AsypRQAR</t>
  </si>
  <si>
    <t>Delivery Hero - K11 (Hot) - SA - SAF</t>
  </si>
  <si>
    <t>a1L5G000004NcyAUAS</t>
  </si>
  <si>
    <t>K03 (Hot) - SA - SAF</t>
  </si>
  <si>
    <t>0066T00001AsypWQAR</t>
  </si>
  <si>
    <t>Delivery Hero - K03 (Hot) - SA - SAF</t>
  </si>
  <si>
    <t>a1L5G000004NcySUAS</t>
  </si>
  <si>
    <t>K21 (Hot) - SA - SAF</t>
  </si>
  <si>
    <t>0066T00001AsypgQAB</t>
  </si>
  <si>
    <t>Delivery Hero - K21 (Hot) - SA - SAF</t>
  </si>
  <si>
    <t>a1L5G000004NcyTUAS</t>
  </si>
  <si>
    <t>K22 (Hot) - SA - SAF</t>
  </si>
  <si>
    <t>0066T00001AsyplQAB</t>
  </si>
  <si>
    <t>Delivery Hero - K22 (Hot) - SA - SAF</t>
  </si>
  <si>
    <t>a1L5G000004NcyVUAS</t>
  </si>
  <si>
    <t>K24 (Hot) - SA - SAF</t>
  </si>
  <si>
    <t>0066T00001AsypvQAB</t>
  </si>
  <si>
    <t>Delivery Hero - K24 (Hot) - SA - SAF</t>
  </si>
  <si>
    <t>a1L5G000004NcyXUAS</t>
  </si>
  <si>
    <t>K26 (Hot) - SA - SAF</t>
  </si>
  <si>
    <t>0066T00001Asyq0QAB</t>
  </si>
  <si>
    <t>Delivery Hero - K26 (Hot) - SA - SAF</t>
  </si>
  <si>
    <t>a1L5G000004NcyQUAS</t>
  </si>
  <si>
    <t>K19 (Hot) - SA - SAF</t>
  </si>
  <si>
    <t>0066T00001Asyq5QAB</t>
  </si>
  <si>
    <t>Delivery Hero - K19 (Cold) - SA - SAF</t>
  </si>
  <si>
    <t>a1L5G000004NcyPUAS</t>
  </si>
  <si>
    <t>K18 (Hot) - SA - SAF</t>
  </si>
  <si>
    <t>0066T00001AsyqAQAR</t>
  </si>
  <si>
    <t>Delivery Hero - K18 (Hot) - SA - SAF</t>
  </si>
  <si>
    <t>a1L5G000004NcyCUAS</t>
  </si>
  <si>
    <t>K05 (Hot) - SA - SAF</t>
  </si>
  <si>
    <t>0066T00001AsyqFQAR</t>
  </si>
  <si>
    <t>Delivery Hero - K05 (Cold) - SA - SAF</t>
  </si>
  <si>
    <t>a1L5G000004Ncy9UAC</t>
  </si>
  <si>
    <t>K02 (Hot) - SA - SAF</t>
  </si>
  <si>
    <t>0066T00001AsyqPQAR</t>
  </si>
  <si>
    <t>Delivery Hero - K02 (Cold) - SA - SAF</t>
  </si>
  <si>
    <t>a1L5G000004Ncy8UAC</t>
  </si>
  <si>
    <t>K01 (Cold) - SA - SAF</t>
  </si>
  <si>
    <t>0066T00001AsyqUQAR</t>
  </si>
  <si>
    <t>Delivery Hero - K01 (Hot) - SA - SAF</t>
  </si>
  <si>
    <t>a1L5G000004NcyRUAS</t>
  </si>
  <si>
    <t>K20 (Hot) - SA - SAF</t>
  </si>
  <si>
    <t>0066T00001AsyqoQAB</t>
  </si>
  <si>
    <t>Delivery Hero - K20 (Cold) - SA - SAF</t>
  </si>
  <si>
    <t>0066T00001AvTo3QAF</t>
  </si>
  <si>
    <t>Anas - Start Up</t>
  </si>
  <si>
    <t>0066T00001BT9iyQAD</t>
  </si>
  <si>
    <t>Arabian Food - Zohor 1</t>
  </si>
  <si>
    <t>0066T00001BT9jNQAT</t>
  </si>
  <si>
    <t>Arabian Food - Zohor 3</t>
  </si>
  <si>
    <t>0066T00001BaWb3QAF</t>
  </si>
  <si>
    <t>Black Barn - Kobe - Phizzle</t>
  </si>
  <si>
    <t>SA - JED - Mishrifah</t>
  </si>
  <si>
    <t>a1L6T00000nGqUaUAK</t>
  </si>
  <si>
    <t>K01 (Hot) - SA - MSF</t>
  </si>
  <si>
    <t>0066T00001BypjKQAR</t>
  </si>
  <si>
    <t>Delivery Hero - K01 (Cold) - SA - MSF</t>
  </si>
  <si>
    <t>a1L6T00000nGqUbUAK</t>
  </si>
  <si>
    <t>K02 (Hot) - SA - MSF</t>
  </si>
  <si>
    <t>0066T00001BypjUQAR</t>
  </si>
  <si>
    <t>Delivery Hero - K02 (Hot) - SA - MSF</t>
  </si>
  <si>
    <t>a1L6T00000nGqUcUAK</t>
  </si>
  <si>
    <t>K03 (Hot) - SA - MSF</t>
  </si>
  <si>
    <t>0066T00001BypjZQAR</t>
  </si>
  <si>
    <t>Delivery Hero - K03 (Hot) - SA - MSF</t>
  </si>
  <si>
    <t>a1L6T00000nGqUeUAK</t>
  </si>
  <si>
    <t>K05 (Hot) - SA - MSF</t>
  </si>
  <si>
    <t>0066T00001BypjeQAB</t>
  </si>
  <si>
    <t>Delivery Hero - K05 (Hot) - SA - MSF</t>
  </si>
  <si>
    <t>a1L6T00000nGqUhUAK</t>
  </si>
  <si>
    <t>K08 (Hot) - SA - MSF</t>
  </si>
  <si>
    <t>0066T00001BypjjQAB</t>
  </si>
  <si>
    <t>Delivery Hero - K08 (Hot) - SA - MSF</t>
  </si>
  <si>
    <t>a1L6T00000nGqUmUAK</t>
  </si>
  <si>
    <t>K13 (Hot) - SA - MSF</t>
  </si>
  <si>
    <t>0066T00001BypjtQAB</t>
  </si>
  <si>
    <t>Delivery Hero - K13 (Hot) - SA - MSF</t>
  </si>
  <si>
    <t>a1L6T00000nGqUqUAK</t>
  </si>
  <si>
    <t>K17 (Hot) - SA - MSF</t>
  </si>
  <si>
    <t>0066T00001BypjyQAB</t>
  </si>
  <si>
    <t>Delivery Hero - K17 (Hot) - SA - MSF</t>
  </si>
  <si>
    <t>a1L6T00000nGqUuUAK</t>
  </si>
  <si>
    <t>K21 (Hot) - SA - MSF</t>
  </si>
  <si>
    <t>0066T00001Bypk3QAB</t>
  </si>
  <si>
    <t>Delivery Hero - K21 (Hot) - SA - MSF</t>
  </si>
  <si>
    <t>a1L6T00000nGqUzUAK</t>
  </si>
  <si>
    <t>K26 (Hot) - SA - MSF</t>
  </si>
  <si>
    <t>0066T00001BypkDQAR</t>
  </si>
  <si>
    <t>Delivery Hero - K26 (Hot) - SA - MSF</t>
  </si>
  <si>
    <t>a1L6T00000nGqV2UAK</t>
  </si>
  <si>
    <t>K29 (Hot) - SA - MSF</t>
  </si>
  <si>
    <t>0066T00001BypkIQAR</t>
  </si>
  <si>
    <t>Delivery Hero - K29 (Hot) - SA - MSF</t>
  </si>
  <si>
    <t>a1L6T00000nGqUdUAK</t>
  </si>
  <si>
    <t>K04 (Hot) - SA - MSF</t>
  </si>
  <si>
    <t>0066T00001BypkXQAR</t>
  </si>
  <si>
    <t>Delivery Hero - K04 (Hot) - SA - MSF</t>
  </si>
  <si>
    <t>a1L6T00000nGqUfUAK</t>
  </si>
  <si>
    <t>K06 (Hot) - SA - MSF</t>
  </si>
  <si>
    <t>0066T00001BypkcQAB</t>
  </si>
  <si>
    <t>Delivery Hero - K06 (Hot) - SA - MSF</t>
  </si>
  <si>
    <t>a1L6T00000nGqUgUAK</t>
  </si>
  <si>
    <t>K07 (Hot) - SA - MSF</t>
  </si>
  <si>
    <t>0066T00001BypkhQAB</t>
  </si>
  <si>
    <t>Delivery Hero - K07 (Hot) - SA - MSF</t>
  </si>
  <si>
    <t>a1L6T00000nGqUjUAK</t>
  </si>
  <si>
    <t>K10 (Hot) - SA - MSF</t>
  </si>
  <si>
    <t>0066T00001BypkmQAB</t>
  </si>
  <si>
    <t>Delivery Hero - K10 (Hot) - SA - MSF</t>
  </si>
  <si>
    <t>a1L6T00000nGqUoUAK</t>
  </si>
  <si>
    <t>K15 (Cold) - SA - MSF</t>
  </si>
  <si>
    <t>0066T00001BypkwQAB</t>
  </si>
  <si>
    <t>Delivery Hero - K15 (Cold) - SA - MSF</t>
  </si>
  <si>
    <t>a1L6T00000nGqUvUAK</t>
  </si>
  <si>
    <t>K22 (Hot) - SA - MSF</t>
  </si>
  <si>
    <t>0066T00001Bypl1QAB</t>
  </si>
  <si>
    <t>Delivery Hero - K22 (Hot) - SA - MSF</t>
  </si>
  <si>
    <t>a1L6T00000nGqV0UAK</t>
  </si>
  <si>
    <t>K27 (Cold) - SA - MSF</t>
  </si>
  <si>
    <t>0066T00001Bypl6QAB</t>
  </si>
  <si>
    <t>Delivery Hero - K27 (Hot) - SA - MSF</t>
  </si>
  <si>
    <t>a1L6T00000nGqV3UAK</t>
  </si>
  <si>
    <t>K30 (Cold) - SA - MSF</t>
  </si>
  <si>
    <t>0066T00001ByplGQAR</t>
  </si>
  <si>
    <t>Delivery Hero - K30 (Cold) - SA - MSF</t>
  </si>
  <si>
    <t>a1L6T00000nGqUiUAK</t>
  </si>
  <si>
    <t>K09 (Hot) - SA - MSF</t>
  </si>
  <si>
    <t>0066T00001ByplVQAR</t>
  </si>
  <si>
    <t>Delivery Hero - K09 (Hot) - SA - MSF</t>
  </si>
  <si>
    <t>a1L6T00000nGqUkUAK</t>
  </si>
  <si>
    <t>K11 (Hot) - SA - MSF</t>
  </si>
  <si>
    <t>0066T00001ByplfQAB</t>
  </si>
  <si>
    <t>Delivery Hero - K11 (Hot) - SA - MSF</t>
  </si>
  <si>
    <t>a1L6T00000nGqUlUAK</t>
  </si>
  <si>
    <t>K12 (Hot) - SA - MSF</t>
  </si>
  <si>
    <t>0066T00001ByplkQAB</t>
  </si>
  <si>
    <t>Delivery Hero - K12 (Hot) - SA - MSF</t>
  </si>
  <si>
    <t>a1L6T00000nGqUrUAK</t>
  </si>
  <si>
    <t>K18 (Hot) - SA - MSF</t>
  </si>
  <si>
    <t>0066T00001ByplpQAB</t>
  </si>
  <si>
    <t>Delivery Hero - K18 (Hot) - SA - MSF</t>
  </si>
  <si>
    <t>a1L6T00000nGqUxUAK</t>
  </si>
  <si>
    <t>K24 (Hot) - SA - MSF</t>
  </si>
  <si>
    <t>0066T00001BypluQAB</t>
  </si>
  <si>
    <t>Delivery Hero - K24 (Hot) - SA - MSF</t>
  </si>
  <si>
    <t>a1L6T00000nGqUnUAK</t>
  </si>
  <si>
    <t>K14 (Cold) - SA - MSF</t>
  </si>
  <si>
    <t>0066T00001BypmnQAB</t>
  </si>
  <si>
    <t>Delivery Hero - K14 (Hot) - SA - MSF</t>
  </si>
  <si>
    <t>a1L6T00000nGqUpUAK</t>
  </si>
  <si>
    <t>K16 (Hot) - SA - MSF</t>
  </si>
  <si>
    <t>0066T00001BypmsQAB</t>
  </si>
  <si>
    <t>Delivery Hero - K16 (Cold) - SA - MSF</t>
  </si>
  <si>
    <t>a1L6T00000nGqUsUAK</t>
  </si>
  <si>
    <t>K19 (Hot) - SA - MSF</t>
  </si>
  <si>
    <t>0066T00001BypmxQAB</t>
  </si>
  <si>
    <t>Delivery Hero - K19 (Hot) - SA - MSF</t>
  </si>
  <si>
    <t>a1L6T00000nGqUwUAK</t>
  </si>
  <si>
    <t>K23 (Hot) - SA - MSF</t>
  </si>
  <si>
    <t>0066T00001Bypn2QAB</t>
  </si>
  <si>
    <t>Delivery Hero - K23 (Hot) - SA - MSF</t>
  </si>
  <si>
    <t>a1L6T00000nGqUtUAK</t>
  </si>
  <si>
    <t>K20 (Hot) - SA - MSF</t>
  </si>
  <si>
    <t>0066T00001BypnCQAR</t>
  </si>
  <si>
    <t>Delivery Hero - K20 (Hot) - SA - MSF</t>
  </si>
  <si>
    <t>a1L6T00000nGqUyUAK</t>
  </si>
  <si>
    <t>K25 (Hot) - SA - MSF</t>
  </si>
  <si>
    <t>0066T00001BypnHQAR</t>
  </si>
  <si>
    <t>Delivery Hero - K25 (Hot) - SA - MSF</t>
  </si>
  <si>
    <t>a1L6T00000nGqV1UAK</t>
  </si>
  <si>
    <t>K28 (Hot) - SA - MSF</t>
  </si>
  <si>
    <t>0066T00001BypnRQAR</t>
  </si>
  <si>
    <t>Delivery Hero - K28 (Hot) - SA - MSF</t>
  </si>
  <si>
    <t>006VO000003UM4bYAG</t>
  </si>
  <si>
    <t>Fudge &amp; Co</t>
  </si>
  <si>
    <t>006VO000005IC1RYAW</t>
  </si>
  <si>
    <t>Bander's Potato Aqiq</t>
  </si>
  <si>
    <t>006VO000007SnY1YAK</t>
  </si>
  <si>
    <t>TAKE</t>
  </si>
  <si>
    <t>006VO000009CLQDYA4</t>
  </si>
  <si>
    <t>Taj Holding - (QUR)</t>
  </si>
  <si>
    <t>006VO000009FAWXYA4</t>
  </si>
  <si>
    <t>Yogi - Member Transfer</t>
  </si>
  <si>
    <t>006VO00000BJ1BmYAL</t>
  </si>
  <si>
    <t>Acai vibe</t>
  </si>
  <si>
    <t>006VO00000Dto6NYAR</t>
  </si>
  <si>
    <t>30 Burger - Shaw Chicken</t>
  </si>
  <si>
    <t>006VO00000GFTN3YAP</t>
  </si>
  <si>
    <t>ROAST UP</t>
  </si>
  <si>
    <t>a1LVO0000033vRS2AY</t>
  </si>
  <si>
    <t>K31 Basement - SA - MSF</t>
  </si>
  <si>
    <t>006VO00000Gfgq6YAB</t>
  </si>
  <si>
    <t>Delivery Hero - K31(Basement) - SA - MSF</t>
  </si>
  <si>
    <t>BF</t>
  </si>
  <si>
    <t>a1LVO0000033vsr2AA</t>
  </si>
  <si>
    <t>K17 (Hot) - SA - JED - Marwa</t>
  </si>
  <si>
    <t>006VO00000Gfl09YAB</t>
  </si>
  <si>
    <t>Delivery Hero - K17 (Hot) - SA - JED - Marwa</t>
  </si>
  <si>
    <t>006VO00000I9vzBYAR</t>
  </si>
  <si>
    <t>Alajaji Bakeries - Sesame - Forn Sette</t>
  </si>
  <si>
    <t>006VO00000JYWKbYAP</t>
  </si>
  <si>
    <t>Karan Gulf Services - KSA-</t>
  </si>
  <si>
    <t>006VO00000K9XcMYAV</t>
  </si>
  <si>
    <t>Wafir Group - Member Transfer</t>
  </si>
  <si>
    <t>006VO00000LKloIYAT</t>
  </si>
  <si>
    <t>AlYasmen Company</t>
  </si>
  <si>
    <t>006VO00000LQOdiYAH</t>
  </si>
  <si>
    <t>Fish Face</t>
  </si>
  <si>
    <t>006VO00000LUn2PYAT</t>
  </si>
  <si>
    <t>006VO00000NgRGHYA3</t>
  </si>
  <si>
    <t>Right Calories Malga 1 - K14</t>
  </si>
  <si>
    <t>006VO00000Nhz6DYAR</t>
  </si>
  <si>
    <t>Cailu</t>
  </si>
  <si>
    <t>006VO00000NuDa1YAF</t>
  </si>
  <si>
    <t>Antab Baklava - Member Transfer</t>
  </si>
  <si>
    <t>006VO00000OlAXZYA3</t>
  </si>
  <si>
    <t>006VO00000Oy13RYAR</t>
  </si>
  <si>
    <t>Wolly's Italian UAH</t>
  </si>
  <si>
    <t>006VO00000OzyXhYAJ</t>
  </si>
  <si>
    <t>006VO00000PK6UJYA1</t>
  </si>
  <si>
    <t>Brisket SA - Member Transfer - Member Transfer</t>
  </si>
  <si>
    <t>006VO00000PgJmDYAV</t>
  </si>
  <si>
    <t>Taj Holding - (Pronto - Kaak - Sevens - It. Caffe), Wadi</t>
  </si>
  <si>
    <t>006VO00000Q0X6fYAF</t>
  </si>
  <si>
    <t>I'M Hungry King Faisal</t>
  </si>
  <si>
    <t>006VO00000QNd6YYAT</t>
  </si>
  <si>
    <t>I'M Hungry Salam</t>
  </si>
  <si>
    <t>006VO00000QNsNJYA1</t>
  </si>
  <si>
    <t>I'M Hungry Sweidi</t>
  </si>
  <si>
    <t>006VO00000QNsVNYA1</t>
  </si>
  <si>
    <t>I'M Hungry Aqiq</t>
  </si>
  <si>
    <t>006VO00000QNt01YAD</t>
  </si>
  <si>
    <t>I'M Hungry Laban</t>
  </si>
  <si>
    <t>006VO00000QNt9hYAD</t>
  </si>
  <si>
    <t>I'M Hungry King Fahd</t>
  </si>
  <si>
    <t>006VO00000QOKppYAH</t>
  </si>
  <si>
    <t>006VO00000QjuwjYAB</t>
  </si>
  <si>
    <t>Bebax coffee - KSA</t>
  </si>
  <si>
    <t>006VO00000RAb0LYAT</t>
  </si>
  <si>
    <t>Somas Kitchen Khaleej - Member Transfer</t>
  </si>
  <si>
    <t>006VO00000RUynUYAT</t>
  </si>
  <si>
    <t>Taj Holding - (JAR) - - Member Transfer - Member Transfer</t>
  </si>
  <si>
    <t>Maher Bouramia</t>
  </si>
  <si>
    <t>006VO00000SljHjYAJ</t>
  </si>
  <si>
    <t>Cassaro</t>
  </si>
  <si>
    <t>006VO00000Szll3YAB</t>
  </si>
  <si>
    <t>Planet Donuts KSA</t>
  </si>
  <si>
    <t>006VO00000T64Y5YAJ</t>
  </si>
  <si>
    <t>Elfatih Suliman Shawarma Start Up</t>
  </si>
  <si>
    <t>006VO00000TyYHRYA3</t>
  </si>
  <si>
    <t>Ruz AlAseel - Member Transfer</t>
  </si>
  <si>
    <t>006VO00000Tz6EIYAZ</t>
  </si>
  <si>
    <t>KSTRD</t>
  </si>
  <si>
    <t>GOFA</t>
  </si>
  <si>
    <t>006VO00000UVN5VYAX</t>
  </si>
  <si>
    <t>Romeno, Yasmin</t>
  </si>
  <si>
    <t>006VO00000UbbIfYAJ</t>
  </si>
  <si>
    <t>Kashta Group ( Kashth - Deal Burger - Gobblers - Broil - Shawirma Nahis )</t>
  </si>
  <si>
    <t>006VO00000VXS2MYAX</t>
  </si>
  <si>
    <t>The Big Brother</t>
  </si>
  <si>
    <t>006VO00000VYhiDYAT</t>
  </si>
  <si>
    <t>Bassam Burger Start Up</t>
  </si>
  <si>
    <t>006VO00000VnZvtYAF</t>
  </si>
  <si>
    <t>006VO00000W6Gm1YAF</t>
  </si>
  <si>
    <t>Biox - The Health Bar by RAW Laban</t>
  </si>
  <si>
    <t>006VO00000WCoTFYA1</t>
  </si>
  <si>
    <t>Oregano Pizzeria Sweidi - Member Transfer - Member Transfer</t>
  </si>
  <si>
    <t>006VO00000WbG8DYAV</t>
  </si>
  <si>
    <t>006VO00000WwxJpYAJ</t>
  </si>
  <si>
    <t>Farmeez Bakery &amp; Sweet - Flavors &amp; More, Malga2</t>
  </si>
  <si>
    <t>006VO00000X1iGvYAJ</t>
  </si>
  <si>
    <t>Zouq Luqma</t>
  </si>
  <si>
    <t>006VO00000X642kYAB</t>
  </si>
  <si>
    <t>Acai vibe khaleej</t>
  </si>
  <si>
    <t>006VO00000XAZEPYA5</t>
  </si>
  <si>
    <t>Farmeez Bakery &amp; Sweet - Flavors &amp; More, Olaya</t>
  </si>
  <si>
    <t>006VO00000XAa2PYAT</t>
  </si>
  <si>
    <t>Farmeez Bakery &amp; Sweet - Flavors &amp; More, Khaleej</t>
  </si>
  <si>
    <t>006VO00000XRUYTYA5</t>
  </si>
  <si>
    <t>Hoor Cafe</t>
  </si>
  <si>
    <t>006VO00000YaEwvYAF</t>
  </si>
  <si>
    <t>Ez Bakery ( Khalia Aziz ) - Member Transfer</t>
  </si>
  <si>
    <t>006VO00000YwhQsYAJ</t>
  </si>
  <si>
    <t>Chocomelt Jarir - Member Transfer</t>
  </si>
  <si>
    <t>006VO00000Yx7t7YAB</t>
  </si>
  <si>
    <t>Cookie Club 90 KSA - Member Transfer - Member Transfer</t>
  </si>
  <si>
    <t>006VO00000YyiIjYAJ</t>
  </si>
  <si>
    <t>Kcal - KSA - Salam</t>
  </si>
  <si>
    <t>006VO00000ZCdO1YAL</t>
  </si>
  <si>
    <t>Shawaya House, Malga2</t>
  </si>
  <si>
    <t>006VO00000ZOfttYAD</t>
  </si>
  <si>
    <t>Asrar Basitah Company (Asrar Al Chef - Chef Secrets)</t>
  </si>
  <si>
    <t>006VO00000ZPp81YAD</t>
  </si>
  <si>
    <t>Ibrahim Mandi Start Up</t>
  </si>
  <si>
    <t>006VO00000ZmYb7YAF</t>
  </si>
  <si>
    <t>La Creperie - Member Transfer - Member Transfer</t>
  </si>
  <si>
    <t>TAO Salam K23</t>
  </si>
  <si>
    <t>006VO00000bVrHGYA0</t>
  </si>
  <si>
    <t>Kabab hub - Member Transfer</t>
  </si>
  <si>
    <t>006VO00000bVsZtYAK</t>
  </si>
  <si>
    <t>Roma company Kebab hub - Well done - Member Transfer</t>
  </si>
  <si>
    <t>006VO00000bb4x1YAA</t>
  </si>
  <si>
    <t>Planet Donuts KSA - Member Transfer</t>
  </si>
  <si>
    <t>006VO00000bkHjhYAE</t>
  </si>
  <si>
    <t>Maison Loris - KSA - KF - K05 - Member Transfer</t>
  </si>
  <si>
    <t>006VO00000bkgjhYAA</t>
  </si>
  <si>
    <t>Maison Loris - KSA - KF - K07 - Member Transfer</t>
  </si>
  <si>
    <t>006VO00000bkhZJYAY</t>
  </si>
  <si>
    <t>Maison Loris - KSA - KF - K06 - Member Transfer</t>
  </si>
  <si>
    <t>006VO00000WgCiIYAV</t>
  </si>
  <si>
    <t>Romeno, Dahrat Laban</t>
  </si>
  <si>
    <t>006VO00000Y7vsPYAR</t>
  </si>
  <si>
    <t>Hazim Aldahiree Start Up</t>
  </si>
  <si>
    <t>006VO00000YmPyGYAV</t>
  </si>
  <si>
    <t>Shawaya House, Rakah</t>
  </si>
  <si>
    <t>006VO00000ZMuVdYAL</t>
  </si>
  <si>
    <t>Najla's Cuisine</t>
  </si>
  <si>
    <t>006VO00000ZSmlWYAT</t>
  </si>
  <si>
    <t>Jofenate - Dawood Ismail Start Up</t>
  </si>
  <si>
    <t>006VO00000ZwPrWYAV</t>
  </si>
  <si>
    <t>006VO00000WCVaHYAX</t>
  </si>
  <si>
    <t>Romeno, KFD</t>
  </si>
  <si>
    <t>006VO00000a9vqLYAQ</t>
  </si>
  <si>
    <t>Nukhba al Wasal</t>
  </si>
  <si>
    <t>006VO00000aXKfxYAG</t>
  </si>
  <si>
    <t>Mada Sweets</t>
  </si>
  <si>
    <t>006VO00000aXX3hYAG</t>
  </si>
  <si>
    <t>SA - JED - Nahda</t>
  </si>
  <si>
    <t>a1L5G000004NYGoUAO</t>
  </si>
  <si>
    <t>K02 (Hot) - SA - NHD</t>
  </si>
  <si>
    <t>006VO00000bLFV0YAO</t>
  </si>
  <si>
    <t>NART by Noor Makki K02</t>
  </si>
  <si>
    <t>a1L5G000004NYGsUAO</t>
  </si>
  <si>
    <t>K06 (Hot) - SA - NHD</t>
  </si>
  <si>
    <t>006VO00000bLRhTYAW</t>
  </si>
  <si>
    <t>NART by Noor Makki K06</t>
  </si>
  <si>
    <t>a1L5G000004NYGtUAO</t>
  </si>
  <si>
    <t>K07 (Hot) - SA - NHD</t>
  </si>
  <si>
    <t>006VO00000bLU7SYAW</t>
  </si>
  <si>
    <t>NART by Noor Makki K07</t>
  </si>
  <si>
    <t>a1L5G000004NYGxUAO</t>
  </si>
  <si>
    <t>K11 (Hot) - SA - NHD</t>
  </si>
  <si>
    <t>006VO00000bLU7TYAW</t>
  </si>
  <si>
    <t>NART by Noor Makki K11</t>
  </si>
  <si>
    <t>a1L5G000004NYGpUAO</t>
  </si>
  <si>
    <t>K03 (Hot) - SA - NHD</t>
  </si>
  <si>
    <t>006VO00000bLVLGYA4</t>
  </si>
  <si>
    <t>NART by Noor Makki K03</t>
  </si>
  <si>
    <t>a1L5G000004NYGyUAO</t>
  </si>
  <si>
    <t>K12 (Hot) - SA - NHD</t>
  </si>
  <si>
    <t>006VO00000bLVgEYAW</t>
  </si>
  <si>
    <t>NART by Noor Makki K12</t>
  </si>
  <si>
    <t>a1L5G000004NYGqUAO</t>
  </si>
  <si>
    <t>K04 (Hot) - SA - NHD</t>
  </si>
  <si>
    <t>006VO00000bLVoHYAW</t>
  </si>
  <si>
    <t>NART by Noor Makki K04</t>
  </si>
  <si>
    <t>a1L5G000004NYGwUAO</t>
  </si>
  <si>
    <t>K10 (Hot) - SA - NHD</t>
  </si>
  <si>
    <t>006VO00000bLVzaYAG</t>
  </si>
  <si>
    <t>NART by Noor Makki K10</t>
  </si>
  <si>
    <t>a1L5G000004NYGuUAO</t>
  </si>
  <si>
    <t>K08 (Cold) - SA - NHD</t>
  </si>
  <si>
    <t>006VO00000bLWafYAG</t>
  </si>
  <si>
    <t>NART by Noor Makki K08</t>
  </si>
  <si>
    <t>a1L5G000004NYGvUAO</t>
  </si>
  <si>
    <t>K09 (Cold) - SA - NHD</t>
  </si>
  <si>
    <t>006VO00000bLWdtYAG</t>
  </si>
  <si>
    <t>NART by Noor Makki K09</t>
  </si>
  <si>
    <t>a1L5G000004NYGrUAO</t>
  </si>
  <si>
    <t>K05 (Hot) - SA - NHD</t>
  </si>
  <si>
    <t>006VO00000bkW1CYAU</t>
  </si>
  <si>
    <t>NART by Noor Makki K05</t>
  </si>
  <si>
    <t>a1L5G000004NYGnUAO</t>
  </si>
  <si>
    <t>K01 (Hot) - SA - NHD</t>
  </si>
  <si>
    <t>006VO00000boxCTYAY</t>
  </si>
  <si>
    <t>NART by Noor Makki K01</t>
  </si>
  <si>
    <t>a1L5G000004NYHDUA4</t>
  </si>
  <si>
    <t>K27 (Hot) - SA - NHD</t>
  </si>
  <si>
    <t>a1L5G000004NYHCUA4</t>
  </si>
  <si>
    <t>K26 (Hot) - SA - NHD</t>
  </si>
  <si>
    <t>a1L5G000004NYHFUA4</t>
  </si>
  <si>
    <t>K29 (Cold) - SA - NHD</t>
  </si>
  <si>
    <t>a1L5G000004NYHEUA4</t>
  </si>
  <si>
    <t>K28 (Hot) - SA - NHD</t>
  </si>
  <si>
    <t>a1L5G000004NYHBUA4</t>
  </si>
  <si>
    <t>K25 (Cold) - SA - NHD</t>
  </si>
  <si>
    <t>a1L5G000004NYHAUA4</t>
  </si>
  <si>
    <t>K24 (Cold) - SA - NHD</t>
  </si>
  <si>
    <t>a1L5G000004NYH4UAO</t>
  </si>
  <si>
    <t>K18 (Hot) - SA - NHD</t>
  </si>
  <si>
    <t>a1L5G000004NYH3UAO</t>
  </si>
  <si>
    <t>K17 (Hot) - SA - NHD</t>
  </si>
  <si>
    <t>a1L5G000004NYH6UAO</t>
  </si>
  <si>
    <t>K20 (Hot) - SA - NHD</t>
  </si>
  <si>
    <t>a1L5G000004NYH5UAO</t>
  </si>
  <si>
    <t>K19 (Hot) - SA - NHD</t>
  </si>
  <si>
    <t>a1L5G000004NYH8UAO</t>
  </si>
  <si>
    <t>K22 (Hot) - SA - NHD</t>
  </si>
  <si>
    <t>a1L5G000004NYH7UAO</t>
  </si>
  <si>
    <t>K21 (Hot) - SA - NHD</t>
  </si>
  <si>
    <t>a1L5G000004NYH9UAO</t>
  </si>
  <si>
    <t>K23 (Hot) - SA - NHD</t>
  </si>
  <si>
    <t>a1L5G000004NYH0UAO</t>
  </si>
  <si>
    <t>K14 (Hot) - SA - NHD</t>
  </si>
  <si>
    <t>a1L5G000004NYH2UAO</t>
  </si>
  <si>
    <t>K16 (Hot) - SA - NHD</t>
  </si>
  <si>
    <t>a1L5G000004NYH1UAO</t>
  </si>
  <si>
    <t>K15 (Hot) - SA - NHD</t>
  </si>
  <si>
    <t>a1L5G000004NYGzUAO</t>
  </si>
  <si>
    <t>K13 (Hot) - SA - NHD</t>
  </si>
  <si>
    <t>AVERAGE of Floor Price</t>
  </si>
  <si>
    <t>AVERAGE of Monthly License Fee</t>
  </si>
  <si>
    <t>Delta</t>
  </si>
  <si>
    <t>Grand Total</t>
  </si>
  <si>
    <t>Real-time Sold Status</t>
  </si>
  <si>
    <t>Shawaya House, Malga2 - Churn Transfer</t>
  </si>
  <si>
    <t>006VO00000HIKMfYAP</t>
  </si>
  <si>
    <t>Subway - Sharidah Group</t>
  </si>
  <si>
    <t>006VO00000AqxkdYAB</t>
  </si>
  <si>
    <t>Deboned (KBR) - Delayed Transfer</t>
  </si>
  <si>
    <t>006VO00000Ar4FpYAJ</t>
  </si>
  <si>
    <t>Deboned KSA (KBR) - Delayed Transfer</t>
  </si>
  <si>
    <t>006VO00000GJYzFYAX</t>
  </si>
  <si>
    <t>Deboned.KSA (Zuhur) - Delayed Transfer - Member Transfer</t>
  </si>
  <si>
    <t>Jofenate - Dawood Ismail Start Up - Churn Transfer</t>
  </si>
  <si>
    <t>0065G00000aFhMaQAK</t>
  </si>
  <si>
    <t>Elfeshawy Restaurant</t>
  </si>
  <si>
    <t>AlYasmen Company - Churn Transfer</t>
  </si>
  <si>
    <t>Facility</t>
  </si>
  <si>
    <t>Live Date</t>
  </si>
  <si>
    <t>Years Since Live</t>
  </si>
  <si>
    <t>Multiplier (CPI based)</t>
  </si>
  <si>
    <t>Current Multiplier</t>
  </si>
  <si>
    <t>New Multiplier</t>
  </si>
  <si>
    <t>Country</t>
  </si>
  <si>
    <t>Account ID 18</t>
  </si>
  <si>
    <t>Floor Price Multiplier</t>
  </si>
  <si>
    <t>Total Kitchen Numbers</t>
  </si>
  <si>
    <t>UAE</t>
  </si>
  <si>
    <t>UAE - DXB - Marina (1)</t>
  </si>
  <si>
    <t>001VO00000eG7xlYAC</t>
  </si>
  <si>
    <t>UAE - DXB - Arjan (1)</t>
  </si>
  <si>
    <t>001VO00000eG7xmYAC</t>
  </si>
  <si>
    <t>Saudi Arabia</t>
  </si>
  <si>
    <t>SA - DMM - Ghirnatah</t>
  </si>
  <si>
    <t>001VO00000dL76VYAS</t>
  </si>
  <si>
    <t>SA - DMM - Hamra</t>
  </si>
  <si>
    <t>001VO00000dL76WYAS</t>
  </si>
  <si>
    <t>SA - DMM - Jamiah</t>
  </si>
  <si>
    <t>001VO00000dL76XYAS</t>
  </si>
  <si>
    <t>SA - DMM - Manar</t>
  </si>
  <si>
    <t>001VO00000dL76YYAS</t>
  </si>
  <si>
    <t>SA - DMM - Rabiah</t>
  </si>
  <si>
    <t>001VO00000dL76ZYAS</t>
  </si>
  <si>
    <t>SA - RUH - Yasmin (2)</t>
  </si>
  <si>
    <t>001VO00000jV2JlYAK</t>
  </si>
  <si>
    <t>SA - RUH - Qirawan</t>
  </si>
  <si>
    <t>001VO00000jxtBVYAY</t>
  </si>
  <si>
    <t>SA - RUH - Masiaf</t>
  </si>
  <si>
    <t>001VO00000lZGy6YAG</t>
  </si>
  <si>
    <t>UAE - AD - City of Light</t>
  </si>
  <si>
    <t>0015G00001kJJvaQAG</t>
  </si>
  <si>
    <t>UAE - DXB - Motor City (2)</t>
  </si>
  <si>
    <t>0015G00001mytdyQAA</t>
  </si>
  <si>
    <t>Kuwait</t>
  </si>
  <si>
    <t>KWT - KWC - Khaitan (1)</t>
  </si>
  <si>
    <t>0015G00001nxltJQAQ</t>
  </si>
  <si>
    <t>UAE - DXB - Uptown Mirdif (Do Not Use)</t>
  </si>
  <si>
    <t>0015G00001nzoQbQAI</t>
  </si>
  <si>
    <t>0015G00001o0c2eQAA</t>
  </si>
  <si>
    <t>SA - RUH - Taawun</t>
  </si>
  <si>
    <t>001VO00000Me82GYAR</t>
  </si>
  <si>
    <t>UAE - DXB - Hessa</t>
  </si>
  <si>
    <t>001VO00000Me94nYAB</t>
  </si>
  <si>
    <t>001VO00000MeClrYAF</t>
  </si>
  <si>
    <t>001VO00000MeJnGYAV</t>
  </si>
  <si>
    <t>KWT - KWC - Hawally (5)</t>
  </si>
  <si>
    <t>001VO00000MeKOOYA3</t>
  </si>
  <si>
    <t>KWT - KWC - Farwaniya</t>
  </si>
  <si>
    <t>0016T00002yN1oaQAC</t>
  </si>
  <si>
    <t>0016T00002yN6yLQAS</t>
  </si>
  <si>
    <t>0016T00002yN7BPQA0</t>
  </si>
  <si>
    <t>0016T00002zNqFUQA0</t>
  </si>
  <si>
    <t>KWT - KWC - Hawally (2)</t>
  </si>
  <si>
    <t>0015G00001ehhafQAA</t>
  </si>
  <si>
    <t>UAE - DXB - JLT (2)</t>
  </si>
  <si>
    <t>0015G00001ejUvVQAU</t>
  </si>
  <si>
    <t>KWT - KWC - Salmiya</t>
  </si>
  <si>
    <t>0015G00001feQrpQAE</t>
  </si>
  <si>
    <t>KWT - KWC - Sharq</t>
  </si>
  <si>
    <t>0015G00001gsM1JQAU</t>
  </si>
  <si>
    <t>KWT - KWC - Ardiya (1)</t>
  </si>
  <si>
    <t>0015G00001hcs12QAA</t>
  </si>
  <si>
    <t>UAE - DXB - Business Bay (2)</t>
  </si>
  <si>
    <t>001f400001LqldhAAB</t>
  </si>
  <si>
    <t>KWT - KWC - Qibla (1) Basement</t>
  </si>
  <si>
    <t>001f400001MElfxAAD</t>
  </si>
  <si>
    <t>KWT - KWC - Jahra (1) Mezz</t>
  </si>
  <si>
    <t>001f400001NW8IlAAL</t>
  </si>
  <si>
    <t>001f400001OfzR1AAJ</t>
  </si>
  <si>
    <t>UAE - DXB - Jabal Ali</t>
  </si>
  <si>
    <t>001VO00000la9uXYAQ</t>
  </si>
  <si>
    <t>KWT - KWC - Hawally (6)</t>
  </si>
  <si>
    <t>001VO00000lxWs7YAE</t>
  </si>
  <si>
    <t>SA - RUH - Al Fayhaa</t>
  </si>
  <si>
    <t>001VO00000nN7vtYAC</t>
  </si>
  <si>
    <t>SA - RUH - Izdihar</t>
  </si>
  <si>
    <t>001VO00000nNMEyYAO</t>
  </si>
  <si>
    <t>SA - RUH - Muruj</t>
  </si>
  <si>
    <t>001VO00000o8lbLYAQ</t>
  </si>
  <si>
    <t>001VO00000As8kQYAR</t>
  </si>
  <si>
    <t>KWT - KWC - Jahra (3)</t>
  </si>
  <si>
    <t>001VO00000BL0wNYAT</t>
  </si>
  <si>
    <t>001VO00000FJExxYAH</t>
  </si>
  <si>
    <t>UAE - SHJ - Falah</t>
  </si>
  <si>
    <t>001VO00000FrP1SYAV</t>
  </si>
  <si>
    <t>0016T00002zNqRbQAK</t>
  </si>
  <si>
    <t>UAE - SHJ - Centre</t>
  </si>
  <si>
    <t>0016T00002zQvwDQAS</t>
  </si>
  <si>
    <t>UAE - DXB - Deira</t>
  </si>
  <si>
    <t>0016T000030PG9ZQAW</t>
  </si>
  <si>
    <t>0016T000030PGBNQA4</t>
  </si>
  <si>
    <t>UAE - DXB - Sufouh</t>
  </si>
  <si>
    <t>0016T000030RZaCQAW</t>
  </si>
  <si>
    <t>0016T000031iBLBQA2</t>
  </si>
  <si>
    <t>KWT - KWC - Ardiya (2)</t>
  </si>
  <si>
    <t>0016T0000324dgbQAA</t>
  </si>
  <si>
    <t>UAE - DXB - Business Bay (3)</t>
  </si>
  <si>
    <t>0016T000032PcVVQA0</t>
  </si>
  <si>
    <t>0016T000033mUcnQAE</t>
  </si>
  <si>
    <t>UAE - AD - Al Nahyan</t>
  </si>
  <si>
    <t>0016T000033mUgCQAU</t>
  </si>
  <si>
    <t>0015G00001VbdBlQAJ</t>
  </si>
  <si>
    <t>UAE - DXB - DSO</t>
  </si>
  <si>
    <t>0015G00001VdhuVQAR</t>
  </si>
  <si>
    <t>KWT - KWC - Khairan</t>
  </si>
  <si>
    <t>0015G00001VdhvnQAB</t>
  </si>
  <si>
    <t>KWT - KWC - Qibla (2) Mezz</t>
  </si>
  <si>
    <t>0015G00001Vdr1dQAB</t>
  </si>
  <si>
    <t>KWT - KWC - Salwa</t>
  </si>
  <si>
    <t>0015G00001WRa3VQAT</t>
  </si>
  <si>
    <t>KWT - JAB - Jabriya (1)</t>
  </si>
  <si>
    <t>0015G00001poDOvQAM</t>
  </si>
  <si>
    <t>KWT - KWC - Andalous</t>
  </si>
  <si>
    <t>0015G00001poDXiQAM</t>
  </si>
  <si>
    <t>0015G00001rPI6wQAG</t>
  </si>
  <si>
    <t>0015G00001rPIEcQAO</t>
  </si>
  <si>
    <t>0015G00001toEDlQAM</t>
  </si>
  <si>
    <t>UAE - DXB - Bur Dubai (1)</t>
  </si>
  <si>
    <t>0016T00002sxDD3QAM</t>
  </si>
  <si>
    <t>0016T00002sxfEsQAI</t>
  </si>
  <si>
    <t>0016T00002sywBjQAI</t>
  </si>
  <si>
    <t>0016T00002uEpE7QAK</t>
  </si>
  <si>
    <t>KWT - KWC - Khaitan (2)</t>
  </si>
  <si>
    <t>0016T00002wVADmQAO</t>
  </si>
  <si>
    <t>0015G00001ut4RqQAI</t>
  </si>
  <si>
    <t>0015G00001zJwKEQA0</t>
  </si>
  <si>
    <t>KWT - KWC - Hawally (3)</t>
  </si>
  <si>
    <t>0015G00001zLlRlQAK</t>
  </si>
  <si>
    <t>0015G00001zMGhgQAG</t>
  </si>
  <si>
    <t>KWT - KWC - Hawally (4)</t>
  </si>
  <si>
    <t>0015G000023KoQ8QAK</t>
  </si>
  <si>
    <t>0015G000024S4D7QAK</t>
  </si>
  <si>
    <t>0015G000026xe9fQAA</t>
  </si>
  <si>
    <t>KWT - KWC - Bidaa</t>
  </si>
  <si>
    <t>0016T00002sDEO8QAO</t>
  </si>
  <si>
    <t>0016T00002sDIZUQA4</t>
  </si>
  <si>
    <t>0016T00002sDXopQAG</t>
  </si>
  <si>
    <t>0016T000033mUkUQAU</t>
  </si>
  <si>
    <t>0016T000035CVPmQAO</t>
  </si>
  <si>
    <t>UAE - DXB - IMPZ</t>
  </si>
  <si>
    <t>0016T000037JurdQAC</t>
  </si>
  <si>
    <t>UAE - DXB - Mirdif</t>
  </si>
  <si>
    <t>0016T000037gXM7QAM</t>
  </si>
  <si>
    <t>UAE - AN - Jimi</t>
  </si>
  <si>
    <t>001VO000005y2byYAA</t>
  </si>
  <si>
    <t>UAE - DXB - Wafi Mall</t>
  </si>
  <si>
    <t>001VO000006wlvyYAA</t>
  </si>
  <si>
    <t>001VO000009urHSYAY</t>
  </si>
  <si>
    <t>001VO00000AEYiSYAX</t>
  </si>
  <si>
    <t>UAE - DXB - Quoz (1)</t>
  </si>
  <si>
    <t>001VO00000NaeL3YAJ</t>
  </si>
  <si>
    <t>KWT - KWC - Salwa (2)</t>
  </si>
  <si>
    <t>001VO00000R1CkMYAV</t>
  </si>
  <si>
    <t>001VO00000RaJpNYAV</t>
  </si>
  <si>
    <t>KWT - JAB - Jabriya (2)</t>
  </si>
  <si>
    <t>001VO00000UkCrQYAV</t>
  </si>
  <si>
    <t>KWT - KWC - Messilah</t>
  </si>
  <si>
    <t>001VO00000UkWi0YAF</t>
  </si>
  <si>
    <t>UAE - DXB - Quoz (2)</t>
  </si>
  <si>
    <t>001VO00000UkZG2YAN</t>
  </si>
  <si>
    <t>001VO00000W4cPPYAZ</t>
  </si>
  <si>
    <t>SA - RUH - Sweidi (3)</t>
  </si>
  <si>
    <t>001VO00000cdJGGYA2</t>
  </si>
  <si>
    <t>UAE - DXB - Arjan (2)</t>
  </si>
  <si>
    <t>001VO00000cdMvhYAE</t>
  </si>
  <si>
    <t>SA - DMM - Adama</t>
  </si>
  <si>
    <t>001VO00000dL76UYAS</t>
  </si>
  <si>
    <t>SA - DMM - Uhud</t>
  </si>
  <si>
    <t>001VO00000dL76aYAC</t>
  </si>
  <si>
    <t>SA - KBR - Aqrabiya (2)</t>
  </si>
  <si>
    <t>001VO00000dL76bYAC</t>
  </si>
  <si>
    <t>SA - RUH - Ash Shifa</t>
  </si>
  <si>
    <t>001VO00000dL76cYAC</t>
  </si>
  <si>
    <t>001VO00000doIkuYAE</t>
  </si>
  <si>
    <t>SA - RUH - Sahafa</t>
  </si>
  <si>
    <t>001VO00000doJtqYAE</t>
  </si>
  <si>
    <t>001VO00000doOIPYA2</t>
  </si>
  <si>
    <t>SA - JED - Rabwa</t>
  </si>
  <si>
    <t>001VO00000fCBpiYAG</t>
  </si>
  <si>
    <t>SA - RUH - Yarmuk</t>
  </si>
  <si>
    <t>001VO00000fCgtcYAC</t>
  </si>
  <si>
    <t>UAE - DXB - Warsan</t>
  </si>
  <si>
    <t>001VO00000fD0nOYAS</t>
  </si>
  <si>
    <t>SA - RUH - Nasim</t>
  </si>
  <si>
    <t>001VO00000fTg2fYAC</t>
  </si>
  <si>
    <t>SA - RUH - Malga (3)</t>
  </si>
  <si>
    <t>001VO00000o8lg6YAA</t>
  </si>
  <si>
    <t>SA - RUH - Aqiq (3)</t>
  </si>
  <si>
    <t>001VO00000o8pJvYAI</t>
  </si>
  <si>
    <t>UAE - DXB - Business Bay (1)</t>
  </si>
  <si>
    <t>001f400001HXpHyAAL</t>
  </si>
  <si>
    <t>UAE - DXB - JLT (1)</t>
  </si>
  <si>
    <t>001f400001HXpHzAAL</t>
  </si>
  <si>
    <t>UAE - DXB - Motor City (1)</t>
  </si>
  <si>
    <t>001f400001HXpI0AAL</t>
  </si>
  <si>
    <t>KWT - KWC - Qurain</t>
  </si>
  <si>
    <t>001f400001HXpI6AAL</t>
  </si>
  <si>
    <t>001f400001HXpIIAA1</t>
  </si>
  <si>
    <t>001f400001HXpIJAA1</t>
  </si>
  <si>
    <t>001f400001HXpIKAA1</t>
  </si>
  <si>
    <t>KWT - KWC - Fahaheel</t>
  </si>
  <si>
    <t>001f400001QiqGJAAZ</t>
  </si>
  <si>
    <t>KWT - KWC - Jahra (2) Basement</t>
  </si>
  <si>
    <t>001f400001RgnoyAAB</t>
  </si>
  <si>
    <t>KWT - KWC - Hawally (1)</t>
  </si>
  <si>
    <t>001f400001UCUPCAA5</t>
  </si>
  <si>
    <t>SA - EP - ProFood Holding Facility</t>
  </si>
  <si>
    <t>001VO00000dgRLYYA2</t>
  </si>
  <si>
    <t>UAE - DXB - ProFood Holding Facility</t>
  </si>
  <si>
    <t>001VO00000dgVDtYAM</t>
  </si>
  <si>
    <t>SA - RUH - ProFood Holding Facility</t>
  </si>
  <si>
    <t>001VO00000dgZZFYA2</t>
  </si>
  <si>
    <t>KWT - KWC - ProFood Holding Facility</t>
  </si>
  <si>
    <t>001VO00000dgZkVYAU</t>
  </si>
  <si>
    <t>SA - JED - ProFood Holding Facility</t>
  </si>
  <si>
    <t>001VO00000dgeXFYAY</t>
  </si>
  <si>
    <t>UAE - AD - ProFood Holding Facility</t>
  </si>
  <si>
    <t>001VO00000dgetpYAA</t>
  </si>
  <si>
    <t>UAE - SHJ - Muwaileh - EK</t>
  </si>
  <si>
    <t>001VO00000hzvv6YAA</t>
  </si>
  <si>
    <t>UAE - DXB - Business Bay (3) - EK</t>
  </si>
  <si>
    <t>001VO00000i0VdZYAU</t>
  </si>
  <si>
    <t>UAE - DXB - Business Bay (4) - EK</t>
  </si>
  <si>
    <t>001VO00000i0VdaYAE</t>
  </si>
  <si>
    <t>UAE - DXB - Hessa (2) - EK</t>
  </si>
  <si>
    <t>001VO00000i0VdbYAE</t>
  </si>
  <si>
    <t>UAE - DXB - Hessa (3) - EK</t>
  </si>
  <si>
    <t>001VO00000i0VdcYAE</t>
  </si>
  <si>
    <t>UAE - DXB - Arjan (3) - EK</t>
  </si>
  <si>
    <t>001VO00000i0VddYAE</t>
  </si>
  <si>
    <t>UAE - AD - Raha (1) - EK</t>
  </si>
  <si>
    <t>001VO00000i0VdeYAE</t>
  </si>
  <si>
    <t>UAE - DXB - JLT (3) - EK</t>
  </si>
  <si>
    <t>001VO00000i0VdfYAE</t>
  </si>
  <si>
    <t>UAE - DXB - DSO (2) - EK</t>
  </si>
  <si>
    <t>001VO00000i0VdgYAE</t>
  </si>
  <si>
    <t>SA - RUH - Nuzha</t>
  </si>
  <si>
    <t>001VO00000pfQqqYAE</t>
  </si>
  <si>
    <t>SA - RUH - Arid (3)</t>
  </si>
  <si>
    <t>001VO00000qDlhaYAC</t>
  </si>
  <si>
    <t>SA - RUH - Sweidi (4)</t>
  </si>
  <si>
    <t>001VO00000qEDCMYA4</t>
  </si>
  <si>
    <t>SA - KBR - Aziziya</t>
  </si>
  <si>
    <t>001VO00000s2UPXYA2</t>
  </si>
  <si>
    <t>UAE - DXB - Business Bay (5) - CUI</t>
  </si>
  <si>
    <t>001VO00000sV9W9YAK</t>
  </si>
  <si>
    <t>001VO00000tcTirYAE</t>
  </si>
  <si>
    <t>UAE - DXB - DIC</t>
  </si>
  <si>
    <t>001VO00000u2MVgYAM</t>
  </si>
  <si>
    <t>SA - RUH - Zahra</t>
  </si>
  <si>
    <t>001VO00000u2MkAYAU</t>
  </si>
  <si>
    <t>SA - RUH - Munisiya</t>
  </si>
  <si>
    <t>001VO00000u2caSYAQ</t>
  </si>
  <si>
    <t>Status (Live / Not Live)</t>
  </si>
  <si>
    <t>Vacant Kitchens</t>
  </si>
  <si>
    <t>Sold Kitchens</t>
  </si>
  <si>
    <t>Occupied Kitchens</t>
  </si>
  <si>
    <t>Churning Kitchens</t>
  </si>
  <si>
    <t>Total Live Kitchens</t>
  </si>
  <si>
    <t>True Total Kitchens</t>
  </si>
  <si>
    <t>Sold Rate</t>
  </si>
  <si>
    <t>Occupancy</t>
  </si>
  <si>
    <t>Suggested Multiplier</t>
  </si>
  <si>
    <t>Difference</t>
  </si>
  <si>
    <t>Live</t>
  </si>
  <si>
    <t>Not Live</t>
  </si>
  <si>
    <t>Total Live</t>
  </si>
  <si>
    <t>Total</t>
  </si>
  <si>
    <t>SUM of Floor Price</t>
  </si>
  <si>
    <t>SUM of Kitchen Size (Sq. Meters)</t>
  </si>
  <si>
    <t>COUNTA of Account Name</t>
  </si>
  <si>
    <t>Size</t>
  </si>
  <si>
    <t/>
  </si>
  <si>
    <t>Columns</t>
  </si>
  <si>
    <t>Rows</t>
  </si>
  <si>
    <t>Values</t>
  </si>
  <si>
    <t>Seven Mahashi</t>
  </si>
  <si>
    <t>Tao</t>
  </si>
  <si>
    <t>Until 70%</t>
  </si>
  <si>
    <t>Current sold rate</t>
  </si>
  <si>
    <t>SQM</t>
  </si>
  <si>
    <t>Unitl 70%</t>
  </si>
  <si>
    <t>Until 70% 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</si>
</sst>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/dd/yyyy hh:mm:ss"/>
    <numFmt numFmtId="165" formatCode="dd/MM/yyyy"/>
    <numFmt numFmtId="166" formatCode="dd/mm/yyyy"/>
    <numFmt numFmtId="167" formatCode="d/m/yyyy"/>
    <numFmt numFmtId="168" formatCode="d&quot;-&quot;mmm&quot;-&quot;yy"/>
    <numFmt numFmtId="169" formatCode="mm/dd/yyyy"/>
    <numFmt numFmtId="170" formatCode="[$€]#,##0"/>
    <numFmt numFmtId="171" formatCode="[$$]#,##0"/>
    <numFmt numFmtId="172" formatCode="d-mmm-yy"/>
    <numFmt numFmtId="173" formatCode="0.00000000"/>
  </numFmts>
  <fonts count="15">
    <font>
      <sz val="10.0"/>
      <color rgb="FF000000"/>
      <name val="Arial"/>
      <scheme val="minor"/>
    </font>
    <font>
      <b/>
      <sz val="11.0"/>
      <color rgb="FFFFFFFF"/>
      <name val="Roboto"/>
    </font>
    <font>
      <color theme="1"/>
      <name val="Roboto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sz val="10.0"/>
      <color theme="1"/>
      <name val="Arial"/>
      <scheme val="minor"/>
    </font>
    <font>
      <color theme="1"/>
      <name val="Arial"/>
    </font>
    <font>
      <sz val="11.0"/>
      <color rgb="FF1F1F1F"/>
      <name val="&quot;Google Sans&quot;"/>
    </font>
  </fonts>
  <fills count="10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FF0000"/>
        <bgColor rgb="FFFF0000"/>
      </patternFill>
    </fill>
    <fill>
      <patternFill patternType="solid">
        <fgColor rgb="FFF4F6F8"/>
        <bgColor rgb="FFF4F6F8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0" fontId="4" numFmtId="0" xfId="0" applyFont="1"/>
    <xf borderId="0" fillId="5" fontId="4" numFmtId="0" xfId="0" applyAlignment="1" applyFill="1" applyFont="1">
      <alignment readingOrder="0"/>
    </xf>
    <xf borderId="0" fillId="5" fontId="4" numFmtId="0" xfId="0" applyAlignment="1" applyFont="1">
      <alignment readingOrder="0"/>
    </xf>
    <xf borderId="0" fillId="0" fontId="4" numFmtId="165" xfId="0" applyFont="1" applyNumberFormat="1"/>
    <xf borderId="0" fillId="5" fontId="4" numFmtId="4" xfId="0" applyAlignment="1" applyFont="1" applyNumberFormat="1">
      <alignment readingOrder="0"/>
    </xf>
    <xf borderId="0" fillId="5" fontId="4" numFmtId="0" xfId="0" applyAlignment="1" applyFont="1">
      <alignment readingOrder="0"/>
    </xf>
    <xf borderId="0" fillId="5" fontId="4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" xfId="0" applyFont="1" applyNumberFormat="1"/>
    <xf borderId="0" fillId="0" fontId="4" numFmtId="10" xfId="0" applyFont="1" applyNumberFormat="1"/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4" numFmtId="167" xfId="0" applyAlignment="1" applyFont="1" applyNumberFormat="1">
      <alignment readingOrder="0"/>
    </xf>
    <xf borderId="0" fillId="6" fontId="5" numFmtId="0" xfId="0" applyFill="1" applyFont="1"/>
    <xf borderId="0" fillId="0" fontId="6" numFmtId="0" xfId="0" applyFont="1"/>
    <xf borderId="0" fillId="0" fontId="4" numFmtId="168" xfId="0" applyFont="1" applyNumberFormat="1"/>
    <xf borderId="0" fillId="0" fontId="7" numFmtId="165" xfId="0" applyFont="1" applyNumberFormat="1"/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169" xfId="0" applyFont="1" applyNumberFormat="1"/>
    <xf borderId="0" fillId="0" fontId="9" numFmtId="170" xfId="0" applyFont="1" applyNumberFormat="1"/>
    <xf borderId="0" fillId="0" fontId="10" numFmtId="0" xfId="0" applyAlignment="1" applyFont="1">
      <alignment readingOrder="0"/>
    </xf>
    <xf borderId="0" fillId="0" fontId="11" numFmtId="171" xfId="0" applyFont="1" applyNumberFormat="1"/>
    <xf borderId="0" fillId="0" fontId="4" numFmtId="172" xfId="0" applyFont="1" applyNumberFormat="1"/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0" fontId="4" numFmtId="173" xfId="0" applyFont="1" applyNumberFormat="1"/>
    <xf borderId="0" fillId="0" fontId="4" numFmtId="3" xfId="0" applyFont="1" applyNumberFormat="1"/>
    <xf borderId="0" fillId="0" fontId="4" numFmtId="4" xfId="0" applyFont="1" applyNumberFormat="1"/>
    <xf borderId="0" fillId="0" fontId="12" numFmtId="0" xfId="0" applyFont="1"/>
    <xf borderId="0" fillId="7" fontId="4" numFmtId="0" xfId="0" applyFill="1" applyFont="1"/>
    <xf borderId="0" fillId="8" fontId="4" numFmtId="0" xfId="0" applyFill="1" applyFont="1"/>
    <xf borderId="0" fillId="8" fontId="4" numFmtId="165" xfId="0" applyFont="1" applyNumberFormat="1"/>
    <xf borderId="0" fillId="8" fontId="3" numFmtId="0" xfId="0" applyAlignment="1" applyFont="1">
      <alignment readingOrder="0"/>
    </xf>
    <xf borderId="0" fillId="9" fontId="4" numFmtId="0" xfId="0" applyFill="1" applyFont="1"/>
    <xf borderId="0" fillId="9" fontId="4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4" numFmtId="0" xfId="0" applyAlignment="1" applyFont="1">
      <alignment readingOrder="0"/>
    </xf>
    <xf borderId="0" fillId="5" fontId="4" numFmtId="0" xfId="0" applyFont="1"/>
    <xf borderId="0" fillId="0" fontId="4" numFmtId="166" xfId="0" applyFont="1" applyNumberFormat="1"/>
    <xf borderId="0" fillId="5" fontId="13" numFmtId="0" xfId="0" applyAlignment="1" applyFont="1">
      <alignment vertical="bottom"/>
    </xf>
    <xf borderId="0" fillId="5" fontId="14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pivotCacheDefinition" Target="pivotCache/pivotCacheDefinition2.xml"/><Relationship Id="rId74" Type="http://schemas.openxmlformats.org/officeDocument/2006/relationships/pivotCacheDefinition" Target="pivotCache/pivotCacheDefinition1.xml"/><Relationship Id="rId77" Type="http://schemas.openxmlformats.org/officeDocument/2006/relationships/pivotCacheDefinition" Target="pivotCache/pivotCacheDefinition4.xml"/><Relationship Id="rId76" Type="http://schemas.openxmlformats.org/officeDocument/2006/relationships/pivotCacheDefinition" Target="pivotCache/pivotCacheDefinition3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ocumenttasks/documenttask1.xml><?xml version="1.0" encoding="utf-8"?>
<Tasks xmlns="http://schemas.microsoft.com/office/tasks/2019/documenttasks">
  <Task id="{901bb175-72de-4b3c-b4b7-1010b249b5e4}">
    <Anchor>
      <Comment id="{0c86671e-baa1-44fb-83e4-b18e85c40fc1}"/>
    </Anchor>
    <History>
      <Event time="2024-09-17T11:26:56.00" id="{3eb32ddc-b28c-451f-a3f7-059915f48cc5}">
        <Attribution userId="placeholder@email.com" userName="Deleted user" userProvider="google-sheets"/>
        <Anchor>
          <Comment id="{0c86671e-baa1-44fb-83e4-b18e85c40fc1}"/>
        </Anchor>
        <Create/>
      </Event>
      <Event time="2024-09-17T11:26:56.00" id="{47c8dc30-dd52-47b7-b9d3-12aa1a7e0e81}">
        <Attribution userId="placeholder@email.com" userName="Deleted user" userProvider="google-sheets"/>
        <Anchor>
          <Comment id="{0c86671e-baa1-44fb-83e4-b18e85c40fc1}"/>
        </Anchor>
        <Assign userId="jad.hajjar@cloudkitchens.com" userName="jad.hajjar@cloudkitchens.com" userProvider="google-sheets"/>
      </Event>
    </History>
  </Task>
  <Task id="{8aeedc04-32c6-4876-902a-87ae2c9d6be6}">
    <Anchor>
      <Comment id="{8a3eafe4-adaa-4360-8fc4-2c41c542e6c1}"/>
    </Anchor>
    <History>
      <Event time="2024-07-05T12:18:29.00" id="{3f26543d-e191-4669-baec-d44668b8c574}">
        <Attribution userId="placeholder@email.com" userName="Mark Grehan" userProvider="google-sheets"/>
        <Anchor>
          <Comment id="{8a3eafe4-adaa-4360-8fc4-2c41c542e6c1}"/>
        </Anchor>
        <Create/>
      </Event>
      <Event time="2024-07-05T12:18:29.00" id="{360f8087-0530-482f-8dd2-75ee5d820f80}">
        <Attribution userId="placeholder@email.com" userName="Mark Grehan" userProvider="google-sheets"/>
        <Anchor>
          <Comment id="{8a3eafe4-adaa-4360-8fc4-2c41c542e6c1}"/>
        </Anchor>
        <Assign userId="jad.hajjar@cloudkitchens.com" userName="jad.hajjar@cloudkitchens.com" userProvider="google-sheets"/>
      </Event>
    </History>
  </Task>
  <Task id="{e9ec444f-94d4-4783-99cb-cd7c2c15e245}">
    <Anchor>
      <Comment id="{42f6ac60-432c-429b-9ca8-6b2f2348f948}"/>
    </Anchor>
    <History>
      <Event time="2024-10-01T07:13:36.00" id="{0654c267-51a2-4a5b-9511-573bc140d935}">
        <Attribution userId="placeholder@email.com" userName="Mark Grehan" userProvider="google-sheets"/>
        <Anchor>
          <Comment id="{42f6ac60-432c-429b-9ca8-6b2f2348f948}"/>
        </Anchor>
        <Create/>
      </Event>
      <Event time="2024-10-01T07:13:36.00" id="{384ca20e-32c8-4f49-8d76-c59492c712db}">
        <Attribution userId="placeholder@email.com" userName="Mark Grehan" userProvider="google-sheets"/>
        <Anchor>
          <Comment id="{42f6ac60-432c-429b-9ca8-6b2f2348f948}"/>
        </Anchor>
        <Assign userId="jad.hajjar@cloudkitchens.com" userName="jad.hajjar@cloudkitchens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2da9e551-60ca-4183-b0db-58a5c6394180}">
    <Anchor>
      <Comment id="{818ace08-5d3d-44f6-b2bb-f602638e498f}"/>
    </Anchor>
    <History>
      <Event time="2023-12-06T10:35:52.00" id="{23199d20-a02f-4832-a3db-b4b86d8f6cf0}">
        <Attribution userId="placeholder@email.com" userName="Mark Grehan" userProvider="google-sheets"/>
        <Anchor>
          <Comment id="{818ace08-5d3d-44f6-b2bb-f602638e498f}"/>
        </Anchor>
        <Create/>
      </Event>
      <Event time="2023-12-06T10:35:52.00" id="{85bae090-4fd5-4a27-ae88-a1a3a9ef5140}">
        <Attribution userId="placeholder@email.com" userName="Mark Grehan" userProvider="google-sheets"/>
        <Anchor>
          <Comment id="{818ace08-5d3d-44f6-b2bb-f602638e498f}"/>
        </Anchor>
        <Assign userId="jad.hajjar@cloudkitchens.com" userName="jad.hajjar@cloudkitchens.com" userProvider="google-sheets"/>
      </Event>
    </History>
  </Task>
</Tasks>
</file>

<file path=xl/documenttasks/documenttask4.xml><?xml version="1.0" encoding="utf-8"?>
<Tasks xmlns="http://schemas.microsoft.com/office/tasks/2019/documenttasks">
  <Task id="{9294adc1-1860-4e0a-9b78-101881f71340}">
    <Anchor>
      <Comment id="{fad9a645-c4d9-4b47-b35c-2a08147b71e0}"/>
    </Anchor>
    <History>
      <Event time="2024-07-04T10:58:00.00" id="{f0b1818f-ea2d-4a48-8615-e60d2fabf3db}">
        <Attribution userId="placeholder@email.com" userName="Deleted user" userProvider="google-sheets"/>
        <Anchor>
          <Comment id="{fad9a645-c4d9-4b47-b35c-2a08147b71e0}"/>
        </Anchor>
        <Create/>
      </Event>
      <Event time="2024-07-04T10:58:00.00" id="{f13c5794-bcb9-40b0-86d5-c444cf038764}">
        <Attribution userId="placeholder@email.com" userName="Deleted user" userProvider="google-sheets"/>
        <Anchor>
          <Comment id="{fad9a645-c4d9-4b47-b35c-2a08147b71e0}"/>
        </Anchor>
        <Assign userId="mark.grehan@cloudkitchens.com" userName="mark.grehan@cloudkitchens.com" userProvider="google-sheets"/>
      </Event>
    </History>
  </Task>
</Tasks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k Grehan" id="{bcb289bd-6f14-4f63-bce9-6dd2fb944f55}" providerId="google-sheets"/>
  <x18tc:person displayName="Jad Hajjar" id="{0dd1fc10-5f62-4a7e-8071-4f6e12c8d5de}" providerId="google-sheets"/>
  <x18tc:person displayName="mark.grehan@cloudkitchens.com" id="{dd39ffc0-13b3-40fa-b6f7-d22242acfc20}" userId="mark.grehan@cloudkitchens.com" providerId="google-sheets"/>
  <x18tc:person displayName="Toufic Daher" id="{6a9191c7-4e4e-49ac-b3f7-4fa287cbf379}" providerId="google-sheets"/>
  <x18tc:person displayName="Deleted user" id="{ed0d0f69-1142-4fca-9236-27f985ce2678}" providerId="google-sheets"/>
  <x18tc:person displayName="tala.zeineddine@cloudkitchens.com" id="{343d3d60-dff0-484e-8d10-ab2a3f2ea7ff}" userId="tala.zeineddine@cloudkitchens.com" providerId="google-sheets"/>
  <x18tc:person displayName="toufic.daher@cloudkitchens.com" id="{c482bb0f-ed38-4492-8605-2f217d0cda01}" userId="toufic.daher@cloudkitchens.com" providerId="google-sheets"/>
  <x18tc:person displayName="jad.hajjar@cloudkitchens.com" id="{b6e25def-f7c8-4623-9e80-46bb43fed0e7}" userId="jad.hajjar@cloudkitchens.com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984" sheet="LF Comp"/>
  </cacheSource>
  <cacheFields>
    <cacheField name="Account Name" numFmtId="0">
      <sharedItems>
        <s v="SA - JED - Rehab"/>
        <s v="SA - RUH - Aqiq"/>
        <s v="SA - JED - Safa"/>
        <s v="SA - RUH - Arid (2)"/>
        <s v="SA - RUH - Mursalat"/>
        <s v="SA - RUH - Malga (1)"/>
        <s v="SA - QSM - Al Bishr"/>
        <s v="SA - RUH - Khaleej"/>
        <s v="SA - RUH - Dahrat Laban"/>
        <s v="SA - DMM - Rawda"/>
        <s v="SA - RUH - Sweidi"/>
        <s v="SA - RUH - Olaya"/>
        <s v="SA - RUH - Wadi"/>
        <s v="SA - RUH - Qurtoba"/>
        <s v="SA - DMM - Zuhur"/>
        <s v="SA - RUH - Narjis"/>
        <s v="SA - KBR - Aqrabiya"/>
        <s v="SA - RUH - Salam"/>
        <s v="SA - RUH - Yasmin"/>
        <s v="SA - RUH - King Faisal"/>
        <s v="SA - RUH - Malga (2)"/>
        <s v="SA - RUH - King Fahd"/>
        <s v="SA - RUH - Jarir"/>
        <s v="SA - JED - Bawadi"/>
        <s v="SA - JED - Marwa"/>
        <s v="SA - RUH - Sulimaniyah"/>
        <s v="SA - JED - Mishrifah"/>
        <s v="SA - AHS - Hofuf"/>
        <s v="SA - RUH - Arid (1)"/>
        <s v="SA - RUH - Rawda"/>
        <s v="SA - RUH - Tuwaiq"/>
        <s v="BH - MAN - Umm al Hassam"/>
        <s v="BH - MAN - Isa Town"/>
        <s v="SA - RUH - Sweidi (2)"/>
        <s v="SA - DMM - Ghirnatah (2)"/>
        <s v="SA - KBR - Rakah"/>
        <s v="SA - RUH - Wurud"/>
        <s v="SA - JED - Nahda"/>
        <s v="SA - RUH - Aqiq (2)"/>
        <s v="SA - RUH - Al Nazim"/>
      </sharedItems>
    </cacheField>
    <cacheField name="Type" numFmtId="0">
      <sharedItems containsBlank="1">
        <s v="Hot"/>
        <s v="CPU"/>
        <s v="Cold"/>
        <s v="Hot Kitchen"/>
        <s v="N/A"/>
        <m/>
      </sharedItems>
    </cacheField>
    <cacheField name="Category" numFmtId="0">
      <sharedItems containsBlank="1">
        <s v="F"/>
        <s v="D"/>
        <s v="X"/>
        <s v="Cold"/>
        <s v="B"/>
        <s v="C"/>
        <s v="E"/>
        <s v="A"/>
        <s v="G"/>
        <s v="EXP2"/>
        <s v="EXP1"/>
        <s v="EXP"/>
        <s v="H"/>
        <m/>
        <s v="N/A"/>
        <s v="Retail Space"/>
        <s v="J"/>
        <s v="I"/>
        <s v="K"/>
      </sharedItems>
    </cacheField>
    <cacheField name="Kitchen Number ID 18" numFmtId="0">
      <sharedItems>
        <s v="a1L6T00000iJ1DzUAK"/>
        <s v="a1L6T00000iJ1DyUAK"/>
        <s v="a1LVO000003qvTV2AY"/>
        <s v="a1L5G000004NcycUAC"/>
        <s v="a1L5G000004NcybUAC"/>
        <s v="a1L5G000004NcyeUAC"/>
        <s v="a1L5G000004NcydUAC"/>
        <s v="a1L5G000004NcygUAC"/>
        <s v="a1L5G000004NcyfUAC"/>
        <s v="a1L5G000004NcyhUAC"/>
        <s v="a1LVO000004E6sr2AC"/>
        <s v="a1LVO000004E6w52AC"/>
        <s v="a1LVO000004E7H32AK"/>
        <s v="a1LVO000002yMFp2AM"/>
        <s v="a1LVO000002yMHR2A2"/>
        <s v="a1LVO000002yMJ32AM"/>
        <s v="a1LVO000002yMAz2AM"/>
        <s v="a1LVO000002yMCb2AM"/>
        <s v="a1LVO000002yMED2A2"/>
        <s v="a1LVO000002yM9N2AU"/>
        <s v="a1LVO000002yM7l2AE"/>
        <s v="a1LVO000002yMfd2AE"/>
        <s v="a1LVO000002yMhF2AU"/>
        <s v="a1LVO000002yMcP2AU"/>
        <s v="a1LVO000002yMe12AE"/>
        <s v="a1LVO000002yMan2AE"/>
        <s v="a1LVO000002yMVx2AM"/>
        <s v="a1LVO000002yMXZ2A2"/>
        <s v="a1LVO000002yMZB2A2"/>
        <s v="a1LVO000002yMSj2AM"/>
        <s v="a1LVO000002yMUL2A2"/>
        <s v="a1LVO000002yMNt2AM"/>
        <s v="a1LVO000002yMPV2A2"/>
        <s v="a1LVO000002yMR72AM"/>
        <s v="a1LVO000002yMKf2AM"/>
        <s v="a1LVO000002yMMH2A2"/>
        <s v="a1L5G000004NKhtUAG"/>
        <s v="a1L5G000004NKhvUAG"/>
        <s v="a1L5G000004NKhwUAG"/>
        <s v="a1L5G000004NKhlUAG"/>
        <s v="a1L6T00000d2MvuUAE"/>
        <s v="a1L5G000004NSi2UAG"/>
        <s v="a1L5G000004TzmlUAC"/>
        <s v="a1L5G000004NSiAUAW"/>
        <s v="a1L6T00000iJ1ETUA0"/>
        <s v="a1L5G000004TzipUAC"/>
        <s v="a1L5G000004TzkQUAS"/>
        <s v="a1L5G000004TzkLUAS"/>
        <s v="a1L5G000004TzjhUAC"/>
        <s v="a1L5G000004TzpbUAC"/>
        <s v="a1L5G000004TzqxUAC"/>
        <s v="a1L5G000004TzsUUAS"/>
        <s v="a1L5G000004TzrbUAC"/>
        <s v="a1L5G000004Tzn5UAC"/>
        <s v="a1L5G000004TznPUAS"/>
        <s v="a1L5G000004NecqUAC"/>
        <s v="a1LVO000004E6rF2AS"/>
        <s v="a1L6T00000iJA2CUAW"/>
        <s v="a1L5G000004NYIEUA4"/>
        <s v="a1L5G000004NYIDUA4"/>
        <s v="a1L5G000004NYI6UAO"/>
        <s v="a1L6T00000jqkpMUAQ"/>
        <s v="a1L5G000004NGZOUA4"/>
        <s v="a1L6T00000iJdvYUAS"/>
        <s v="a1L5G000004NKhqUAG"/>
        <s v="a1L5G000004NKhsUAG"/>
        <s v="a1L6T00000iJ1EAUA0"/>
        <s v="a1L6T00000iJ1EBUA0"/>
        <s v="a1L6T00000iJ1ECUA0"/>
        <s v="a1L6T00000iJ1EDUA0"/>
        <s v="a1L6T00000kcQBKUA2"/>
        <s v="a1LVO000004WfDq2AK"/>
        <s v="a1LVO000004WfDp2AK"/>
        <s v="a1L5G000004OE0BUAW"/>
        <s v="a1L5G000004NtR9UAK"/>
        <s v="a1L5G000004NtRTUA0"/>
        <s v="a1L6T00000d2MvBUAU"/>
        <s v="a1L6T00000jr3nSUAQ"/>
        <s v="a1L5G000004Tzk1UAC"/>
        <s v="a1L5G000004TzkBUAS"/>
        <s v="a1L5G000004TzpfUAC"/>
        <s v="a1L5G000004TzlTUAS"/>
        <s v="a1L5G000004NSfYUAW"/>
        <s v="a1L5G000004NShrUAG"/>
        <s v="a1L5G000004TzjmUAC"/>
        <s v="a1L5G000004TzijUAC"/>
        <s v="a1L5G000004OE0KUAW"/>
        <s v="a1L5G000004TzpkUAC"/>
        <s v="a1L5G000004TzqjUAC"/>
        <s v="a1L5G000004NSi8UAG"/>
        <s v="a1L5G000004Nx5eUAC"/>
        <s v="a1L5G000004NtRYUA0"/>
        <s v="a1L5G000004TzjcUAC"/>
        <s v="a1L5G000004NYI4UAO"/>
        <s v="a1L5G000004NYILUA4"/>
        <s v="a1L5G000004NSi6UAG"/>
        <s v="a1L5G000004NSiEUAW"/>
        <s v="a1L5G000004NsYcUAK"/>
        <s v="a1L5G000004NsYTUA0"/>
        <s v="a1L5G000004OE0PUAW"/>
        <s v="a1L5G000004NsYsUAK"/>
        <s v="a1L5G000004TziPUAS"/>
        <s v="a1L5G000004OE0ZUAW"/>
        <s v="a1L5G000004NKhiUAG"/>
        <s v="a1L5G000004OMh7UAG"/>
        <s v="a1L5G000004OMgfUAG"/>
        <s v="a1L5G000004OMh0UAG"/>
        <s v="a1L5G000004OMh3UAG"/>
        <s v="a1L5G000004OMh5UAG"/>
        <s v="a1L5G000004OMh4UAG"/>
        <s v="a1L5G000004OMh9UAG"/>
        <s v="a1L6T00000jqvBkUAI"/>
        <s v="a1L5G000004OMgzUAG"/>
        <s v="a1L5G000004OMh1UAG"/>
        <s v="a1L5G000004OMgpUAG"/>
        <s v="a1L5G000004OMgwUAG"/>
        <s v="a1L5G000004OMgyUAG"/>
        <s v="a1L5G000004OMgoUAG"/>
        <s v="a1L5G000004OMgtUAG"/>
        <s v="a1L5G000004OMgsUAG"/>
        <s v="a1L5G000004OMgvUAG"/>
        <s v="a1L5G000004OMguUAG"/>
        <s v="a1L5G000004OMglUAG"/>
        <s v="a1L5G000004OMgnUAG"/>
        <s v="a1L5G000004OMgeUAG"/>
        <s v="a1L5G000004OMgqUAG"/>
        <s v="a1L5G000004OMghUAG"/>
        <s v="a1L5G000004OMgjUAG"/>
        <s v="a1L6T00000jqvBfUAI"/>
        <s v="a1L5G000004OMgiUAG"/>
        <s v="a1L6T00000jqvBgUAI"/>
        <s v="a1L5G000004OMgkUAG"/>
        <s v="a1L6T00000jqvBnUAI"/>
        <s v="a1L6T00000jqvBpUAI"/>
        <s v="a1L6T00000jqvBbUAI"/>
        <s v="a1L6T00000jqvBlUAI"/>
        <s v="a1L6T00000jqvBmUAI"/>
        <s v="a1L6T00000jqvBcUAI"/>
        <s v="a1L5G000004NcyWUAS"/>
        <s v="a1L6T00000jqvBhUAI"/>
        <s v="a1L6T00000jqvBdUAI"/>
        <s v="a1L6T00000jqvBeUAI"/>
        <s v="a1L6T00000jqvBjUAI"/>
        <s v="a1L6T00000jqvBiUAI"/>
        <s v="a1L6T00000jqvBoUAI"/>
        <s v="a1L6T00000jqvBaUAI"/>
        <s v="a1L6T00000iJ1DjUAK"/>
        <s v="a1L5G000004NcyGUAS"/>
        <s v="a1L6T00000iJ1DpUAK"/>
        <s v="a1L6T00000iJ1DrUAK"/>
        <s v="a1L6T00000iJ1DlUAK"/>
        <s v="a1L6T00000iJ1DoUAK"/>
        <s v="a1L6T00000iJ1DxUAK"/>
        <s v="a1L6T00000iJ1DhUAK"/>
        <s v="a1L6T00000iJ1DiUAK"/>
        <s v="a1L6T00000iJ1DkUAK"/>
        <s v="a1L6T00000iJ1DqUAK"/>
        <s v="a1L6T00000iJ1DsUAK"/>
        <s v="a1L6T00000iJ1DtUAK"/>
        <s v="a1L6T00000iJ1DuUAK"/>
        <s v="a1L6T00000iJ1DvUAK"/>
        <s v="a1L6T00000iJ1DwUAK"/>
        <s v="a1L6T00000iJ1DgUAK"/>
        <s v="a1L6T00000iJ1DmUAK"/>
        <s v="a1L6T00000iJ1DnUAK"/>
        <s v="a1L5G000004NcyLUAS"/>
        <s v="a1L5G000004NcyEUAS"/>
        <s v="a1L5G000004NcyDUAS"/>
        <s v="a1L5G000004NcyHUAS"/>
        <s v="a1L5G000004NcyYUAS"/>
        <s v="a1L5G000004NcyMUAS"/>
        <s v="a1L5G000004NcyOUAS"/>
        <s v="a1L5G000004NcyNUAS"/>
        <s v="a1L5G000004NcyBUAS"/>
        <s v="a1L5G000004NcyFUAS"/>
        <s v="a1L5G000004NcyZUAS"/>
        <s v="a1L5G000004NcyaUAC"/>
        <s v="a1L5G000004NcyUUAS"/>
        <s v="a1L5G000004NcyKUAS"/>
        <s v="a1L5G000004NcyJUAS"/>
        <s v="a1L5G000004NcyIUAS"/>
        <s v="a1L5G000004NcyAUAS"/>
        <s v="a1L5G000004NcySUAS"/>
        <s v="a1L5G000004NcyTUAS"/>
        <s v="a1L5G000004NcyVUAS"/>
        <s v="a1L5G000004NcyXUAS"/>
        <s v="a1L5G000004NcyQUAS"/>
        <s v="a1L5G000004NcyPUAS"/>
        <s v="a1L5G000004NcyCUAS"/>
        <s v="a1L5G000004Ncy9UAC"/>
        <s v="a1L5G000004Ncy8UAC"/>
        <s v="a1L5G000004NcyRUAS"/>
        <s v="a1L5G000004NtPNUA0"/>
        <s v="a1L6T00000iJ1EFUA0"/>
        <s v="a1L5G000004TzkkUAC"/>
        <s v="a1L5G000004NsYnUAK"/>
        <s v="a1L5G000004NeclUAC"/>
        <s v="a1L5G000004NechUAC"/>
        <s v="a1L5G000004Ned4UAC"/>
        <s v="a1L5G000004TzpGUAS"/>
        <s v="a1L6T00000iJBZYUA4"/>
        <s v="a1L5G000004NKhkUAG"/>
        <s v="a1L5G000004NKhhUAG"/>
        <s v="a1L5G000004NYHzUAO"/>
        <s v="a1L6T00000iJ1EGUA0"/>
        <s v="a1L6T00000nGqUaUAK"/>
        <s v="a1L6T00000nGqUbUAK"/>
        <s v="a1L6T00000nGqUcUAK"/>
        <s v="a1L6T00000nGqUeUAK"/>
        <s v="a1L6T00000nGqUhUAK"/>
        <s v="a1L6T00000nGqUmUAK"/>
        <s v="a1L6T00000nGqUqUAK"/>
        <s v="a1L6T00000nGqUuUAK"/>
        <s v="a1L6T00000nGqUzUAK"/>
        <s v="a1L6T00000nGqV2UAK"/>
        <s v="a1L6T00000nGqUdUAK"/>
        <s v="a1L6T00000nGqUfUAK"/>
        <s v="a1L6T00000nGqUgUAK"/>
        <s v="a1L6T00000nGqUjUAK"/>
        <s v="a1L6T00000nGqUoUAK"/>
        <s v="a1L6T00000nGqUvUAK"/>
        <s v="a1L6T00000nGqV0UAK"/>
        <s v="a1L6T00000nGqV3UAK"/>
        <s v="a1L6T00000nGqUiUAK"/>
        <s v="a1L6T00000nGqUkUAK"/>
        <s v="a1L6T00000nGqUlUAK"/>
        <s v="a1L6T00000nGqUrUAK"/>
        <s v="a1L6T00000nGqUxUAK"/>
        <s v="a1L6T00000nGqUnUAK"/>
        <s v="a1L6T00000nGqUpUAK"/>
        <s v="a1L6T00000nGqUsUAK"/>
        <s v="a1L6T00000nGqUwUAK"/>
        <s v="a1L6T00000nGqUtUAK"/>
        <s v="a1L6T00000nGqUyUAK"/>
        <s v="a1L6T00000nGqV1UAK"/>
        <s v="a1L6T00000jr3nTUAQ"/>
        <s v="a1L6T00000iJ1E7UAK"/>
        <s v="a1L5G000004NKhnUAG"/>
        <s v="a1L5G000004NsYRUA0"/>
        <s v="a1L5G000004Tzm7UAC"/>
        <s v="a1L5G000004NtPXUA0"/>
        <s v="a1L6T00000iIryFUAS"/>
        <s v="a1L6T00000iJA2IUAW"/>
        <s v="a1L6T00000iJLZfUAO"/>
        <s v="a1L5G000004NShzUAG"/>
        <s v="a1L6T00000d2NFLUA2"/>
        <s v="a1L5G000004TzlxUAC"/>
        <s v="a1L5G000004TzlEUAS"/>
        <s v="a1L5G000004NtPxUAK"/>
        <s v="a1L5G000004Tzq4UAC"/>
        <s v="a1L5G000004NsYhUAK"/>
        <s v="a1L5G000004TzmHUAS"/>
        <s v="a1L5G000004Tzm2UAC"/>
        <s v="a1L5G000004NsYHUA0"/>
        <s v="a1L5G000004NKhgUAG"/>
        <s v="a1L5G000004Tzi5UAC"/>
        <s v="a1L5G000004OE0EUAW"/>
        <s v="a1L6T00000iJBZOUA4"/>
        <s v="a1L5G000004OE0SUAW"/>
        <s v="a1L5G000004NtQkUAK"/>
        <s v="a1L6T00000jT5yFUAS"/>
        <s v="a1L6T00000iJdvcUAC"/>
        <s v="a1L6T00000d2MvpUAE"/>
        <s v="a1L5G000004TziUUAS"/>
        <s v="a1L5G000004OE0IUAW"/>
        <s v="a1L6T00000nGqU5UAK"/>
        <s v="a1L6T00000nGqTlUAK"/>
        <s v="a1L6T00000nGqTzUAK"/>
        <s v="a1L6T00000nGqU0UAK"/>
        <s v="a1L6T00000nGqTrUAK"/>
        <s v="a1L6T00000nGqTnUAK"/>
        <s v="a1L6T00000nGqU2UAK"/>
        <s v="a1L6T00000nGqTqUAK"/>
        <s v="a1L6T00000nGqTxUAK"/>
        <s v="a1L6T00000nGqTmUAK"/>
        <s v="a1L6T00000nGqToUAK"/>
        <s v="a1L6T00000nGqTpUAK"/>
        <s v="a1L6T00000nGqTsUAK"/>
        <s v="a1L6T00000nGqTtUAK"/>
        <s v="a1L6T00000nGqTuUAK"/>
        <s v="a1L6T00000nGqTvUAK"/>
        <s v="a1L6T00000nGqTwUAK"/>
        <s v="a1L6T00000nGqTyUAK"/>
        <s v="a1L6T00000nGqU1UAK"/>
        <s v="a1L6T00000nGqU3UAK"/>
        <s v="a1L6T00000nGqU4UAK"/>
        <s v="a1L6T00000mlijWUAQ"/>
        <s v="a1L6T00000iJLZeUAO"/>
        <s v="a1L6T00000iJdvTUAS"/>
        <s v="a1L6T00000jT5yGUAS"/>
        <s v="a1L5G000004NtPhUAK"/>
        <s v="a1L5G000004NsYWUA0"/>
        <s v="a1L5G000004NsYIUA0"/>
        <s v="a1L5G000004Tzl4UAC"/>
        <s v="a1L5G000004OE0NUAW"/>
        <s v="a1L6T00000iJdvhUAC"/>
        <s v="a1L6T00000iJdvkUAC"/>
        <s v="a1L6T00000iJ1EPUA0"/>
        <s v="a1L6T00000iJ1EKUA0"/>
        <s v="a1L5G000004TzmbUAC"/>
        <s v="a1L6T00000iJdvbUAC"/>
        <s v="a1L5G000004OE0GUAW"/>
        <s v="a1L6T00000jqjwmUAA"/>
        <s v="a1L5G000004NSi0UAG"/>
        <s v="a1L6T00000jqjwxUAA"/>
        <s v="a1L6T00000jqjwsUAA"/>
        <s v="a1L6T00000jqjwoUAA"/>
        <s v="a1L5G000004NsYSUA0"/>
        <s v="a1L6T00000jqjwtUAA"/>
        <s v="a1L6T00000jqjx2UAA"/>
        <s v="a1L6T00000jqjwpUAA"/>
        <s v="a1L6T00000jqjwvUAA"/>
        <s v="a1L6T00000jqjwkUAA"/>
        <s v="a1L6T00000jqjwiUAA"/>
        <s v="a1L6T00000jqjwuUAA"/>
        <s v="a1L6T00000jqjwwUAA"/>
        <s v="a1L6T00000jqjwlUAA"/>
        <s v="a1L6T00000jqjwjUAA"/>
        <s v="a1L6T00000jqjx1UAA"/>
        <s v="a1L6T00000jqjwnUAA"/>
        <s v="a1L6T00000jqjwqUAA"/>
        <s v="a1L6T00000jqjwzUAA"/>
        <s v="a1L6T00000jqjx0UAA"/>
        <s v="a1L6T00000jqjwrUAA"/>
        <s v="a1L6T00000jqjwyUAA"/>
        <s v="a1L5G000004TzrRUAS"/>
        <s v="a1L6T00000jr3nhUAA"/>
        <s v="a1L5G000004NYIPUA4"/>
        <s v="a1L5G000004TzsoUAC"/>
        <s v="a1L6T00000jr3ndUAA"/>
        <s v="a1L6T00000iJLZcUAO"/>
        <s v="a1L5G000004NSiMUAW"/>
        <s v="a1L5G000004NYIFUA4"/>
        <s v="a1L5G000004TzlJUAS"/>
        <s v="a1L6T00000iJBYLUA4"/>
        <s v="a1L6T00000iJdvjUAC"/>
        <s v="a1L5G000004TzqEUAS"/>
        <s v="a1L5G000004NKhjUAG"/>
        <s v="a1L5G000004TzsAUAS"/>
        <s v="a1L6T00000jT5yHUAS"/>
        <s v="a1L5G000004TzsFUAS"/>
        <s v="a1L5G000004TzuzUAC"/>
        <s v="a1L5G000004NKhoUAG"/>
        <s v="a1L5G000004NKhuUAG"/>
        <s v="a1L6T00000iJdvlUAC"/>
        <s v="a1L5G000004TzppUAC"/>
        <s v="a1L5G000004TzqJUAS"/>
        <s v="a1L6T00000jqyJCUAY"/>
        <s v="a1L6T00000jqyJGUAY"/>
        <s v="a1L6T00000jqyJEUAY"/>
        <s v="a1L6T00000jqyJFUAY"/>
        <s v="a1L6T00000jqyJDUAY"/>
        <s v="a1L6T00000jqyJKUAY"/>
        <s v="a1L6T00000jqyJJUAY"/>
        <s v="a1L6T00000jqyJHUAY"/>
        <s v="a1L6T00000jqyJIUAY"/>
        <s v="a1L6T00000jqyJ7UAI"/>
        <s v="a1L6T00000jqyJ8UAI"/>
        <s v="a1L6T00000jqyJLUAY"/>
        <s v="a1L6T00000jqyJ9UAI"/>
        <s v="a1L6T00000jqyJAUAY"/>
        <s v="a1L6T00000jqyJ5UAI"/>
        <s v="a1L6T00000jqyJ6UAI"/>
        <s v="a1L6T00000jqyJBUAY"/>
        <s v="a1L6T00000jqyJMUAY"/>
        <s v="a1L6T00000iJLZYUA4"/>
        <s v="a1L5G000004NShwUAG"/>
        <s v="a1L5G000004OE0QUAW"/>
        <s v="a1L6T00000iJA2AUAW"/>
        <s v="a1L6T00000iJ1ERUA0"/>
        <s v="a1L5G000004TziVUAS"/>
        <s v="a1L5G000004TzjXUAS"/>
        <s v="a1L5G000004TzjIUAS"/>
        <s v="a1L6T00000iJA2NUAW"/>
        <s v="a1L6T00000iJdveUAC"/>
        <s v="a1L6T00000jqkpKUAQ"/>
        <s v="a1L6T00000jqkpDUAQ"/>
        <s v="a1L5G000004TzsKUAS"/>
        <s v="a1L5G000004NSfdUAG"/>
        <s v="a1L5G000004TzvEUAS"/>
        <s v="a1L6T00000iJA2DUAW"/>
        <s v="a1L5G000004TzpuUAC"/>
        <s v="a1L6T00000iJdvZUAS"/>
        <s v="a1L6T00000jqkp4UAA"/>
        <s v="a1L6T00000jqkp7UAA"/>
        <s v="a1L6T00000jqkp6UAA"/>
        <s v="a1L6T00000jqkp1UAA"/>
        <s v="a1L6T00000jqkpJUAQ"/>
        <s v="a1L6T00000jqkpIUAQ"/>
        <s v="a1L6T00000jqkpLUAQ"/>
        <s v="a1L5G000004TzkaUAC"/>
        <s v="a1L5G000004NtPSUA0"/>
        <s v="a1L6T00000iJ1EJUA0"/>
        <s v="a1LVO0000033vRS2AY"/>
        <s v="a1LVO0000033vsr2AA"/>
        <s v="a1L6T00000iJdvmUAC"/>
        <s v="a1L5G000004TzkfUAC"/>
        <s v="a1L5G000004NSi9UAG"/>
        <s v="a1L5G000004TzrqUAC"/>
        <s v="a1L5G000004OE0XUAW"/>
        <s v="a1L6T00000iJA2GUAW"/>
        <s v="a1L5G000004OE0JUAW"/>
        <s v="a1L6T00000iJdvfUAC"/>
        <s v="a1L5G000004Tzq9UAC"/>
        <s v="a1L5G000004NShoUAG"/>
        <s v="a1L5G000004NtREUA0"/>
        <s v="a1LVO000004E7Ab2AK"/>
        <s v="a1L5G000004NShxUAG"/>
        <s v="a1L6T00000mlk8DUAQ"/>
        <s v="a1L5G000004OE0MUAW"/>
        <s v="a1L6T00000iJA2EUAW"/>
        <s v="a1L6T00000d2QHyUAM"/>
        <s v="a1L6T00000d2QHxUAM"/>
        <s v="a1L6T00000iJA2JUAW"/>
        <s v="a1L6T00000iJA2TUAW"/>
        <s v="a1L6T00000iJA2QUAW"/>
        <s v="a1L6T00000iJA2SUAW"/>
        <s v="a1L6T00000iJA2RUAW"/>
        <s v="a1L6T00000iJA2PUAW"/>
        <s v="a1L6T00000iJBZ4UAO"/>
        <s v="a1L6T00000iJBZ9UAO"/>
        <s v="a1L6T00000iJBYZUA4"/>
        <s v="a1L6T00000iJBZNUA4"/>
        <s v="a1L5G000004TzrgUAC"/>
        <s v="a1L5G000004TzowUAC"/>
        <s v="a1L5G000004TzneUAC"/>
        <s v="a1L5G000004NSiHUAW"/>
        <s v="a1L6T00000jqkpHUAQ"/>
        <s v="a1L6T00000iJBZ3UAO"/>
        <s v="a1L6T00000iJdvgUAC"/>
        <s v="a1L6T00000iJBYVUA4"/>
        <s v="a1L6T00000mlk8FUAQ"/>
        <s v="a1L6T00000iJBZ8UAO"/>
        <s v="a1L5G000004TzjwUAC"/>
        <s v="a1L6T00000iJBYzUAO"/>
        <s v="a1L6T00000iJBYyUAO"/>
        <s v="a1L5G000004OE0DUAW"/>
        <s v="a1L6T00000iJA2OUAW"/>
        <s v="a1L6T00000iJ1E9UAK"/>
        <s v="a1L5G000004TzkbUAC"/>
        <s v="a1L6T00000jqkp3UAA"/>
        <s v="a1L5G000004OE0FUAW"/>
        <s v="a1L5G000004TzsjUAC"/>
        <s v="a1LVO000004AxED2A0"/>
        <s v="a1LVO000004H3aH2AS"/>
        <s v="a1L6T00000iJBYuUAO"/>
        <s v="a1L6T00000iJA2FUAW"/>
        <s v="a1L5G000004Tzo8UAC"/>
        <s v="a1L5G000004NsYiUAK"/>
        <s v="a1L6T00000iJA2KUAW"/>
        <s v="a1L5G000004NeciUAC"/>
        <s v="a1L6T00000iJdvUUAS"/>
        <s v="a1L6T00000iJ1ELUA0"/>
        <s v="a1L6T00000nGqVLUA0"/>
        <s v="a1L6T00000nGqVOUA0"/>
        <s v="a1L6T00000nGqVJUA0"/>
        <s v="a1L6T00000nGqVQUA0"/>
        <s v="a1L6T00000nGqVRUA0"/>
        <s v="a1L6T00000nGqVKUA0"/>
        <s v="a1L6T00000nGqVPUA0"/>
        <s v="a1L6T00000nGqVSUA0"/>
        <s v="a1L6T00000nGqVTUA0"/>
        <s v="a1LVO000004WfKH2A0"/>
        <s v="a1L6T00000kcQBPUA2"/>
        <s v="a1L5G000004NSiBUAW"/>
        <s v="a1L6T00000mllwzUAA"/>
        <s v="a1L6T00000jr77EUAQ"/>
        <s v="a1L5G000004NYIMUA4"/>
        <s v="a1LVO000001aKVt2AM"/>
        <s v="a1L5G000004NSiFUAW"/>
        <s v="a1L6T00000mllx4UAA"/>
        <s v="a1L5G000004NYIKUA4"/>
        <s v="a1L6T00000iJA2HUAW"/>
        <s v="a1L6T00000jr77DUAQ"/>
        <s v="a1L6T00000iJBYaUAO"/>
        <s v="a1L5G000004NrUZUA0"/>
        <s v="a1L6T00000mlk8OUAQ"/>
        <s v="a1L6T00000mlk8LUAQ"/>
        <s v="a1L5G000004Tzi0UAC"/>
        <s v="a1L6T00000mllx9UAA"/>
        <s v="a1L5G000004TzrWUAS"/>
        <s v="a1L5G000004NtPcUAK"/>
        <s v="a1L5G000004NWeKUAW"/>
        <s v="a1L5G000004NsYlUAK"/>
        <s v="a1L5G000004TzqFUAS"/>
        <s v="a1L6T00000d2MvLUAU"/>
        <s v="a1L5G000004Tzl9UAC"/>
        <s v="a1L5G000004Ned8UAC"/>
        <s v="a1L5G000004NecjUAC"/>
        <s v="a1L5G000004NeczUAC"/>
        <s v="a1L5G000004NectUAC"/>
        <s v="a1L5G000004NecgUAC"/>
        <s v="a1L5G000004NecmUAC"/>
        <s v="a1L5G000004NeceUAC"/>
        <s v="a1L5G000004Ned6UAC"/>
        <s v="a1L5G000004NecfUAC"/>
        <s v="a1LVO000004MBVZ2A4"/>
        <s v="a1L5G000004NKhrUAG"/>
        <s v="a1L6T00000jqyJNUAY"/>
        <s v="a1L5G000004Ned5UAC"/>
        <s v="a1L5G000004TznyUAC"/>
        <s v="a1L5G000004NShyUAG"/>
        <s v="a1L5G000004NtPmUAK"/>
        <s v="a1L5G000004Ned2UAC"/>
        <s v="a1L5G000004TziAUAS"/>
        <s v="a1L6T00000mlk8JUAQ"/>
        <s v="a1L5G000004NSiLUAW"/>
        <s v="a1L5G000004TztXUAS"/>
        <s v="a1L6T00000iJA2BUAW"/>
        <s v="a1LVO000004X0IH2A0"/>
        <s v="a1L6T00000iJBYUUA4"/>
        <s v="a1L6T00000iJBZSUA4"/>
        <s v="a1L5G000004TztwUAC"/>
        <s v="a1L5G000004TzthUAC"/>
        <s v="a1L5G000004TztrUAC"/>
        <s v="a1L5G000004Tzu1UAC"/>
        <s v="a1L5G000004TzibUAC"/>
        <s v="a1L5G000004Tzs1UAC"/>
        <s v="a1L5G000004Tzu6UAC"/>
        <s v="a1L5G000004TzuBUAS"/>
        <s v="a1L5G000004TzuGUAS"/>
        <s v="a1L5G000004TzuQUAS"/>
        <s v="a1L5G000004TzuVUAS"/>
        <s v="a1L5G000004NtQ1UAK"/>
        <s v="a1L5G000004TzufUAC"/>
        <s v="a1L5G000004TztDUAS"/>
        <s v="a1L5G000004Tzq0UAC"/>
        <s v="a1L6T00000iJdvWUAS"/>
        <s v="a1L5G000004TztmUAC"/>
        <s v="a1L5G000004TzuaUAC"/>
        <s v="a1L5G000004TznuUAC"/>
        <s v="a1LVO000004X0II2A0"/>
        <s v="a1L5G000004TzvJUAS"/>
        <s v="a1L5G000004TzukUAC"/>
        <s v="a1L5G000004TzrHUAS"/>
        <s v="a1L5G000004Tzt8UAC"/>
        <s v="a1LVO000004Wf7N2AS"/>
        <s v="a1L5G000004TztcUAC"/>
        <s v="a1L5G000004TzuLUAS"/>
        <s v="a1L6T00000jr3nRUAQ"/>
        <s v="a1L5G000004TziaUAC"/>
        <s v="a1LVO000004WfH32AK"/>
        <s v="a1L6T00000iJ1E8UAK"/>
        <s v="a1L6T00000jqkpCUAQ"/>
        <s v="a1L5G000004TzkuUAC"/>
        <s v="a1L5G000004NsYgUAK"/>
        <s v="a1L5G000004TzkHUAS"/>
        <s v="a1L5G000004NtQpUAK"/>
        <s v="a1L5G000004TzpBUAS"/>
        <s v="a1L5G000004NtQVUA0"/>
        <s v="a1L5G000004NGZNUA4"/>
        <s v="a1L6T00000mllxEUAQ"/>
        <s v="a1L5G000004TzmMUAS"/>
        <s v="a1L5G000004NSfTUAW"/>
        <s v="a1L6T00000mlk8KUAQ"/>
        <s v="a1L5G000004TzrlUAC"/>
        <s v="a1L6T00000iJdviUAC"/>
        <s v="a1L5G000004Tzv4UAC"/>
        <s v="a1L6T00000iJA2VUAW"/>
        <s v="a1L6T00000jqkp9UAA"/>
        <s v="a1L5G000004OE0UUAW"/>
        <s v="a1L5G000004NtQLUA0"/>
        <s v="a1L5G000004TzjEUAS"/>
        <s v="a1L5G000004NSfiUAG"/>
        <s v="a1L5G000004NYIOUA4"/>
        <s v="a1L6T00000iJLZgUAO"/>
        <s v="a1L5G000004NLfoUAG"/>
        <s v="a1L5G000004TzliUAC"/>
        <s v="a1L5G000004TzieUAC"/>
        <s v="a1L6T00000iJLZiUAO"/>
        <s v="a1L6T00000jr3nMUAQ"/>
        <s v="a1LVO000004WfH42AK"/>
        <s v="a1L5G000004TzoIUAS"/>
        <s v="a1LVO000002JcLN2A0"/>
        <s v="a1L5G000004NShsUAG"/>
        <s v="a1L5G000004TznFUAS"/>
        <s v="a1L5G000004TznZUAS"/>
        <s v="a1L5G000004NKhmUAG"/>
        <s v="a1L6T00000jqkp5UAA"/>
        <s v="a1L6T00000iJ1E5UAK"/>
        <s v="a1L5G000004NYI3UAO"/>
        <s v="a1L6T00000iJ1EIUA0"/>
        <s v="a1LVO000004E7492AC"/>
        <s v="a1L5G000004NYI8UAO"/>
        <s v="a1L6T00000iJBYKUA4"/>
        <s v="a1L5G000004NsYXUA0"/>
        <s v="a1LVO000004E7Lt2AK"/>
        <s v="a1LVO000004E70v2AC"/>
        <s v="a1L5G000004NSiGUAW"/>
        <s v="a1L5G000004TzohUAC"/>
        <s v="a1L5G000004NYIIUA4"/>
        <s v="a1L6T00000iJBYGUA4"/>
        <s v="a1L6T00000jr77CUAQ"/>
        <s v="a1L5G000004NSiCUAW"/>
        <s v="a1L5G000004TzjNUAS"/>
        <s v="a1L5G000004NtR4UAK"/>
        <s v="a1LVO000004Wf902AC"/>
        <s v="a1L6T00000jr3nnUAA"/>
        <s v="a1LVO000004E7KH2A0"/>
        <s v="a1L5G000004TzomUAC"/>
        <s v="a1L5G000004OE0RUAW"/>
        <s v="a1L5G000004NYI1UAO"/>
        <s v="a1L5G000004NSiIUAW"/>
        <s v="a1L5G000004TzrvUAC"/>
        <s v="a1L5G000004TzldUAC"/>
        <s v="a1L6T00000iJBYtUAO"/>
        <s v="a1L6T00000iJdvVUAS"/>
        <s v="a1L5G000004OE0WUAW"/>
        <s v="a1L6T00000iJdvaUAC"/>
        <s v="a1L5G000004TziKUAS"/>
        <s v="a1L5G000004TzlYUAS"/>
        <s v="a1LVO000004WfKI2A0"/>
        <s v="a1L5G000004Tzs5UAC"/>
        <s v="a1L6T00000jqkpAUAQ"/>
        <s v="a1LVO000004WfNW2A0"/>
        <s v="a1L5G000004Ned7UAC"/>
        <s v="a1L5G000004TzmRUAS"/>
        <s v="a1L5G000004OE0VUAW"/>
        <s v="a1L6T00000iJ1EMUA0"/>
        <s v="a1L5G000004NShqUAG"/>
        <s v="a1L6T00000iJ1E6UAK"/>
        <s v="a1L5G000004TzuuUAC"/>
        <s v="a1L6T00000iJ1EHUA0"/>
        <s v="a1L5G000004TznoUAC"/>
        <s v="a1L5G000004TzmCUAS"/>
        <s v="a1LVO000002JcTR2A0"/>
        <s v="a1LVO000002JcMz2AK"/>
        <s v="a1LVO000002JcQD2A0"/>
        <s v="a1LVO000002JcYH2A0"/>
        <s v="a1LVO0000049DLV2A2"/>
        <s v="a1LVO0000049DLW2A2"/>
        <s v="a1L5G000004TzkVUAS"/>
        <s v="a1L6T00000iJLZoUAO"/>
        <s v="a1LVO000004E9Nh2AK"/>
        <s v="a1L5G000004OE0TUAW"/>
        <s v="a1L5G000004NtQQUA0"/>
        <s v="a1L6T00000iJA2LUAW"/>
        <s v="a1L5G000004Tzv9UAC"/>
        <s v="a1L5G000004NShpUAG"/>
        <s v="a1LVO000004WfP72AK"/>
        <s v="a1L5G000004NYI7UAO"/>
        <s v="a1L5G000004NecrUAC"/>
        <s v="a1L5G000004OE0CUAW"/>
        <s v="a1L5G000004NShvUAG"/>
        <s v="a1L6T00000iJ1EEUA0"/>
        <s v="a1L5G000004NSiKUAW"/>
        <s v="a1L5G000004Tzj8UAC"/>
        <s v="a1L5G000004NSi3UAG"/>
        <s v="a1L6T00000iJA27UAG"/>
        <s v="a1LVO000004WfCE2A0"/>
        <s v="a1L6T00000jr3nLUAQ"/>
        <s v="a1L5G000004TzmvUAC"/>
        <s v="a1L6T00000jr3nVUAQ"/>
        <s v="a1L6T00000jr3nXUAQ"/>
        <s v="a1L6T00000mlk8XUAQ"/>
        <s v="a1L6T00000jr3naUAA"/>
        <s v="a1L5G000004TzkGUAS"/>
        <s v="a1LVO0000056Lq52AE"/>
        <s v="a1L5G000004TziZUAS"/>
        <s v="a1L6T00000iJdvdUAC"/>
        <s v="a1L5G000004TzntUAC"/>
        <s v="a1L5G000004NSi4UAG"/>
        <s v="a1L5G000004TzmqUAC"/>
        <s v="a1LVO000004E7NV2A0"/>
        <s v="a1L5G000004TzjiUAC"/>
        <s v="a1L6T00000iJLZbUAO"/>
        <s v="a1L6T00000jqkpBUAQ"/>
        <s v="a1L5G000004TzoSUAS"/>
        <s v="a1L5G000004NYINUA4"/>
        <s v="a1L5G000004TzseUAC"/>
        <s v="a1L6T00000iJBZDUA4"/>
        <s v="a1L6T00000iJBZTUA4"/>
        <s v="a1L6T00000iJBZXUA4"/>
        <s v="a1L6T00000d2MvfUAE"/>
        <s v="a1L5G000004Tzt3UAC"/>
        <s v="a1L5G000004NsYmUAK"/>
        <s v="a1L6T00000jqkpNUAQ"/>
        <s v="a1L6T00000jr3ngUAA"/>
        <s v="a1L5G000004TztIUAS"/>
        <s v="a1LVO000002JcRp2AK"/>
        <s v="a1LVO000002JcV32AK"/>
        <s v="a1LVO0000049DLX2A2"/>
        <s v="a1LVO000002JcWf2AK"/>
        <s v="a1LVO0000049DLY2A2"/>
        <s v="a1LVO000002JcOb2AK"/>
        <s v="a1L5G000004NtPrUAK"/>
        <s v="a1L5G000004OE0HUAW"/>
        <s v="a1L5G000004OE0aUAG"/>
        <s v="a1L5G000004OE0LUAW"/>
        <s v="a1L5G000004NsYdUAK"/>
        <s v="a1L5G000004Tzp6UAC"/>
        <s v="a1L5G000004OE0OUAW"/>
        <s v="a1L5G000004TzsPUAS"/>
        <s v="a1L6T00000iJLZpUAO"/>
        <s v="a1L6T00000iJBYQUA4"/>
        <s v="a1L5G000004Tzo3UAC"/>
        <s v="a1LVO0000056Lq72AE"/>
        <s v="a1L6T00000iJLZdUAO"/>
        <s v="a1LVO0000056LqG2AU"/>
        <s v="a1LVO0000056Lq92AE"/>
        <s v="a1LVO0000056LqB2AU"/>
        <s v="a1LVO0000056Lq62AE"/>
        <s v="a1LVO0000056Lq82AE"/>
        <s v="a1LVO0000056LqC2AU"/>
        <s v="a1LVO0000056LqI2AU"/>
        <s v="a1LVO0000056LqA2AU"/>
        <s v="a1LVO0000056LqD2AU"/>
        <s v="a1LVO0000056LqE2AU"/>
        <s v="a1LVO0000056LqF2AU"/>
        <s v="a1LVO0000056LqH2AU"/>
        <s v="a1L5G000004NLftUAG"/>
        <s v="a1L5G000004TzmWUAS"/>
        <s v="a1L6T00000jr3nkUAA"/>
        <s v="a1L6T00000iJBYFUA4"/>
        <s v="a1L6T00000mlk8UUAQ"/>
        <s v="a1L6T00000mlk8WUAQ"/>
        <s v="a1L6T00000mlk8VUAQ"/>
        <s v="a1L6T00000mlk8TUAQ"/>
        <s v="a1L5G000004TznUUAS"/>
        <s v="a1L6T00000jqkpFUAQ"/>
        <s v="a1L5G000004TznGUAS"/>
        <s v="a1L6T00000d2NFGUA2"/>
        <s v="a1L6T00000iJLZaUAO"/>
        <s v="a1LVO000004E9XN2A0"/>
        <s v="a1L5G000004NSiJUAW"/>
        <s v="a1L6T00000mlk8RUAQ"/>
        <s v="a1L6T00000mlk8PUAQ"/>
        <s v="a1L5G000004TzqnUAC"/>
        <s v="a1L6T00000mlk8SUAQ"/>
        <s v="a1L6T00000mlk8QUAQ"/>
        <s v="a1L5G000004TzjDUAS"/>
        <s v="a1L5G000004TzmgUAC"/>
        <s v="a1L5G000004TzstUAC"/>
        <s v="a1L5G000004NSiDUAW"/>
        <s v="a1L5G000004TzkIUAS"/>
        <s v="a1L5G000004Tzn0UAC"/>
        <s v="a1L5G000004TznAUAS"/>
        <s v="a1LVO000004WfIg2AK"/>
        <s v="a1LVO000004WfNV2A0"/>
        <s v="a1LVO000004WfIf2AK"/>
        <s v="a1LVO000004WfLu2AK"/>
        <s v="a1LVO000004WfLt2AK"/>
        <s v="a1L6T00000iJdvXUAS"/>
        <s v="a1LVO000004WfFS2A0"/>
        <s v="a1L5G000004TzlOUAS"/>
        <s v="a1L5G000004NKhpUAG"/>
        <s v="a1LVO000004RAqd2AG"/>
        <s v="a1L5G000004TznKUAS"/>
        <s v="a1LVO000004Wf8z2AC"/>
        <s v="a1LVO000004Wf7O2AS"/>
        <s v="a1LVO000004RAtp2AG"/>
        <s v="a1LVO000004RAtr2AG"/>
        <s v="a1L5G000004OE0YUAW"/>
        <s v="a1L5G000004Tzp1UAC"/>
        <s v="a1L5G000004NtPIUA0"/>
        <s v="a1L5G000004NSi5UAG"/>
        <s v="a1L5G000004TzoXUAS"/>
        <s v="a1LVO000004E9PJ2A0"/>
        <s v="a1L5G000004NsYrUAK"/>
        <s v="a1L6T00000mlk8HUAQ"/>
        <s v="a1LVO0000052kK62AI"/>
        <s v="a1LVO0000052kKA2AY"/>
        <s v="a1L5G000004NtQaUAK"/>
        <s v="a1L6T00000iJ1ESUA0"/>
        <s v="a1L6T00000jqkpEUAQ"/>
        <s v="a1L5G000004TzpaUAC"/>
        <s v="a1LVO000004Kx6T2AS"/>
        <s v="a1L6T00000iJ1EQUA0"/>
        <s v="a1L5G000004NtQuUAK"/>
        <s v="a1L6T00000mlk8MUAQ"/>
        <s v="a1L5G000004NtQ6UAK"/>
        <s v="a1LVO0000052kK12AI"/>
        <s v="a1L6T00000mlk8IUAQ"/>
        <s v="a1L6T00000mlk8GUAQ"/>
        <s v="a1L5G000004TzkzUAC"/>
        <s v="a1L5G000004NtRdUAK"/>
        <s v="a1L5G000004NSi1UAG"/>
        <s v="a1L6T00000iJ1ENUA0"/>
        <s v="a1L6T00000iJLZlUAO"/>
        <s v="a1L6T00000d2MvGUAU"/>
        <s v="a1L5G000004NSiNUAW"/>
        <s v="a1L6T00000mlk8EUAQ"/>
        <s v="a1L5G000004NtQfUAK"/>
        <s v="a1L5G000004NYGoUAO"/>
        <s v="a1L5G000004NYGsUAO"/>
        <s v="a1L5G000004NYGtUAO"/>
        <s v="a1L5G000004NYGxUAO"/>
        <s v="a1L5G000004NYGpUAO"/>
        <s v="a1L5G000004NYGyUAO"/>
        <s v="a1L5G000004NYGqUAO"/>
        <s v="a1L5G000004NYGwUAO"/>
        <s v="a1L5G000004NYGuUAO"/>
        <s v="a1L5G000004NYGvUAO"/>
        <s v="a1L6T00000iJLZhUAO"/>
        <s v="a1L5G000004NYGrUAO"/>
        <s v="a1L5G000004NYGnUAO"/>
        <s v="a1LVO0000052kKG2AY"/>
        <s v="a1LVO000004OIO52AO"/>
        <s v="a1L5G000004TziFUAS"/>
        <s v="a1L5G000004TzioUAC"/>
        <s v="a1LVO000004OIG12AO"/>
        <s v="a1L5G000004TzhvUAC"/>
        <s v="a1L5G000004Tzj3UAC"/>
        <s v="a1L5G000004TziyUAC"/>
        <s v="a1L5G000004TzjSUAS"/>
        <s v="a1L5G000004Tzk6UAC"/>
        <s v="a1L5G000004TzitUAC"/>
        <s v="a1L5G000004TzpVUAS"/>
        <s v="a1L5G000004TzpQUAS"/>
        <s v="a1L5G000004TzorUAC"/>
        <s v="a1L5G000004TzpLUAS"/>
        <s v="a1L5G000004TzocUAC"/>
        <s v="a1L5G000004Tzr7UAC"/>
        <s v="a1L5G000004Tzr2UAC"/>
        <s v="a1L5G000004TzqTUAS"/>
        <s v="a1L5G000004TzqOUAS"/>
        <s v="a1L5G000004Tzs0UAC"/>
        <s v="a1L5G000004TzqiUAC"/>
        <s v="a1L5G000004TzrMUAS"/>
        <s v="a1L5G000004TzqdUAC"/>
        <s v="a1L5G000004TzqYUAS"/>
        <s v="a1L5G000004TzsZUAS"/>
        <s v="a1L5G000004TzkpUAC"/>
        <s v="a1L5G000004TzjrUAC"/>
        <s v="a1L5G000004TzlsUAC"/>
        <s v="a1L5G000004TzlnUAC"/>
        <s v="a1L5G000004TznjUAC"/>
        <s v="a1L5G000004TzoNUAS"/>
        <s v="a1L5G000004TzoDUAS"/>
        <s v="a1L6T00000iJLZjUAO"/>
        <s v="a1L6T00000iJLZkUAO"/>
        <s v="a1L6T00000iJLZmUAO"/>
        <s v="a1L6T00000iJLZnUAO"/>
        <s v="a1L6T00000iJLZZUA4"/>
        <s v="a1LVO000004OIeD2AW"/>
        <s v="a1LVO000004OIcb2AG"/>
        <s v="a1LVO000004OIfp2AG"/>
        <s v="a1LVO000004OIaz2AG"/>
        <s v="a1LVO000004OIZN2A4"/>
        <s v="a1L6T00000mlijXUAQ"/>
        <s v="a1LVO000004OISv2AO"/>
        <s v="a1LVO000004OIW92AO"/>
        <s v="a1LVO000004OIUX2A4"/>
        <s v="a1LVO000004OIRJ2A4"/>
        <s v="a1L6T00000mlk8NUAQ"/>
        <s v="a1LVO000004OIJF2A4"/>
        <s v="a1LVO000004OIHd2AO"/>
        <s v="a1LVO000004RAvR2AW"/>
        <s v="a1LVO000004RAvS2AW"/>
        <s v="a1LVO000004RAts2AG"/>
        <s v="a1LVO000004RAtq2AG"/>
        <s v="a1LVO000004RAtt2AG"/>
        <s v="a1L5G000004NeckUAC"/>
        <s v="a1L5G000004NecnUAC"/>
        <s v="a1L5G000004NecdUAC"/>
        <s v="a1L5G000004NedAUAS"/>
        <s v="a1LVO000004RAsG2AW"/>
        <s v="a1LVO000004RAsH2AW"/>
        <s v="a1LVO000004RAsE2AW"/>
        <s v="a1LVO000004RAsF2AW"/>
        <s v="a1LVO000004RAsD2AW"/>
        <s v="a1LVO000004RAqe2AG"/>
        <s v="a1LVO000004RAqf2AG"/>
        <s v="a1LVO000004RAqc2AG"/>
        <s v="a1LVO000004RAqb2AG"/>
        <s v="a1LVO000002B8yn2AC"/>
        <s v="a1LVO000002B8tx2AC"/>
        <s v="a1LVO000002B8vZ2AS"/>
        <s v="a1LVO000002B8xB2AS"/>
        <s v="a1LVO000002B8qj2AC"/>
        <s v="a1LVO000002B8sL2AS"/>
        <s v="a1LVO000002B8lt2AC"/>
        <s v="a1LVO000002B8nV2AS"/>
        <s v="a1LVO000002B8p72AC"/>
        <s v="a1LVO000002B8if2AC"/>
        <s v="a1LVO000002B8kH2AS"/>
        <s v="a1LVO000002B8h32AC"/>
        <s v="a1L6T00000iJA2MUAW"/>
        <s v="a1L6T00000iJA2UUAW"/>
        <s v="a1L6T00000iJA28UAG"/>
        <s v="a1L6T00000iJA29UAG"/>
        <s v="a1L5G000004NYHDUA4"/>
        <s v="a1L5G000004NYHCUA4"/>
        <s v="a1L5G000004NYHFUA4"/>
        <s v="a1L5G000004NYHEUA4"/>
        <s v="a1L5G000004NYHBUA4"/>
        <s v="a1L5G000004NYHAUA4"/>
        <s v="a1L5G000004NYH4UAO"/>
        <s v="a1L5G000004NYH3UAO"/>
        <s v="a1L5G000004NYH6UAO"/>
        <s v="a1L5G000004NYH5UAO"/>
        <s v="a1L5G000004NYH8UAO"/>
        <s v="a1L5G000004NYH7UAO"/>
        <s v="a1L5G000004NYH9UAO"/>
        <s v="a1L5G000004NYH0UAO"/>
        <s v="a1L5G000004NYH2UAO"/>
        <s v="a1L5G000004NYH1UAO"/>
        <s v="a1L5G000004NYIGUA4"/>
        <s v="a1L5G000004NYIHUA4"/>
        <s v="a1L5G000004NYIJUA4"/>
        <s v="a1L5G000004NYGzUAO"/>
        <s v="a1L5G000004NYIAUA4"/>
        <s v="a1L5G000004NYICUA4"/>
        <s v="a1L5G000004NYIBUA4"/>
        <s v="a1L5G000004NYI5UAO"/>
        <s v="a1L5G000004NYI9UAO"/>
        <s v="a1L5G000004NYI0UAO"/>
        <s v="a1L5G000004NYI2UAO"/>
        <s v="a1L6T00000jqkpOUAQ"/>
        <s v="a1L6T00000jqkp2UAA"/>
        <s v="a1L5G000004TzsyUAC"/>
        <s v="a1L5G000004TztSUAS"/>
        <s v="a1L5G000004TztNUAS"/>
        <s v="a1LVO000004KxCv2AK"/>
        <s v="a1LVO000004KxEX2A0"/>
        <s v="a1LVO000004Kx852AC"/>
        <s v="a1LVO000004Kx9h2AC"/>
        <s v="a1LVO000004Kx4r2AC"/>
        <s v="a1LVO000002B79v2AC"/>
        <s v="a1LVO000002B79u2AC"/>
        <s v="a1LVO000002B5zK2AS"/>
        <s v="a1L6T00000nGqVNUA0"/>
        <s v="a1LVO000002B89C2AS"/>
        <s v="a1LVO000002B7Mo2AK"/>
        <s v="a1LVO000002B8PK2A0"/>
        <s v="a1LVO000002B9212AC"/>
        <s v="a1LVO000002B93d2AC"/>
        <s v="a1LVO000002B95F2AS"/>
        <s v="a1LVO000002B90P2AS"/>
        <s v="a1LVO0000052kK82AI"/>
        <s v="a1LVO0000052kK92AI"/>
        <s v="a1LVO0000052kKF2AY"/>
        <s v="a1LVO0000052kKD2AY"/>
        <s v="a1LVO0000052kKE2AY"/>
        <s v="a1LVO0000052kKB2AY"/>
        <s v="a1LVO0000052kKC2AY"/>
        <s v="a1LVO0000052kKJ2AY"/>
        <s v="a1LVO0000052kKK2AY"/>
        <s v="a1LVO0000052kKH2AY"/>
        <s v="a1LVO0000052kKI2AY"/>
        <s v="a1LVO0000052kK72AI"/>
        <s v="a1LVO0000052kK42AI"/>
        <s v="a1LVO0000052kK52AI"/>
        <s v="a1LVO0000052kK22AI"/>
        <s v="a1LVO0000052kK32AI"/>
        <s v="a1LVO000004WfCD2A0"/>
        <s v="a1LVO000004WfAb2AK"/>
        <s v="a1LVO000004WfAc2AK"/>
        <s v="a1LVO0000053gHa2AI"/>
        <s v="a1LVO0000053gHZ2AY"/>
        <s v="a1L5G000004NtPwUAK"/>
        <s v="a1L5G000004NtQGUA0"/>
        <s v="a1L5G000004NtROUA0"/>
        <s v="a1L5G000004NtQzUAK"/>
        <s v="a1L5G000004NsYJUA0"/>
        <s v="a1L5G000004NsYMUA0"/>
        <s v="a1L5G000004NsYNUA0"/>
        <s v="a1L6T00000jr3njUAA"/>
        <s v="a1L6T00000jr3nYUAQ"/>
        <s v="a1L6T00000jr3nZUAQ"/>
        <s v="a1L6T00000jr3nNUAQ"/>
        <s v="a1L6T00000jr3nOUAQ"/>
        <s v="a1L6T00000jr3nPUAQ"/>
        <s v="a1L6T00000jr3nQUAQ"/>
        <s v="a1L6T00000jr3nUUAQ"/>
        <s v="a1L6T00000jr3nWUAQ"/>
        <s v="a1LVO000004E77N2AS"/>
        <s v="a1LVO000004E75l2AC"/>
        <s v="a1LVO000004E7If2AK"/>
        <s v="a1LVO000004E9Vl2AK"/>
        <s v="a1LVO000004E9Qv2AK"/>
        <s v="a1LVO000004E9U92AK"/>
        <s v="a1LVO000004E9SX2A0"/>
        <s v="a1L6T00000mlpzEUAQ"/>
        <s v="a1LVO000000Z6XB2A0"/>
        <s v="a1LVO000004WfFR2A0"/>
        <s v="a1L6T00000d2MvzUAE"/>
        <s v="a1L6T00000d2MvkUAE"/>
        <s v="a1L6T00000d2MvaUAE"/>
        <s v="a1L6T00000d2MvVUAU"/>
        <s v="a1L6T00000d2Mw4UAE"/>
        <s v="a1L6T00000d2MvQUAU"/>
        <s v="a1L6T00000d2Mv6UAE"/>
      </sharedItems>
    </cacheField>
    <cacheField name="Kitchen Number Name" numFmtId="0">
      <sharedItems>
        <s v="K20 (Hot) - SA - JED - Rehab"/>
        <s v="K19 (Hot) - SA - JED - Rehab"/>
        <s v="K22 (CPU) - SA - RUH - Aqiq"/>
        <s v="K31 (Hot) - SA - SAF"/>
        <s v="K30 (Hot) - SA - SAF"/>
        <s v="K33 (Cold) - SA - SAF"/>
        <s v="K32 (Cold) - SA - SAF"/>
        <s v="K35 (Hot) - SA - SAF"/>
        <s v="K34 (Cold) - SA - SAF"/>
        <s v="K36 (Hot) - SA - SAF"/>
        <s v="K02 (Hot) - SA - RUH - Arid (2)"/>
        <s v="K04 (Cold) - SA - RUH - Arid (2)"/>
        <s v="K17 (Hot) - SA - RUH - Arid (2)"/>
        <s v="K06 (Hot) - SA - MUR"/>
        <s v="K07 (Hot) - SA - MUR"/>
        <s v="K08 (Hot) - SA - MUR"/>
        <s v="K03 (Hot) - SA - MUR"/>
        <s v="K04 (Hot) - SA - MUR"/>
        <s v="K05 (Hot) - SA - MUR"/>
        <s v="K02 (Hot) - SA - MUR"/>
        <s v="K01 (Hot) - SA - MUR"/>
        <s v="K23 (Hot) - SA - MUR"/>
        <s v="K22 (Hot) - SA - MUR"/>
        <s v="K21 (Hot) - SA - MUR"/>
        <s v="K20 (Hot) - SA - MUR"/>
        <s v="K18 (Hot) - SA - MUR"/>
        <s v="K16 (Hot) - SA - MUR"/>
        <s v="K17 (Hot) - SA - MUR"/>
        <s v="K19 (Hot) - SA - MUR"/>
        <s v="K14 (Hot) - SA - MUR"/>
        <s v="K15 (Hot) - SA - MUR"/>
        <s v="K11 (Hot) - SA - MUR"/>
        <s v="K12 (Hot) - SA - MUR"/>
        <s v="K13 (Hot) - SA - MUR"/>
        <s v="K09 (Hot) - SA - MUR"/>
        <s v="K10 (Hot) - SA - MUR"/>
        <s v="K16 (Hot) - SA - RUH - Malga 1"/>
        <s v="K18 (Hot) - SA - RUH - Malga 1"/>
        <s v="K19 (Hot) - SA - RUH - Malga 1"/>
        <s v="K08 (Hot) - SA - RUH - Malga 1"/>
        <s v="K13 (Hot) - SA - RUH - QSM"/>
        <s v="K09 (Cold) - SA - RUH - Khaleej"/>
        <s v="K18 (Hot) - SA - RUH - Dahrat Laban"/>
        <s v="K23 (Hot) - SA - RUH - Khaleej"/>
        <s v="K21 (Hot) - SA - DMM - Rawda"/>
        <s v="K17 (Hot) - SA - RUH - Dahrat Laban"/>
        <s v="K10 (Hot) - SA - RUH - Sweidi"/>
        <s v="K09 (Hot) - SA - RUH - Sweidi"/>
        <s v="K03 (Cold) - SA - RUH - Olaya"/>
        <s v="K45 (Hot) - SA - RUH - Wadi"/>
        <s v="K40 (Hot) - SA - RUH - Wadi"/>
        <s v="K12 (Hot) SA - RUH - Qurtoba"/>
        <s v="K01 (Cold) - SA - RUH - Wadi"/>
        <s v="K23 (Hot) - SA - RUH - Dahrat Laban"/>
        <s v="K27 (Hot) - SA - RUH - Dahrat Laban"/>
        <s v="K22 (Hot) - SA - DMM - Zuhur"/>
        <s v="K01 (Hot) - SA - RUH - Arid (2)"/>
        <s v="K09 (Hot) - SA - RUH - Narjis"/>
        <s v="K16 (Hot) - SA - KBR - Aqrabiya"/>
        <s v="K15 (Hot) - SA - KBR - Aqrabiya"/>
        <s v="K08 (Hot) - SA - KBR - Aqrabiya"/>
        <s v="K03 (Hot) - SA - RUH - Salam"/>
        <s v="K04 (Cold) - SA - RUH - Wadi"/>
        <s v="K06 (Hot) - SA - RUH - Yasmin"/>
        <s v="K13 (Cold) - SA - RUH - Malga 1"/>
        <s v="K15 (Hot) - SA - RUH - Malga 1"/>
        <s v="K01 (Hot) - SA - DMM - Rawda"/>
        <s v="K04 (Hot) - SA - DMM - Rawda"/>
        <s v="K15 (Hot) - SA - DMM - Rawda"/>
        <s v="K17 (Hot) - SA - DMM - Rawda"/>
        <s v="K02 (Hot) - SA - DMM - Zuhur"/>
        <s v="K10 (Cold) - SA - RUH - King Faisal"/>
        <s v="K09 (Hot) - SA - RUH - King Faisal"/>
        <s v="K04 (Hot) - SA - RUH - Malga 2"/>
        <s v="K23 (Hot) - SA - RUH - King Fahd"/>
        <s v="K01 (Hot) - SA - RUH - King Fahd"/>
        <s v="K04 (Cold) - SA - RUH - QSM"/>
        <s v="K12 (Hot) - SA - RUH - Jarir"/>
        <s v="K05 (Hot) - SA - RUH - Sweidi"/>
        <s v="K07 (Hot) - SA - RUH - Sweidi"/>
        <s v="K23 (Hot) - SA - RUH - Wadi"/>
        <s v="K04 (Cold) - SA - RUH - Sweidi"/>
        <s v="K21 (Cold) - SA - RUH - Malga 1"/>
        <s v="K12 (Cold) - SA - RUH - Khaleej"/>
        <s v="K03 (Hot) - SA - RUH - Sweidi"/>
        <s v="K11 (Hot) - SA - RUH - Olaya"/>
        <s v="K13 (Hot) - SA - RUH - Malga 2"/>
        <s v="K24 (Hot) - SA - RUH - Wadi"/>
        <s v="K11 (Hot) SA - RUH - Qurtoba"/>
        <s v="K21 (Hot) - SA - RUH - Khaleej"/>
        <s v="K09 (Cold) - SA - RUH - Dahrat Laban"/>
        <s v="K17 (Hot) - SA - RUH - King Fahd"/>
        <s v="K02 (Hot) - SA - RUH - Sweidi"/>
        <s v="K06 (Hot) - SA - KBR - Aqrabiya"/>
        <s v="K23 (Cold) - SA - KBR - Aqrabiya"/>
        <s v="K19 (Cold) - SA - RUH - Khaleej"/>
        <s v="K27 (Hot) - SA - RUH - Khaleej"/>
        <s v="K11 (Hot) - SA - RUH - Aqiq"/>
        <s v="K18 (Cold) - SA - RUH - Aqiq"/>
        <s v="K01 (Hot) - SA - RUH - Malga 2"/>
        <s v="K04 (Hot) - SA - RUH - Aqiq"/>
        <s v="K06 (Hot) - SA - RUH - Olaya"/>
        <s v="K20 (Cold) - SA - RUH - Malga 2"/>
        <s v="K05 (Hot) - SA - RUH - Malga 1"/>
        <s v="K14 (Hot) - SA - JED - Bawadi"/>
        <s v="K01 (Hot) - SA - JED - Bawadi"/>
        <s v="K23 (Hot) - SA - JED - Bawadi"/>
        <s v="K06 (Hot) - SA - JED - Bawadi"/>
        <s v="K04 (Hot) - SA - JED - Bawadi"/>
        <s v="K17 (Hot) - SA - JED - Bawadi"/>
        <s v="K11 (Hot) - SA - JED - Bawadi"/>
        <s v="K11 (Hot) - SA - JED - Marwa"/>
        <s v="K07 (Hot) - SA - JED - Bawadi"/>
        <s v="K22 (Hot) - SA - JED - Bawadi"/>
        <s v="K10 (Hot) - SA - JED - Bawadi"/>
        <s v="K18 (Hot) - SA - JED - Bawadi"/>
        <s v="K20 (Hot) - SA - JED - Bawadi"/>
        <s v="K16 (Hot) - SA - JED - Bawadi"/>
        <s v="K25 (Hot) - SA - JED - Bawadi"/>
        <s v="K13 (Hot) - SA - JED - Bawadi"/>
        <s v="K19 (Hot) - SA - JED - Bawadi"/>
        <s v="K15 (Hot) - SA - JED - Bawadi"/>
        <s v="K05 (Hot) - SA - JED - Bawadi"/>
        <s v="K21 (Hot) - SA - JED - Bawadi"/>
        <s v="K03 (Hot) - SA - JED - Bawadi"/>
        <s v="K08 (Hot) - SA - JED - Bawadi"/>
        <s v="K02 (Hot) - SA - JED - Bawadi"/>
        <s v="K12 (Hot) - SA - JED - Bawadi"/>
        <s v="K06 (Hot) - SA - JED - Marwa"/>
        <s v="K09 (Hot) - SA - JED - Bawadi"/>
        <s v="K07 (Hot) - SA - JED - Marwa"/>
        <s v="K24 (Hot) - SA - JED - Bawadi"/>
        <s v="K14 (Cold) - SA - JED - Marwa"/>
        <s v="K16 (Cold) - SA - JED - Marwa"/>
        <s v="K02 (Hot) - SA - JED - Marwa"/>
        <s v="K12 (Hot) - SA - JED - Marwa"/>
        <s v="K13 (Hot) - SA - JED - Marwa"/>
        <s v="K03 (Hot) - SA - JED - Marwa"/>
        <s v="K25 (Hot) - SA - SAF"/>
        <s v="K08 (Hot) - SA - JED - Marwa"/>
        <s v="K04 (Hot) - SA - JED - Marwa"/>
        <s v="K05 (Hot) - SA - JED - Marwa"/>
        <s v="K10 (Hot) - SA - JED - Marwa"/>
        <s v="K09 (Hot) - SA - JED - Marwa"/>
        <s v="K15 (Hot) - SA - JED - Marwa"/>
        <s v="K01 (Hot) - SA - JED - Marwa"/>
        <s v="K04 (Hot) - SA - JED - Rehab"/>
        <s v="K09 (Hot) - SA - SAF"/>
        <s v="K10 (Hot) - SA - JED - Rehab"/>
        <s v="K12 (Hot) - SA - JED - Rehab"/>
        <s v="K06 (Hot) - SA - JED - Rehab"/>
        <s v="K09 (Hot) - SA - JED - Rehab"/>
        <s v="K18 (Hot) - SA - JED - Rehab"/>
        <s v="K02 (Hot) - SA - JED - Rehab"/>
        <s v="K03 (Hot) - SA - JED - Rehab"/>
        <s v="K05 (Hot) - SA - JED - Rehab"/>
        <s v="K11 (Hot) - SA - JED - Rehab"/>
        <s v="K13 (Hot) - SA - JED - Rehab"/>
        <s v="K14 (Hot) - SA - JED - Rehab"/>
        <s v="K15 (Hot) - SA - JED - Rehab"/>
        <s v="K16 (Hot) - SA - JED - Rehab"/>
        <s v="K17 (Hot) - SA - JED - Rehab"/>
        <s v="K01 (Hot) - SA - JED - Rehab"/>
        <s v="K07 (Cold) - SA - JED - Rehab"/>
        <s v="K08 (Cold) - SA - JED - Rehab"/>
        <s v="K14 (Hot) - SA - SAF"/>
        <s v="K07 (Hot) - SA - SAF"/>
        <s v="K06 (Hot) - SA - SAF"/>
        <s v="K10 (Cold) - SA - SAF"/>
        <s v="K27 (Hot) - SA - SAF"/>
        <s v="K15 (Cold) - SA - SAF"/>
        <s v="K17 (Hot) - SA - SAF"/>
        <s v="K16 (Hot) - SA - SAF"/>
        <s v="K04 (Hot) - SA - SAF"/>
        <s v="K08 (Hot) - SA - SAF"/>
        <s v="K28 (Hot) - SA - SAF"/>
        <s v="K29 (Hot) - SA - SAF"/>
        <s v="K23 (Hot) - SA - SAF"/>
        <s v="K13 (Hot) - SA - SAF"/>
        <s v="K12 (Hot) - SA - SAF"/>
        <s v="K11 (Hot) - SA - SAF"/>
        <s v="K03 (Hot) - SA - SAF"/>
        <s v="K21 (Hot) - SA - SAF"/>
        <s v="K22 (Hot) - SA - SAF"/>
        <s v="K24 (Hot) - SA - SAF"/>
        <s v="K26 (Hot) - SA - SAF"/>
        <s v="K19 (Hot) - SA - SAF"/>
        <s v="K18 (Hot) - SA - SAF"/>
        <s v="K05 (Hot) - SA - SAF"/>
        <s v="K02 (Hot) - SA - SAF"/>
        <s v="K01 (Cold) - SA - SAF"/>
        <s v="K20 (Hot) - SA - SAF"/>
        <s v="K05 (Hot) - SA - RUH - King Fahd"/>
        <s v="K03 (Hot) - SA - DMM - Rawda"/>
        <s v="K14 (Hot) - SA - RUH - Sweidi"/>
        <s v="K13 (Hot) - SA - RUH - Aqiq"/>
        <s v="K13 (Cold) - SA - DMM - Zuhur"/>
        <s v="K14 (CPU) - SA - DMM - Zuhur"/>
        <s v="K15 (Hot) - SA - DMM - Zuhur"/>
        <s v="K18 (Hot) - SA - RUH - Wadi"/>
        <s v="K25 (Hot) - SA - RUH - Sulimaniyah"/>
        <s v="K07 (Cold) - SA - RUH - Malga 1"/>
        <s v="K04 (Hot) - SA - RUH - Malga 1"/>
        <s v="K01 (Hot) - SA - KBR - Aqrabiya"/>
        <s v="K02 (Hot) - SA - DMM - Rawda"/>
        <s v="K01 (Hot) - SA - MSF"/>
        <s v="K02 (Hot) - SA - MSF"/>
        <s v="K03 (Hot) - SA - MSF"/>
        <s v="K05 (Hot) - SA - MSF"/>
        <s v="K08 (Hot) - SA - MSF"/>
        <s v="K13 (Hot) - SA - MSF"/>
        <s v="K17 (Hot) - SA - MSF"/>
        <s v="K21 (Hot) - SA - MSF"/>
        <s v="K26 (Hot) - SA - MSF"/>
        <s v="K29 (Hot) - SA - MSF"/>
        <s v="K04 (Hot) - SA - MSF"/>
        <s v="K06 (Hot) - SA - MSF"/>
        <s v="K07 (Hot) - SA - MSF"/>
        <s v="K10 (Hot) - SA - MSF"/>
        <s v="K15 (Cold) - SA - MSF"/>
        <s v="K22 (Hot) - SA - MSF"/>
        <s v="K27 (Cold) - SA - MSF"/>
        <s v="K30 (Cold) - SA - MSF"/>
        <s v="K09 (Hot) - SA - MSF"/>
        <s v="K11 (Hot) - SA - MSF"/>
        <s v="K12 (Hot) - SA - MSF"/>
        <s v="K18 (Hot) - SA - MSF"/>
        <s v="K24 (Hot) - SA - MSF"/>
        <s v="K14 (Cold) - SA - MSF"/>
        <s v="K16 (Hot) - SA - MSF"/>
        <s v="K19 (Hot) - SA - MSF"/>
        <s v="K23 (Hot) - SA - MSF"/>
        <s v="K20 (Hot) - SA - MSF"/>
        <s v="K25 (Hot) - SA - MSF"/>
        <s v="K28 (Hot) - SA - MSF"/>
        <s v="K13 (Hot) - SA - RUH - Jarir"/>
        <s v="K10 (Hot) - SA - DMM - Rawda"/>
        <s v="K10 (Hot) - SA - RUH - Malga 1"/>
        <s v="K19 (Cold) - SA - RUH - Aqiq"/>
        <s v="K09 (Hot) - SA - RUH - Dahrat Laban"/>
        <s v="K09 (Cold) - SA - RUH - King Fahd"/>
        <s v="K14 (Cold) - SA - RUH - Khaleej"/>
        <s v="K08 (Hot) - SA - RUH - Narjis"/>
        <s v="K08 (Cold)- KSA - AHS- Hofuf"/>
        <s v="K06 (Hot) - SA - RUH - Khaleej"/>
        <s v="K02 (CPU) - SA - RUH - QSM"/>
        <s v="K07 (Hot) - SA - RUH - Dahrat Laban"/>
        <s v="K02 (Cold) - SA - RUH - Sweidi"/>
        <s v="K18 (Hot) - SA - RUH - King Fahd"/>
        <s v="K28 (Hot) - SA - RUH - Wadi"/>
        <s v="K21 (Cold) - SA - RUH - Aqiq"/>
        <s v="K11 (Hot) - SA - RUH - Dahrat Laban"/>
        <s v="K08 (Hot) - SA - RUH - Dahrat Laban"/>
        <s v="K03 (Hot) - SA - RUH - Aqiq"/>
        <s v="K03 (Hot) - SA - RUH - Malga 1"/>
        <s v="K03 (Hot) - SA - RUH - Olaya"/>
        <s v="K25 (Cold) - SA - RUH - Malga 2"/>
        <s v="K20 (Hot) - SA - RUH - Sulimaniyah"/>
        <s v="K23 (Hot) - SA - RUH - Malga 2"/>
        <s v="K28 (Hot) - SA - RUH - King Fahd"/>
        <s v="K28 (CPU) - SA - KBR - Aqrabiya"/>
        <s v="K10 (Cold) - SA - RUH - Yasmin"/>
        <s v="K12 (Cold) - SA - RUH - QSM"/>
        <s v="K08 (Hot) - SA - RUH - Olaya"/>
        <s v="K24 (Cold) - SA - RUH - Malga 2"/>
        <s v="K21 (CPU) - SA - RUH - Arid"/>
        <s v="K01 (Hot) - SA - RUH - Arid"/>
        <s v="K15 (Hot) - SA - RUH - Arid"/>
        <s v="K16 (Hot) - SA - RUH - Arid"/>
        <s v="K07 (Hot) - SA - RUH - Arid"/>
        <s v="K03 (Hot) - SA - RUH - Arid"/>
        <s v="K18 (Hot) - SA - RUH - Arid"/>
        <s v="K06 (Hot) - SA - RUH - Arid"/>
        <s v="K13 (Hot) - SA - RUH - Arid"/>
        <s v="K02 (Hot) - SA - RUH - Arid"/>
        <s v="K04 (Hot) - SA - RUH - Arid"/>
        <s v="K05 (Hot) - SA - RUH - Arid"/>
        <s v="K08 (Hot) - SA - RUH - Arid"/>
        <s v="K09 (Hot) - SA - RUH - Arid"/>
        <s v="K10 (Hot) - SA - RUH - Arid"/>
        <s v="K11 (Hot) - SA - RUH - Arid"/>
        <s v="K12 (Hot) - SA - RUH - Arid"/>
        <s v="K14 (Hot) - SA - RUH - Arid"/>
        <s v="K17 (Hot) - SA - RUH - Arid"/>
        <s v="K19 (Hot) - SA - RUH - Arid"/>
        <s v="K20 (Cold) - SA - RUH - Arid"/>
        <s v="K19 (CPU) - KSA - AHS- Hofuf"/>
        <s v="K07 (Cold)- KSA - AHS- Hofuf"/>
        <s v="K01 (Cold) - SA - RUH - Yasmin"/>
        <s v="K29 (CPU) - SA - KBR - Aqrabiya"/>
        <s v="K27 (Hot) - SA - RUH - King Fahd"/>
        <s v="K17 (Hot) - SA - RUH - Aqiq"/>
        <s v="K02 (Hot) - SA - RUH - Aqiq"/>
        <s v="K18 (Hot) - SA - RUH - Sweidi"/>
        <s v="K07 (Cold) - SA - RUH - Malga 2"/>
        <s v="K15 (Hot) - SA - RUH - Yasmin"/>
        <s v="K18 (Hot) - SA - RUH - Yasmin"/>
        <s v="K06 (Hot) - SA - DMM - Rawda"/>
        <s v="K08 (Hot) - SA - DMM - Rawda"/>
        <s v="K15 (Hot) - SA - RUH - Dahrat Laban"/>
        <s v="K09 (Hot) - SA - RUH - Yasmin"/>
        <s v="K15 (Cold) - SA - RUH - Malga 2"/>
        <s v="K01 (Hot) - SA - RUH - Rawdah"/>
        <s v="K07 (Hot) - SA - RUH - Khaleej"/>
        <s v="K16 (Cold) - SA - RUH - Rawdah"/>
        <s v="K18 (Hot) - SA - RUH - Rawdah"/>
        <s v="K09 (Hot) - SA - RUH - Rawdah"/>
        <s v="K16 (Hot) - SA - RUH - Aqiq"/>
        <s v="K20 (Hot) - SA - RUH - Rawdah"/>
        <s v="K08 (Hot) - SA - RUH - Rawdah"/>
        <s v="K06 (Cold) - SA - RUH - Rawdah"/>
        <s v="K19 (Hot) - SA - RUH - Rawdah"/>
        <s v="K05 (Hot) - SA - RUH - Rawdah"/>
        <s v="K02 (Cold) - SA - RUH - Rawdah"/>
        <s v="K11 (Hot) - SA - RUH - Rawdah"/>
        <s v="K03 (Cold) - SA - RUH - Rawdah"/>
        <s v="K04 (Cold) - SA - RUH - Rawdah"/>
        <s v="K07 (Hot) - SA - RUH - Rawdah"/>
        <s v="K10 (Hot) - SA - RUH - Rawdah"/>
        <s v="K12 (Hot) - SA - RUH - Rawdah"/>
        <s v="K13 (Hot) - SA - RUH - Rawdah"/>
        <s v="K14 (Hot) - SA - RUH - Rawdah"/>
        <s v="K21 (Hot) - SA - RUH - Rawdah"/>
        <s v="K15 (Hot) - SA - RUH - Rawdah"/>
        <s v="K17 (Hot) - SA - RUH - Rawdah"/>
        <s v="K47 (Hot) - SA - RUH - Wadi"/>
        <s v="K23 (Cold) - SA - RUH - Jarir"/>
        <s v="K27 (Cold) - SA - KBR - Aqrabiya"/>
        <s v="K16 (Hot) SA - RUH - Qurtoba"/>
        <s v="K21 (Hot) - SA - RUH - Jarir"/>
        <s v="K05 (Hot)- KSA - AHS- Hofuf"/>
        <s v="K35 (Cold) - SA - RUH - Khaleej"/>
        <s v="K17 (Hot) - SA - KBR - Aqrabiya"/>
        <s v="K01 (Hot) - SA - RUH - Dahrat Laban"/>
        <s v="K04 (Hot) - SA - RUH - Sulimaniyah"/>
        <s v="K17 (Hot) - SA - RUH - Yasmin"/>
        <s v="K31 (Hot) - SA - RUH - Wadi"/>
        <s v="K06 (Cold) - SA - RUH - Malga 1"/>
        <s v="K07 (Hot) SA - RUH - Qurtoba"/>
        <s v="K30 (CPU) - SA - KBR - Aqrabiya"/>
        <s v="K08 (Hot) SA - RUH - Qurtoba"/>
        <s v="K04 (Cold) SA - RUH - Qurtoba"/>
        <s v="K11 (Cold) - SA - RUH - Malga 1"/>
        <s v="K17 (Hot) - SA - RUH - Malga 1"/>
        <s v="K19 (Hot) - SA - RUH - Yasmin"/>
        <s v="K25 (Hot) - SA - RUH - Wadi"/>
        <s v="K30 (Hot) - SA - RUH - Wadi"/>
        <s v="K02 (Cold) - SA - RUH - Tuwaiq"/>
        <s v="K14 (Hot) - SA - RUH - Tuwaiq"/>
        <s v="K05 (Hot) - SA - RUH - Tuwaiq"/>
        <s v="K15 (Hot) - SA - RUH - Tuwaiq"/>
        <s v="K08 (Cold) - SA - RUH - Tuwaiq"/>
        <s v="K16 (Cold) - SA - RUH - Tuwaiq"/>
        <s v="K18 (Hot) - SA - RUH - Tuwaiq"/>
        <s v="K10 (Hot) - SA - RUH - Tuwaiq"/>
        <s v="K11 (Hot) - SA - RUH - Tuwaiq"/>
        <s v="K04 (Hot) - SA - RUH - Tuwaiq"/>
        <s v="K07 (Hot) - SA - RUH - Tuwaiq"/>
        <s v="K17 (Cold) - SA - RUH - Tuwaiq"/>
        <s v="K03 (Hot) - SA - RUH - Tuwaiq"/>
        <s v="K06 (Hot) - SA - RUH - Tuwaiq"/>
        <s v="K01 (Cold) - SA - RUH - Tuwaiq"/>
        <s v="K09 (Cold) - SA - RUH - Tuwaiq"/>
        <s v="K13 (Hot) - SA - RUH - Tuwaiq"/>
        <s v="K12 (Hot) - SA - RUH - Tuwaiq"/>
        <s v="K01 (Hot) - KSA - AHS - Hofuf"/>
        <s v="K03 (Hot) - SA - RUH - Khaleej"/>
        <s v="K16 (Hot) - SA - RUH - Malga 2"/>
        <s v="K16 (Hot) - SA - RUH - Narjis"/>
        <s v="K19 (Hot) - SA - DMM - Rawda"/>
        <s v="K22 (Hot) - SA - RUH - Dahrat Laban"/>
        <s v="K02 (Cold) - SA - RUH - Olaya"/>
        <s v="K18 (Hot) - SA - RUH - Olaya"/>
        <s v="K12 (Hot) - SA - RUH - Narjis"/>
        <s v="K12 (Hot) - SA - RUH - Yasmin"/>
        <s v="K21 (Cold) - SA - RUH - Salam"/>
        <s v="K12 (Hot) - SA - RUH - Salam"/>
        <s v="K09 (Hot) SA - RUH - Qurtoba"/>
        <s v="K22 (Cold) - SA - RUH - Malga 1"/>
        <s v="K06 (Cold) SA - RUH - Qurtoba"/>
        <s v="K02 (Cold) - SA - RUH - Narjis"/>
        <s v="K26 (Hot) - SA - RUH - Wadi"/>
        <s v="K07 (Hot) - SA - RUH - Yasmin"/>
        <s v="K20 (Cold) - SA - RUH - Salam"/>
        <s v="K14 (Hot) - SA - RUH - Salam"/>
        <s v="K13 (Hot) - SA - RUH - Salam"/>
        <s v="K15 (Cold) - SA - RUH - Salam"/>
        <s v="K17 (Hot) - SA - RUH - Salam"/>
        <s v="K18 (Hot) - SA - RUH - Salam"/>
        <s v="K19 (Hot) - SA - RUH - Salam"/>
        <s v="K12 (Hot) - SA - RUH - Sweidi"/>
        <s v="K06 (Hot) - SA - RUH - King Fahd"/>
        <s v="K18 (Cold) - SA - DMM - Rawda"/>
        <s v="K31 Basement - SA - MSF"/>
        <s v="K17 (Hot) - SA - JED - Marwa"/>
        <s v="K20 (Hot) - SA - RUH - Yasmin"/>
        <s v="K13 (Hot) - SA - RUH - Sweidi"/>
        <s v="K22 (Hot) - SA - RUH - Khaleej"/>
        <s v="K03 (Hot) SA - RUH - Qurtoba"/>
        <s v="K12 (Hot) - SA - RUH - Malga 2"/>
        <s v="K19 (Hot) - SA - RUH - Narjis"/>
        <s v="K14 (Hot) - SA - RUH - Malga 2"/>
        <s v="K13 (Hot) - SA - RUH - Yasmin"/>
        <s v="K29 (Hot) - SA - RUH - Wadi"/>
        <s v="K01 (Hot) - SA - RUH - Khaleej"/>
        <s v="K21 (Hot) - SA - RUH - King Fahd"/>
        <s v="K13 (Hot) - SA - RUH - Arid (2)"/>
        <s v="K04 (Hot) - SA - RUH - Khaleej"/>
        <s v="K01 (Hot) - BH - MAN - UAH"/>
        <s v="K21 (Cold) - SA - RUH - Malga 2"/>
        <s v="K05 (Hot) - SA - RUH - Narjis"/>
        <s v="K27 (Hot) - SA - RUH - Narjis"/>
        <s v="K26 (Hot) - SA - RUH - Narjis"/>
        <s v="K20 (Hot) - SA - RUH - Narjis"/>
        <s v="K21 (Hot) - SA - RUH - Narjis"/>
        <s v="K22 (Hot) - SA - RUH - Narjis"/>
        <s v="K23 (Hot) - SA - RUH - Narjis"/>
        <s v="K25 (Hot) - SA - RUH - Narjis"/>
        <s v="K24 (Hot) - SA - RUH - Narjis"/>
        <s v="K14 (Hot) - SA - RUH - Sulimaniyah"/>
        <s v="K16 (Hot) - SA - RUH - Sulimaniyah"/>
        <s v="K17 (Hot) - SA - RUH - Sulimaniyah"/>
        <s v="K19 (Hot) - SA - RUH - Sulimaniyah"/>
        <s v="K02 (Hot) SA - RUH - Qurtoba"/>
        <s v="K12 (Hot) - SA - RUH - Wadi"/>
        <s v="K01 (Cold) - SA - RUH - Dahrat Laban"/>
        <s v="K30 (Cold) - SA - RUH - Khaleej"/>
        <s v="K24 (Hot) - SA - RUH - Salam"/>
        <s v="K13 (Hot) - SA - RUH - Sulimaniyah"/>
        <s v="K14 (Hot) - SA - RUH - Yasmin"/>
        <s v="K10 (Cold) - SA - RUH - Sulimaniyah"/>
        <s v="K03 (Hot) - BH - MAN - UAH"/>
        <s v="K15 (Hot) - SA - RUH - Sulimaniyah"/>
        <s v="K04 (Cold) - SA - RUH - Olaya"/>
        <s v="K12 (Hot) - SA - RUH - Sulimaniyah"/>
        <s v="K11 (Cold) - SA - RUH - Sulimaniyah"/>
        <s v="K06 (Cold) - SA - RUH - Malga 2"/>
        <s v="K13 (Hot) - SA - RUH - Narjis"/>
        <s v="K05 (Hot) - SA - DMM - Rawda"/>
        <s v="K03 (Cold) - SA - RUH - Dahrat Laban"/>
        <s v="K11 (Cold) - SA - RUH - Salam"/>
        <s v="K03 (Hot) - SA - RUH - Malga 2"/>
        <s v="K15 (Hot) SA - RUH - Qurtoba"/>
        <s v="K24 (CPU) - SA - RUH - Jarir"/>
        <s v="K26 (CPU) - SA - RUH - Sulimaniyah"/>
        <s v="K08 (Hot) - SA - RUH - Sulimaniyah"/>
        <s v="K06 (Hot) - SA - RUH - Narjis"/>
        <s v="K03 (Hot) - SA - RUH - Wadi"/>
        <s v="K07 (Hot) - SA - RUH - Aqiq"/>
        <s v="K04 (Hot) - SA - RUH - Narjis"/>
        <s v="K01 (Hot) - SA - DMM - Zuhur"/>
        <s v="K02 (Cold) - SA - RUH - Yasmin"/>
        <s v="K12 (Hot) - SA - DMM - Rawda"/>
        <s v="K03 (Hot) - BAH - MAN-Issa Town"/>
        <s v="K16 (Hot) - BAH - MAN-Issa Town"/>
        <s v="K05 (Hot) - BAH - MAN-Issa Town"/>
        <s v="K14 (Hot) - BAH - MAN-Issa Town"/>
        <s v="K13 (Hot) - BAH - MAN-Issa Town"/>
        <s v="K04 (Hot) - BAH - MAN-Issa Town"/>
        <s v="K15 (Hot) - BAH - MAN-Issa Town"/>
        <s v="K12 (Hot) - BAH - MAN-Issa Town"/>
        <s v="K11 (Hot) - BAH - MAN-Issa Town"/>
        <s v="K15 (Hot) - SA - RUH - King Faisal"/>
        <s v="K20 (Hot) - SA - DMM - Zuhur"/>
        <s v="K24 (Hot) - SA - RUH - Khaleej"/>
        <s v="K09 (Cold) - SA - RUH - Wadi"/>
        <s v="K29 (Hot) - SA - RUH - Malga 2"/>
        <s v="K24 (Cold) - SA - KBR - Aqrabiya"/>
        <s v="K18 (CPU) - SA - RUH - QSM"/>
        <s v="K28 (Hot) - SA - RUH - Khaleej"/>
        <s v="K10 (Cold) - SA - RUH - Wadi"/>
        <s v="K22 (Hot) - SA - KBR - Aqrabiya"/>
        <s v="K17 (Hot) - SA - RUH - Narjis"/>
        <s v="K22 (Hot) - SA - RUH - Malga 2"/>
        <s v="K18 (Cold) - SA - RUH - Sulimaniyah"/>
        <s v="K08 (Cold) - SA - RUH - Wadi"/>
        <s v="K11 (Hot) - BH - MAN - UAH"/>
        <s v="K14 (Hot) - BH - MAN - UAH"/>
        <s v="K02 (Hot) - SA - RUH - Olaya"/>
        <s v="K11 (Cold) - SA - RUH - Wadi"/>
        <s v="K01 (Hot) SA - RUH - Qurtoba"/>
        <s v="K11 (Cold) - SA - RUH - King Fahd"/>
        <s v="K07 (Cold) - SA - RUH - Wadi"/>
        <s v="K20 (Cold) - SA - RUH - Aqiq"/>
        <s v="K17 (Hot) SA - RUH - Qurtoba"/>
        <s v="K06 (Hot) - SA - RUH - QSM"/>
        <s v="K01 (Cold) - SA - RUH - Sweidi"/>
        <s v="K04 (Cold) - SA - DMM - Zuhur"/>
        <s v="K05 (Hot) - SA - DMM - Zuhur"/>
        <s v="K09 (Hot) - SA - DMM - Zuhur"/>
        <s v="K08 (Cold) - SA - DMM - Zuhur"/>
        <s v="K07 (Hot) - SA - DMM - Zuhur"/>
        <s v="K06 (Hot) - SA - DMM - Zuhur"/>
        <s v="K10 (Hot) - SA - DMM - Zuhur"/>
        <s v="K11 (Hot) - SA - DMM - Zuhur"/>
        <s v="K12 (Hot) - SA - DMM - Zuhur"/>
        <s v="K25 (CPU) - SA - DMM - Zuhur"/>
        <s v="K14 (Hot) - SA - RUH - Malga 1"/>
        <s v="K08 (Cold) SA - RUH - Qurtoba"/>
        <s v="K19 (Hot) - SA - DMM - Zuhur"/>
        <s v="K05 (Cold) - SA - RUH - Dahrat Laban"/>
        <s v="K05 (Hot) - SA - RUH - Khaleej"/>
        <s v="K19 (Hot) - SA - RUH - King Fahd"/>
        <s v="K24 (Hot) - SA - DMM - Zuhur"/>
        <s v="K04 (Hot) - SA - RUH - Olaya"/>
        <s v="K16 (Hot) - BH - MAN - UAH"/>
        <s v="K34 (Cold) - SA - RUH - Khaleej"/>
        <s v="K26 (Hot) SA - RUH - Qurtoba"/>
        <s v="K18 (Hot) - SA - RUH - Narjis"/>
        <s v="K28 (CPU) - SA - Narjis"/>
        <s v="K09 (Hot) - SA - RUH - Sulimaniyah"/>
        <s v="K21 (Hot) - SA - RUH - Sulimaniyah"/>
        <s v="K32 (Hot) SA - RUH - Qurtoba"/>
        <s v="K28 (Hot) SA - RUH - Qurtoba"/>
        <s v="K29 (Hot) SA - RUH - Qurtoba"/>
        <s v="K33 (Hot) SA - RUH - Qurtoba"/>
        <s v="K37 (Hot) SA - RUH - Qurtoba"/>
        <s v="K41 (Hot) SA - RUH - Qurtoba"/>
        <s v="K34 (Hot) SA - RUH - Qurtoba"/>
        <s v="K35 (Hot) SA - RUH - Qurtoba"/>
        <s v="K36 (Hot) SA - RUH - Qurtoba"/>
        <s v="K39 (Hot) SA - RUH - Qurtoba"/>
        <s v="K40 (Hot) SA - RUH - Qurtoba"/>
        <s v="K24 (Hot) - SA - RUH - King Fahd"/>
        <s v="K43 (Hot) SA - RUH - Qurtoba"/>
        <s v="K22 (Hot) SA - RUH - Qurtoba"/>
        <s v="K38 (Hot) - SA - RUH - Wadi"/>
        <s v="K04 (Hot) - SA - RUH - Yasmin"/>
        <s v="K31 (Hot) SA - RUH - Qurtoba"/>
        <s v="K42 (Hot) SA - RUH - Qurtoba"/>
        <s v="K30 (Hot) SA - RUH - Qurtoba"/>
        <s v="K45 (CPU) SA - RUH - Qurtoba"/>
        <s v="K07 (Cold) SA - RUH - Qurtoba"/>
        <s v="K44 (Hot) SA - RUH - Qurtoba"/>
        <s v="K44 (Hot) - SA - RUH - Wadi"/>
        <s v="K21 (Hot) SA - RUH - Qurtoba"/>
        <s v="K01 (Hot) - SA - RUH - King Faisal"/>
        <s v="K27 (Hot) SA - RUH - Qurtoba"/>
        <s v="K38 (Hot) SA - RUH - Qurtoba"/>
        <s v="K09 (Cold) - SA - RUH - Jarir"/>
        <s v="K14 (Hot) - SA - RUH - Wadi"/>
        <s v="K13 (Hot) - SA - RUH - King Faisal"/>
        <s v="K16 (Hot) - SA - DMM - Rawda"/>
        <s v="K07 (Hot) - SA - RUH - Salam"/>
        <s v="K16 (Hot) - SA - RUH - Sweidi"/>
        <s v="K12 (Hot) - SA - RUH - Aqiq"/>
        <s v="K05 (Hot) - SA - RUH - Dahrat Laban"/>
        <s v="K16 (Hot) - SA - RUH - King Fahd"/>
        <s v="K17 (Hot) - SA - RUH - Wadi"/>
        <s v="K20 (Hot) - SA - RUH - King Fahd"/>
        <s v="K03 (Cold) - SA - RUH - Wadi"/>
        <s v="K12 (Cold) - SA - RUH - Wadi"/>
        <s v="K12 (Hot) - SA - RUH - Dahrat Laban"/>
        <s v="K20 (Cold) - SA - RUH - Malga 1"/>
        <s v="K15 (Hot) - BH - MAN - UAH"/>
        <s v="K02 (Cold) - SA - RUH - Wadi"/>
        <s v="K16 (Cold) - SA - RUH - Yasmin"/>
        <s v="K03 (Cold) SA - RUH - Qurtoba"/>
        <s v="K15 (Hot) - SA - RUH - Narjis"/>
        <s v="K22 (Hot) - SA - RUH - Salam"/>
        <s v="K27 (Cold) - SA - RUH - Malga 2"/>
        <s v="K02 (Hot) - SA - RUH - King Fahd"/>
        <s v="K15 (Hot) - SA - RUH - Wadi"/>
        <s v="K23 (Cold) - SA - RUH - Malga 1"/>
        <s v="K26 (Cold) - SA - KBR - Aqrabiya"/>
        <s v="K09 (Cold)- KSA - AHS- Hofuf"/>
        <s v="K05 (Cold) - SA - RUH - Wadi"/>
        <s v="K06 (Cold) - SA - RUH - Sweidi"/>
        <s v="K10 (Hot) - SA - RUH - Olaya"/>
        <s v="K11 (Hot)- KSA - AHS- Hofuf"/>
        <s v="K01 (Hot) - SA - RUH - Jarir"/>
        <s v="K14 (Hot) - SA - RUH - King Faisal"/>
        <s v="K04 (Hot) - SA - RUH - Wadi"/>
        <s v="K01 (Hot) - SA - RUH - SWD2"/>
        <s v="K13 (Hot) - SA - RUH - Khaleej"/>
        <s v="K25 (Hot) - SA - RUH - Dahrat Laban"/>
        <s v="K29 (Hot) - SA - RUH - Dahrat Laban"/>
        <s v="K09 (Cold) - SA - RUH - Malga 1"/>
        <s v="K06 (Cold) - SA - RUH - Salam"/>
        <s v="K07 (Hot) - SA - DMM - Rawda"/>
        <s v="K05 (Hot) - SA - KBR - Aqrabiya"/>
        <s v="K11 (Hot) - SA - DMM - Rawda"/>
        <s v="K09 (Hot) - SA - RUH - Arid (2)"/>
        <s v="K10 (Cold) - SA - KBR - Aqrabiya"/>
        <s v="K03 (Hot) - SA - RUH - Sulimaniyah"/>
        <s v="K08 (Hot) - SA - RUH - Aqiq"/>
        <s v="K20 (Hot) - SA - RUH - Arid (2)"/>
        <s v="K07 (Hot) - SA - RUH - Arid (2)"/>
        <s v="K29 (Cold) - SA - RUH - Khaleej"/>
        <s v="K09 (Hot) - SA - RUH - Wadi"/>
        <s v="K20 (Cold) - SA - KBR - Aqrabiya"/>
        <s v="K02 (Hot) - SA - RUH - Sulimaniyah"/>
        <s v="K02 (Hot) - SA - RUH - Malga 2"/>
        <s v="K25 (Hot) - SA - RUH - Khaleej"/>
        <s v="K01 (Hot) - SA - RUH - Sweidi"/>
        <s v="K29 (Cold) - SA - RUH - King Fahd"/>
        <s v="K04 (Hot) - SA - RUH - King Faisal"/>
        <s v="K19 (Hot) - SA - RUH - Jarir"/>
        <s v="K19 (Hot) - SA - RUH - Arid (2)"/>
        <s v="K10 (Hot) - SA - RUH - Wadi"/>
        <s v="K19 (Hot) - SA - RUH - Malga 2"/>
        <s v="K03 (Hot) - SA - KBR - Aqrabiya"/>
        <s v="K31 (Hot) - SA - RUH - Khaleej"/>
        <s v="K05 (Hot) SA - RUH - Qurtoba"/>
        <s v="K05 (Cold) - SA - RUH - Sweidi"/>
        <s v="K07 (Hot) - SA - RUH - Sulimaniyah"/>
        <s v="K03 (Hot) - SA - RUH - Yasmin"/>
        <s v="K10 (Hot) - SA - RUH - Malga 2"/>
        <s v="K08 (Hot) - SA - RUH - Yasmin"/>
        <s v="K07 (Hot) - SA - RUH - Olaya"/>
        <s v="K03 (Hot) - SA - RUH - Dahrat Laban"/>
        <s v="K16 (Hot) - SA - RUH - King Faisal"/>
        <s v="K06 (Hot) SA - RUH - Qurtoba"/>
        <s v="K04 (Hot) - SA - RUH - Salam"/>
        <s v="K22 (Hot) - SA - RUH - King Faisal"/>
        <s v="K03 (Cold) - SA - DMM - Zuhur"/>
        <s v="K13 (Hot) - SA - RUH - Dahrat Laban"/>
        <s v="K28 (Hot) - SA - RUH - Malga 2"/>
        <s v="K13 (Hot) - SA - DMM - Rawda"/>
        <s v="K11 (Cold) - SA - RUH - Khaleej"/>
        <s v="K09 (Cold) - SA - DMM - Rawda"/>
        <s v="K02 (Cold) SA - RUH - Qurtoba"/>
        <s v="K23 (Hot) - SA - DMM - Rawda"/>
        <s v="K04 (Cold) - SA - RUH - Dahrat Laban"/>
        <s v="K10 (Hot) - SA - RUH - Dahrat Laban"/>
        <s v="K06 (Hot) - SA - RUH - SWD2"/>
        <s v="K02 (Hot) - SA - RUH - SWD2"/>
        <s v="K04 (Hot) - SA - RUH - SWD2"/>
        <s v="K09 (Hot) - SA - RUH - SWD2"/>
        <s v="K10 (Hot) - SA - RUH - SWD2"/>
        <s v="K11 (Hot) - SA - RUH - SWD2"/>
        <s v="K11 (Hot) - SA - RUH - Sweidi"/>
        <s v="K17 (Cold)- KSA - AHS- Hofuf"/>
        <s v="K05 (Hot) - SA - RUH - Arid (2)"/>
        <s v="K26 (Cold) - SA - RUH - Malga 2"/>
        <s v="K07 (Hot) - SA - RUH - King Fahd"/>
        <s v="K10 (Hot) - SA - RUH - Narjis"/>
        <s v="K05 (Cold) SA - RUH - Qurtoba"/>
        <s v="K10 (Cold) - SA - RUH - Khaleej"/>
        <s v="K23 (Hot) - SA - RUH - King Faisal"/>
        <s v="K09 (Hot) - SA - KBR - Aqrabiya"/>
        <s v="K21 (Hot) - SA - DMM - Zuhur"/>
        <s v="K05 (Hot) - SA - RUH - Malga 2"/>
        <s v="K02 (Hot) - SA - RUH - Khaleej"/>
        <s v="K24 (Cold) - SA - DMM - Rawda"/>
        <s v="K33 (Cold) - SA - RUH - Khaleej"/>
        <s v="K16 (Hot) - SA - RUH - Olaya"/>
        <s v="K16 (Hot) - SA - RUH - Khaleej"/>
        <s v="K03 (Cold) - SA - RUH - Narjis"/>
        <s v="K08 (Hot) - SA - RUH - King Faisal"/>
        <s v="K03 (Hot) - SA - RUH - Jarir"/>
        <s v="K20 (Hot) - SA - RUH - Dahrat Laban"/>
        <s v="K14 (Hot) - SA - RUH - Jarir"/>
        <s v="K15 (Hot) - SA - RUH - Jarir"/>
        <s v="K21 (Hot) - BH - MAN - UAH"/>
        <s v="K02 (Hot) - SA - RUH - Jarir"/>
        <s v="K08 (Hot) - SA - RUH - Sweidi"/>
        <s v="K01 (Hot) - SA - DMM - Ghirnatah 2"/>
        <s v="K09 (Hot) - SA - RUH - Olaya"/>
        <s v="K11 (Cold) - SA - RUH - Yasmin"/>
        <s v="K01 (Hot) - SA - RUH - Wadi"/>
        <s v="K17 (Hot) - SA - RUH - Khaleej"/>
        <s v="K19 (Hot) - SA - RUH - Dahrat Laban"/>
        <s v="K21 (Hot) - SA - RUH - Arid (2)"/>
        <s v="K02 (Hot) - SA - RUH - Dahrat Laban"/>
        <s v="K04 (Hot)- KSA - AHS- Hofuf"/>
        <s v="K08 (Hot) - SA - RUH - Salam"/>
        <s v="K06 (Hot) - SA - RUH - Wadi"/>
        <s v="K25 (Cold) - SA - KBR - Aqrabiya"/>
        <s v="K14 (Hot) SA - RUH - Qurtoba"/>
        <s v="K24 (Hot) - SA - RUH - Sulimaniyah"/>
        <s v="K22 (Cold) - SA - RUH - Sulimaniyah"/>
        <s v="K23 (Hot) - SA - RUH - Sulimaniyah"/>
        <s v="K10 (Hot) - SA - RUH - QSM"/>
        <s v="K20 (Hot) SA - RUH - Qurtoba"/>
        <s v="K05 (Hot) - SA - RUH - Aqiq"/>
        <s v="K10 (Hot) - SA - RUH - Salam"/>
        <s v="K04 (Hot) - SA - RUH - Jarir"/>
        <s v="K23 (Hot) SA - RUH - Qurtoba"/>
        <s v="K05 (Hot) - SA - RUH - SWD2"/>
        <s v="K07 (Hot) - SA - RUH - SWD2"/>
        <s v="K12 (Hot) - SA - RUH - SWD2"/>
        <s v="K08 (Hot) - SA - RUH - SWD2"/>
        <s v="K13 (Hot) - SA - RUH - SWD2"/>
        <s v="K03 (Hot) - SA - RUH - SWD2"/>
        <s v="K25 (Cold) - SA - RUH - King Fahd"/>
        <s v="K08 (Hot) - SA - RUH - Malga 2"/>
        <s v="K18 (Hot) - SA - RUH - Malga 2"/>
        <s v="K09 (Hot) - SA - RUH - Malga 2"/>
        <s v="K06 (Hot) - SA - RUH - Aqiq"/>
        <s v="K16 (Hot) - SA - RUH - Wadi"/>
        <s v="K17 (Hot) - SA - RUH - Malga 2"/>
        <s v="K10 (Hot) SA - RUH - Qurtoba"/>
        <s v="K18 (Hot)- KSA - AHS- Hofuf"/>
        <s v="K06 (Hot) - SA - RUH - Sulimaniyah"/>
        <s v="K02 (Hot) - SA - RUH - Wadi"/>
        <s v="K03 (Hot) - SA - DMM - Ghirnatah 2"/>
        <s v="K06 (Hot)- KSA - AHS- Hofuf"/>
        <s v="K12 (Hot) - SA - DMM - Ghirnatah 2"/>
        <s v="K05 (Hot) - SA - DMM - Ghirnatah 2"/>
        <s v="K07 (Hot) - SA - DMM - Ghirnatah 2"/>
        <s v="K02 (Hot) - SA - DMM - Ghirnatah 2"/>
        <s v="K04 (Hot) - SA - DMM - Ghirnatah 2"/>
        <s v="K08 (Hot) - SA - DMM - Ghirnatah 2"/>
        <s v="K14 (Hot) - SA - DMM - Ghirnatah 2"/>
        <s v="K06 (Hot) - SA - DMM - Ghirnatah 2"/>
        <s v="K09 (Hot) - SA - DMM - Ghirnatah 2"/>
        <s v="K10 (Hot) - SA - DMM - Ghirnatah 2"/>
        <s v="K11 (Hot) - SA - DMM - Ghirnatah 2"/>
        <s v="K13 (Hot) - SA - DMM - Ghirnatah 2"/>
        <s v="K06 (Cold) - SA - RUH - Wadi"/>
        <s v="K14 (Hot) - SA - RUH - Dahrat Laban"/>
        <s v="K06 (Hot) - SA - RUH - Jarir"/>
        <s v="K01 (Cold) - SA - RUH - Sulimaniyah"/>
        <s v="K24 (Hot) - BH - MAN - UAH"/>
        <s v="K22 (Hot) - BH - MAN - UAH"/>
        <s v="K23 (Hot) - BH - MAN - UAH"/>
        <s v="K25 (Hot) - BH - MAN - UAH"/>
        <s v="K28 (Hot) - SA - RUH - Dahrat Laban"/>
        <s v="K23 (Hot) - SA - RUH - Salam"/>
        <s v="K06 (Cold) - SA - RUH - Dahrat Laban"/>
        <s v="K01 (CPU) - SA - RUH - QSM"/>
        <s v="K03 (Hot)- KSA - AHS- Hofuf"/>
        <s v="K16 (Hot) - SA - RUH - Arid (2)"/>
        <s v="K32 (Cold) - SA - RUH - Khaleej"/>
        <s v="K27 (Hot) - BH - MAN - UAH"/>
        <s v="K29 (Hot) - BH - MAN - UAH"/>
        <s v="K37 (Hot) - SA - RUH - Wadi"/>
        <s v="K26 (Hot) - BH - MAN - UAH"/>
        <s v="K28 (Hot) - BH - MAN - UAH"/>
        <s v="K17 (Hot) - SA - RUH - Olaya"/>
        <s v="K16 (Hot) - SA - RUH - Dahrat Laban"/>
        <s v="K18 (Hot) SA - RUH - Qurtoba"/>
        <s v="K26 (Hot) - SA - RUH - Khaleej"/>
        <s v="K08 (Cold) - SA - RUH - Dahrat Laban"/>
        <s v="K21 (Hot) - SA - RUH - Dahrat Laban"/>
        <s v="K24 (Hot) - SA - RUH - Dahrat Laban"/>
        <s v="K18 (Hot) - SA - RUH - King Faisal"/>
        <s v="K21 (Hot) - SA - RUH - King Faisal"/>
        <s v="K17 (Hot) - SA - RUH - King Faisal"/>
        <s v="K20 (Hot) - SA - RUH - King Faisal"/>
        <s v="K19 (Hot) - SA - RUH - King Faisal"/>
        <s v="K05 (Hot) - SA - RUH - Yasmin"/>
        <s v="K12 (Hot) - SA - RUH - King Faisal"/>
        <s v="K03 (Cold) - SA - RUH - Sweidi"/>
        <s v="K12 (Hot) - SA - RUH - Malga 1"/>
        <s v="K03 (Hot) - SA - KBR - Rakah"/>
        <s v="K26 (Hot) - SA - RUH - Dahrat Laban"/>
        <s v="K03 (Hot) - SA - RUH - King Faisal"/>
        <s v="K02 (Hot) - SA - RUH - King Faisal"/>
        <s v="K11 (Hot) - SA - KBR - Rakah"/>
        <s v="K13 (Hot) - SA - KBR - Rakah"/>
        <s v="K11 (Hot) - SA - RUH - Malga 2"/>
        <s v="K13 (Hot) - SA - RUH - Wadi"/>
        <s v="K12 (Hot) - SA - RUH - King Fahd"/>
        <s v="K18 (Hot) - SA - RUH - Khaleej"/>
        <s v="K07 (Hot) - SA - RUH - Wadi"/>
        <s v="K06 (Hot) - SA - RUH - Arid (2)"/>
        <s v="K15 (Hot) - SA - RUH - Aqiq"/>
        <s v="K18 (Hot) - BH - MAN - UAH"/>
        <s v="K06 (Hot) - SA - RUH - Wurud"/>
        <s v="K10 (Hot) - SA - RUH - Wurud"/>
        <s v="K08 (Hot) - SA - RUH - King Fahd"/>
        <s v="K20 (Hot) - SA - DMM - Rawda"/>
        <s v="K09 (Hot) - SA - RUH - Salam"/>
        <s v="K22 (Hot) - SA - RUH - Wadi"/>
        <s v="K36 (Cold) - BH - MAN - UAH"/>
        <s v="K22 (Hot) - SA - DMM - Rawda"/>
        <s v="K15 (Hot) - SA - RUH - King Fahd"/>
        <s v="K13 (Hot) - BH - MAN - UAH"/>
        <s v="K22 (Hot) - SA - RUH - King Fahd"/>
        <s v="K01 (Cold) - SA - RUH - Wurud"/>
        <s v="K17 (Hot) - BH - MAN - UAH"/>
        <s v="K19 (Hot) - BH - MAN - UAH"/>
        <s v="K17 (Hot) - SA - RUH - Sweidi"/>
        <s v="K04 (Hot) - SA - RUH - King Fahd"/>
        <s v="K08 (Cold) - SA - RUH - Khaleej"/>
        <s v="K14 (Hot) - SA - DMM - Rawda"/>
        <s v="K14 (Hot)- KSA - AHS- Hofuf"/>
        <s v="K05 (Hot) - SA - RUH - QSM"/>
        <s v="K36 (Cold) - SA - RUH - Khaleej"/>
        <s v="K02 (Hot) - BH - MAN - UAH"/>
        <s v="K10 (Hot) - SA - RUH - King Fahd"/>
        <s v="K02 (Hot) - SA - NHD"/>
        <s v="K06 (Hot) - SA - NHD"/>
        <s v="K07 (Hot) - SA - NHD"/>
        <s v="K11 (Hot) - SA - NHD"/>
        <s v="K03 (Hot) - SA - NHD"/>
        <s v="K12 (Hot) - SA - NHD"/>
        <s v="K04 (Hot) - SA - NHD"/>
        <s v="K10 (Hot) - SA - NHD"/>
        <s v="K08 (Cold) - SA - NHD"/>
        <s v="K09 (Cold) - SA - NHD"/>
        <s v="K10 (Hot)- KSA - AHS- Hofuf"/>
        <s v="K05 (Hot) - SA - NHD"/>
        <s v="K01 (Hot) - SA - NHD"/>
        <s v="K16 (Hot) - SA - RUH - Wurud"/>
        <s v="K05 (Hot) - SA - RUH - Aqiq 2"/>
        <s v="K05 (Hot) - SA - RUH - Olaya"/>
        <s v="K12 (Hot) - SA - RUH - Olaya"/>
        <s v="K01 (Hot) - SA - RUH - Aqiq 2"/>
        <s v="K01 (Hot) - SA - RUH - Olaya"/>
        <s v="K15 (Hot) - SA - RUH - Olaya"/>
        <s v="K14 (Hot) - SA - RUH - Olaya"/>
        <s v="K01 (Cold) - SA - RUH - Olaya"/>
        <s v="K06 (Hot) - SA - RUH - Sweidi"/>
        <s v="K13 (Hot) - SA - RUH - Olaya"/>
        <s v="K21 (Hot) - SA - RUH - Wadi"/>
        <s v="K20 (Hot) - SA - RUH - Wadi"/>
        <s v="K11 (Hot) - SA - RUH - Wadi"/>
        <s v="K19 (Hot) - SA - RUH - Wadi"/>
        <s v="K08 (Hot) - SA - RUH - Wadi"/>
        <s v="K42 (Hot) - SA - RUH - Wadi"/>
        <s v="K41 (Hot) - SA - RUH - Wadi"/>
        <s v="K33 (Hot) - SA - RUH - Wadi"/>
        <s v="K32 (Hot) - SA - RUH - Wadi"/>
        <s v="K04 (Hot) SA - RUH - Qurtoba"/>
        <s v="K36 (Hot) - SA - RUH - Wadi"/>
        <s v="K46 (Hot) - SA - RUH - Wadi"/>
        <s v="K35 (Hot) - SA - RUH - Wadi"/>
        <s v="K34 (Hot) - SA - RUH - Wadi"/>
        <s v="K13 (Hot) SA - RUH - Qurtoba"/>
        <s v="K15 (Hot) - SA - RUH - Sweidi"/>
        <s v="K04 (Hot) - SA - RUH - Sweidi"/>
        <s v="K06 (Hot) - SA - RUH - Dahrat Laban"/>
        <s v="K04 (Hot) - SA - RUH - Dahrat Laban"/>
        <s v="K02 (Cold) - SA - RUH - Dahrat Laban"/>
        <s v="K05 (Hot) - SA - RUH - Wadi"/>
        <s v="K07 (Cold) - SA - RUH - Dahrat Laban"/>
        <s v="K12 (Hot)- KSA - AHS- Hofuf"/>
        <s v="K13 (Hot)- KSA - AHS- Hofuf"/>
        <s v="K15 (Hot)- KSA - AHS- Hofuf"/>
        <s v="K16 (Hot)- KSA - AHS- Hofuf"/>
        <s v="K02 (Hot)- KSA - AHS- Hofuf"/>
        <s v="K06 (Hot) - SA - RUH - Aqiq 2"/>
        <s v="K04 (Hot) - SA - RUH - Aqiq 2"/>
        <s v="K07 (Hot) - SA - RUH - Aqiq 2"/>
        <s v="K13 (Hot) - SA - RUH - Aqiq 2"/>
        <s v="K12 (Hot) - SA - RUH - Aqiq 2"/>
        <s v="K20 (CPU) - KSA - AHS- Hofuf"/>
        <s v="K09 (Hot) - SA - RUH - Aqiq 2"/>
        <s v="K11 (Hot) - SA - RUH - Aqiq 2"/>
        <s v="K10 (Hot) - SA - RUH - Aqiq 2"/>
        <s v="K08 (Hot) - SA - RUH - Aqiq 2"/>
        <s v="K12 (Hot) - BH - MAN - UAH"/>
        <s v="K02 (Hot) - SA - RUH - Aqiq 2"/>
        <s v="K03 (Hot) - SA - RUH - Aqiq 2"/>
        <s v="K16 (Hot) - SA - KBR - Rakah"/>
        <s v="K17 (Hot) - SA - KBR - Rakah"/>
        <s v="K14 (Hot) - SA - KBR - Rakah"/>
        <s v="K12 (Hot) - SA - KBR - Rakah"/>
        <s v="K15 (Hot) - SA - KBR - Rakah"/>
        <s v="K18 (Hot) - SA - DMM - Zuhur"/>
        <s v="K17 (Hot) - SA - DMM - Zuhur"/>
        <s v="K16 (Hot) - SA - DMM - Zuhur"/>
        <s v="K23 (Hot) - SA - DMM - Zuhur"/>
        <s v="K09 (Hot) - SA - KBR - Rakah"/>
        <s v="K10 (Hot) - SA - KBR - Rakah"/>
        <s v="K07 (Hot) - SA - KBR - Rakah"/>
        <s v="K08 (Hot) - SA - KBR - Rakah"/>
        <s v="K06 (Hot) - SA - KBR - Rakah"/>
        <s v="K04 (Hot) - SA - KBR - Rakah"/>
        <s v="K05 (Hot) - SA - KBR - Rakah"/>
        <s v="K02 (Hot) - SA - KBR - Rakah"/>
        <s v="K01 (Hot) - SA - KBR - Rakah"/>
        <s v="K17 (CPU) - SA - RUH - Al Nazim"/>
        <s v="K13 (CPU) - SA - RUH - Al Nazim"/>
        <s v="K14 (CPU) - SA - RUH - Al Nazim"/>
        <s v="K16 (CPU) - SA - RUH - Al Nazim"/>
        <s v="K09 (CPU) - SA - RUH - Al Nazim"/>
        <s v="K11 (CPU) - SA - RUH - Al Nazim"/>
        <s v="K05 (CPU) - SA - RUH - Al Nazim"/>
        <s v="K06 (CPU) - SA - RUH - Al Nazim"/>
        <s v="K07 (CPU) - SA - RUH - Al Nazim"/>
        <s v="K02 (CPU) - SA - RUH - Al Nazim"/>
        <s v="K04 (CPU) - SA - RUH - Al Nazim"/>
        <s v="K01 (CPU) - SA - RUH - Al Nazim"/>
        <s v="K14 (Hot) - SA - RUH - Narjis"/>
        <s v="K11 (Cold) - SA - RUH - Narjis"/>
        <s v="K01 (Cold) - SA - RUH - Narjis"/>
        <s v="K07 (Cold) - SA - RUH - Narjis"/>
        <s v="K27 (Hot) - SA - NHD"/>
        <s v="K26 (Hot) - SA - NHD"/>
        <s v="K29 (Cold) - SA - NHD"/>
        <s v="K28 (Hot) - SA - NHD"/>
        <s v="K25 (Cold) - SA - NHD"/>
        <s v="K24 (Cold) - SA - NHD"/>
        <s v="K18 (Hot) - SA - NHD"/>
        <s v="K17 (Hot) - SA - NHD"/>
        <s v="K20 (Hot) - SA - NHD"/>
        <s v="K19 (Hot) - SA - NHD"/>
        <s v="K22 (Hot) - SA - NHD"/>
        <s v="K21 (Hot) - SA - NHD"/>
        <s v="K23 (Hot) - SA - NHD"/>
        <s v="K14 (Hot) - SA - NHD"/>
        <s v="K16 (Hot) - SA - NHD"/>
        <s v="K15 (Hot) - SA - NHD"/>
        <s v="K18 (Hot) - SA - KBR - Aqrabiya"/>
        <s v="K19 (Hot) - SA - KBR - Aqrabiya"/>
        <s v="K21 (Hot) - SA - KBR - Aqrabiya"/>
        <s v="K13 (Hot) - SA - NHD"/>
        <s v="K12 (Hot) - SA - KBR - Aqrabiya"/>
        <s v="K14 (Hot) - SA - KBR - Aqrabiya"/>
        <s v="K13 (Hot) - SA - KBR - Aqrabiya"/>
        <s v="K07 (Hot) - SA - KBR - Aqrabiya"/>
        <s v="K11 (Hot) - SA - KBR - Aqrabiya"/>
        <s v="K02 (Hot) - SA - KBR - Aqrabiya"/>
        <s v="K04 (Hot) - SA - KBR - Aqrabiya"/>
        <s v="K01 (Hot) - SA - RUH - Salam"/>
        <s v="K05 (Cold) - SA - RUH - Salam"/>
        <s v="K19 (Hot) SA - RUH - Qurtoba"/>
        <s v="K25 (Hot) SA - RUH - Qurtoba"/>
        <s v="K24 (Hot) SA - RUH - Qurtoba"/>
        <s v="K32 (Cold) - BH - MAN - UAH"/>
        <s v="K31 (Cold) - BH - MAN - UAH"/>
        <s v="K35 (Cold) - BH - MAN - UAH"/>
        <s v="K34 (Cold) - BH - MAN - UAH"/>
        <s v="K37 (Cold) - BH - MAN - UAH"/>
        <s v="K12 (CPU) - SA - RUH - Al Nazim"/>
        <s v="K08 (CPU) - SA - RUH - Al Nazim"/>
        <s v="K03 (CPU) - SA - RUH - Al Nazim"/>
        <s v="K01 (Hot) - BAH - MAN-Issa Town"/>
        <s v="K15 (CPU) - SA - RUH - Al Nazim"/>
        <s v="K10 (CPU) - SA - RUH - Al Nazim"/>
        <s v="K20 (CPU) - SA - RUH - Al Nazim"/>
        <s v="K19 (CPU) - SA - RUH - Al Nazim"/>
        <s v="K21 (CPU) - SA - RUH - Al Nazim"/>
        <s v="K22 (CPU) - SA - RUH - Al Nazim"/>
        <s v="K18 (CPU) - SA - RUH - Al Nazim"/>
        <s v="K08 (Hot) - SA - RUH - Wurud"/>
        <s v="K09 (Hot) - SA - RUH - Wurud"/>
        <s v="K15 (Hot) - SA - RUH - Wurud"/>
        <s v="K13 (Hot) - SA - RUH - Wurud"/>
        <s v="K14 (Hot) - SA - RUH - Wurud"/>
        <s v="K11 (Hot) - SA - RUH - Wurud"/>
        <s v="K12 (Hot) - SA - RUH - Wurud"/>
        <s v="K19 (Hot) - SA - RUH - Wurud"/>
        <s v="K20 (Hot) - SA - RUH - Wurud"/>
        <s v="K17 (Hot) - SA - RUH - Wurud"/>
        <s v="K18 (Hot) - SA - RUH - Wurud"/>
        <s v="K07 (Hot) - SA - RUH - Wurud"/>
        <s v="K04 (Hot) - SA - RUH - Wurud"/>
        <s v="K05 (Hot) - SA - RUH - Wurud"/>
        <s v="K02 (Cold) - SA - RUH - Wurud"/>
        <s v="K03 (Hot) - SA - RUH - Wurud"/>
        <s v="K07 (Hot) - SA - RUH - King Faisal"/>
        <s v="K05 (Hot) - SA - RUH - King Faisal"/>
        <s v="K06 (Hot) - SA - RUH - King Faisal"/>
        <s v="K22 (Hot) - SA - RUH - Wurud"/>
        <s v="K21 (Hot) - SA - RUH - Wurud"/>
        <s v="K14 (Hot) - SA - RUH - King Fahd"/>
        <s v="K26 (Hot) - SA - RUH - King Fahd"/>
        <s v="K03 (Hot) - SA - RUH - King Fahd"/>
        <s v="K13 (Hot) - SA - RUH - King Fahd"/>
        <s v="K10 (Hot) - SA - RUH - Aqiq"/>
        <s v="K14 (Hot) - SA - RUH - Aqiq"/>
        <s v="K01 (Hot) - SA - RUH - Aqiq"/>
        <s v="K22 (Hot) - SA - RUH - Jarir"/>
        <s v="K17 (Hot) - SA - RUH - Jarir"/>
        <s v="K20 (Hot) - SA - RUH - Jarir"/>
        <s v="K18 (Hot) - SA - RUH - Jarir"/>
        <s v="K05 (Cold) - SA - RUH - Jarir"/>
        <s v="K07 (Hot) - SA - RUH - Jarir"/>
        <s v="K11 (Hot) - SA - RUH - Jarir"/>
        <s v="K08 (Hot) - SA - RUH - Jarir"/>
        <s v="K10 (Hot) - SA - RUH - Jarir"/>
        <s v="K11 (Hot) - SA - RUH - Arid (2)"/>
        <s v="K10 (Hot) - SA - RUH - Arid (2)"/>
        <s v="K18 (Hot) - SA - RUH - Arid (2)"/>
        <s v="K15 (Hot) - SA - RUH - Arid (2)"/>
        <s v="K08 (Hot) - SA - RUH - Arid (2)"/>
        <s v="K14 (Hot) - SA - RUH - Arid (2)"/>
        <s v="K12 (Hot) - SA - RUH - Arid (2)"/>
        <s v="K16 (Hot) - SA - RUH - QSM"/>
        <s v="K17 (Hot) - SA - RUH - QSM"/>
        <s v="K11 (Hot - SA - RUH - King Faisal"/>
        <s v="K14 (Hot) - SA - RUH - QSM"/>
        <s v="K11 (Hot) - SA - RUH - QSM"/>
        <s v="K09 (Hot) - SA - RUH - QSM"/>
        <s v="K08 (Hot) - SA - RUH - QSM"/>
        <s v="K15 (Hot) - SA - RUH - QSM"/>
        <s v="K07 (Hot) - SA - RUH - QSM"/>
        <s v="K03 (CPU) - SA - RUH - QSM"/>
      </sharedItems>
    </cacheField>
    <cacheField name="Status" numFmtId="0">
      <sharedItems containsBlank="1">
        <m/>
        <s v="Churning"/>
        <s v="Occupied"/>
        <s v="Sold"/>
        <s v="Vacant"/>
        <s v="Blocked"/>
      </sharedItems>
    </cacheField>
    <cacheField name="Kitchen Size (Sq. Meters)" numFmtId="0">
      <sharedItems containsString="0" containsBlank="1" containsNumber="1">
        <n v="23.02"/>
        <n v="18.63"/>
        <m/>
        <n v="14.37"/>
        <n v="18.0"/>
        <n v="12.62"/>
        <n v="12.6"/>
        <n v="13.51"/>
        <n v="13.49"/>
        <n v="19.49"/>
        <n v="17.05"/>
        <n v="10.62"/>
        <n v="15.03"/>
        <n v="15.04"/>
        <n v="17.06"/>
        <n v="15.15"/>
        <n v="19.04"/>
        <n v="19.15"/>
        <n v="11.9"/>
        <n v="16.9"/>
        <n v="16.0"/>
        <n v="11.3"/>
        <n v="21.06"/>
        <n v="8.85"/>
        <n v="18.75"/>
        <n v="18.21"/>
        <n v="13.5"/>
        <n v="14.54"/>
        <n v="17.9"/>
        <n v="7.1"/>
        <n v="20.8"/>
        <n v="17.6"/>
        <n v="22.0"/>
        <n v="11.0"/>
        <n v="18.11"/>
        <n v="18.12"/>
        <n v="24.71"/>
        <n v="17.12"/>
        <n v="23.49"/>
        <n v="15.43"/>
        <n v="15.67"/>
        <n v="15.13"/>
        <n v="19.54"/>
        <n v="8.8"/>
        <n v="10.0"/>
        <n v="18.8"/>
        <n v="21.29"/>
        <n v="22.04"/>
        <n v="16.45"/>
        <n v="19.62"/>
        <n v="24.53"/>
        <n v="10.71"/>
        <n v="11.84"/>
        <n v="19.8"/>
        <n v="17.59"/>
        <n v="9.42"/>
        <n v="25.32"/>
        <n v="14.0"/>
        <n v="22.2"/>
        <n v="9.0"/>
        <n v="10.3"/>
        <n v="9.3"/>
        <n v="16.2"/>
        <n v="16.4"/>
        <n v="18.64"/>
        <n v="21.9"/>
        <n v="28.95"/>
        <n v="10.44"/>
        <n v="20.03"/>
        <n v="15.6"/>
        <n v="18.31"/>
        <n v="17.44"/>
        <n v="10.09"/>
        <n v="13.04"/>
        <n v="19.46"/>
        <n v="8.66"/>
        <n v="17.19"/>
        <n v="19.28"/>
        <n v="17.0"/>
        <n v="9.63"/>
        <n v="22.9"/>
        <n v="17.18"/>
        <n v="28.99"/>
        <n v="19.65"/>
        <n v="19.22"/>
        <n v="14.15"/>
        <n v="12.63"/>
        <n v="20.67"/>
        <n v="20.06"/>
        <n v="23.44"/>
        <n v="29.01"/>
        <n v="26.62"/>
        <n v="15.39"/>
        <n v="18.82"/>
        <n v="14.48"/>
        <n v="20.33"/>
        <n v="19.44"/>
        <n v="20.04"/>
        <n v="23.32"/>
        <n v="20.35"/>
        <n v="26.88"/>
        <n v="14.97"/>
        <n v="20.84"/>
        <n v="23.16"/>
        <n v="17.32"/>
        <n v="15.19"/>
        <n v="14.08"/>
        <n v="22.62"/>
        <n v="25.02"/>
        <n v="25.8"/>
        <n v="18.55"/>
        <n v="23.12"/>
        <n v="20.08"/>
        <n v="18.01"/>
        <n v="15.3"/>
        <n v="20.7"/>
        <n v="25.07"/>
        <n v="18.41"/>
        <n v="20.18"/>
        <n v="21.04"/>
        <n v="25.16"/>
        <n v="24.77"/>
        <n v="15.0"/>
        <n v="21.78"/>
        <n v="24.48"/>
        <n v="20.4"/>
        <n v="18.35"/>
        <n v="19.71"/>
        <n v="24.63"/>
        <n v="18.03"/>
        <n v="23.56"/>
        <n v="18.33"/>
        <n v="23.11"/>
        <n v="23.75"/>
        <n v="17.49"/>
        <n v="23.09"/>
        <n v="20.24"/>
        <n v="15.02"/>
        <n v="18.62"/>
        <n v="20.02"/>
        <n v="23.48"/>
        <n v="29.99"/>
        <n v="17.99"/>
        <n v="20.68"/>
        <n v="18.09"/>
        <n v="20.65"/>
        <n v="20.1"/>
        <n v="29.98"/>
        <n v="25.37"/>
        <n v="20.0"/>
        <n v="20.44"/>
        <n v="17.97"/>
        <n v="20.37"/>
        <n v="11.09"/>
        <n v="21.0"/>
        <n v="19.6"/>
        <n v="10.38"/>
        <n v="62.84"/>
        <n v="16.75"/>
        <n v="18.15"/>
        <n v="10.4"/>
        <n v="23.57"/>
        <n v="22.54"/>
        <n v="23.14"/>
        <n v="26.29"/>
        <n v="20.56"/>
        <n v="23.61"/>
        <n v="19.18"/>
        <n v="28.69"/>
        <n v="27.15"/>
        <n v="23.58"/>
        <n v="23.37"/>
        <n v="23.22"/>
        <n v="20.55"/>
        <n v="15.07"/>
        <n v="15.09"/>
        <n v="15.2"/>
        <n v="18.51"/>
        <n v="28.12"/>
        <n v="24.85"/>
        <n v="20.59"/>
        <n v="15.14"/>
        <n v="23.5"/>
        <n v="18.14"/>
        <n v="23.46"/>
        <n v="28.85"/>
        <n v="22.59"/>
        <n v="18.81"/>
        <n v="19.3"/>
        <n v="9.22"/>
        <n v="17.2"/>
        <n v="9.95"/>
        <n v="23.06"/>
        <n v="10.55"/>
        <n v="18.24"/>
        <n v="45.97"/>
        <n v="14.49"/>
        <n v="29.9"/>
        <n v="8.38"/>
        <n v="13.8"/>
        <n v="20.6"/>
        <n v="16.7"/>
        <n v="8.54"/>
        <n v="19.29"/>
        <n v="15.44"/>
        <n v="60.1"/>
        <n v="12.04"/>
        <n v="8.63"/>
        <n v="16.5"/>
        <n v="9.85"/>
        <n v="49.88"/>
        <n v="24.12"/>
        <n v="17.01"/>
        <n v="17.24"/>
        <n v="14.56"/>
        <n v="11.5"/>
        <n v="20.86"/>
        <n v="17.02"/>
        <n v="16.01"/>
        <n v="16.51"/>
        <n v="14.74"/>
        <n v="19.97"/>
        <n v="16.28"/>
        <n v="18.85"/>
        <n v="20.69"/>
        <n v="17.04"/>
        <n v="19.72"/>
        <n v="19.41"/>
        <n v="13.73"/>
        <n v="58.22"/>
        <n v="14.57"/>
        <n v="45.02"/>
        <n v="15.63"/>
        <n v="18.68"/>
        <n v="8.65"/>
        <n v="50.77"/>
        <n v="22.69"/>
        <n v="24.98"/>
        <n v="18.3"/>
        <n v="9.53"/>
        <n v="12.65"/>
        <n v="21.21"/>
        <n v="11.03"/>
        <n v="12.78"/>
        <n v="11.13"/>
        <n v="16.52"/>
        <n v="21.69"/>
        <n v="16.27"/>
        <n v="10.74"/>
        <n v="19.12"/>
        <n v="17.17"/>
        <n v="11.29"/>
        <n v="13.93"/>
        <n v="12.01"/>
        <n v="12.21"/>
        <n v="16.54"/>
        <n v="18.98"/>
        <n v="12.06"/>
        <n v="14.21"/>
        <n v="15.84"/>
        <n v="18.53"/>
        <n v="12.38"/>
        <n v="12.51"/>
        <n v="12.22"/>
        <n v="14.72"/>
        <n v="19.53"/>
        <n v="14.9"/>
        <n v="12.54"/>
        <n v="16.88"/>
        <n v="26.23"/>
        <n v="51.42"/>
        <n v="10.2"/>
        <n v="58.82"/>
        <n v="10.6"/>
        <n v="10.21"/>
        <n v="16.66"/>
        <n v="18.93"/>
        <n v="10.57"/>
        <n v="13.88"/>
        <n v="18.74"/>
        <n v="15.65"/>
        <n v="15.96"/>
        <n v="19.81"/>
        <n v="12.52"/>
        <n v="14.84"/>
        <n v="11.7"/>
        <n v="20.36"/>
        <n v="8.19"/>
        <n v="9.35"/>
        <n v="13.54"/>
        <n v="18.76"/>
        <n v="14.02"/>
        <n v="14.24"/>
        <n v="15.05"/>
        <n v="21.13"/>
        <n v="20.95"/>
        <n v="7.0"/>
        <n v="17.7"/>
        <n v="21.32"/>
        <n v="19.26"/>
        <n v="10.26"/>
        <n v="14.71"/>
        <n v="12.2"/>
        <n v="13.0"/>
        <n v="8.94"/>
        <n v="23.3"/>
        <n v="9.05"/>
        <n v="10.01"/>
        <n v="7.67"/>
        <n v="17.54"/>
        <n v="18.58"/>
        <n v="14.16"/>
        <n v="11.61"/>
        <n v="10.13"/>
        <n v="12.7"/>
        <n v="17.89"/>
        <n v="23.93"/>
        <n v="15.47"/>
        <n v="14.55"/>
        <n v="18.39"/>
        <n v="27.89"/>
        <n v="12.92"/>
        <n v="21.27"/>
        <n v="16.41"/>
        <n v="9.51"/>
        <n v="13.07"/>
        <n v="16.44"/>
        <n v="15.5"/>
        <n v="15.21"/>
        <n v="23.29"/>
        <n v="13.52"/>
        <n v="16.29"/>
        <n v="23.33"/>
        <n v="17.4"/>
        <n v="8.88"/>
        <n v="11.52"/>
        <n v="16.12"/>
        <n v="22.83"/>
        <n v="23.98"/>
        <n v="10.76"/>
        <n v="16.76"/>
        <n v="22.06"/>
        <n v="10.66"/>
        <n v="8.45"/>
        <n v="19.84"/>
        <n v="18.46"/>
        <n v="7.98"/>
        <n v="12.02"/>
        <n v="20.46"/>
        <n v="12.98"/>
        <n v="13.03"/>
        <n v="18.1"/>
        <n v="14.73"/>
        <n v="12.05"/>
        <n v="16.71"/>
        <n v="11.28"/>
        <n v="17.1"/>
        <n v="25.3"/>
        <n v="22.01"/>
        <n v="20.49"/>
        <n v="14.67"/>
        <n v="18.26"/>
        <n v="46.17"/>
        <n v="16.38"/>
        <n v="21.51"/>
        <n v="13.7"/>
        <n v="22.68"/>
        <n v="44.88"/>
        <n v="22.77"/>
        <n v="13.4"/>
        <n v="9.99"/>
        <n v="10.22"/>
        <n v="9.2"/>
        <n v="15.36"/>
        <n v="9.88"/>
        <n v="9.32"/>
        <n v="12.48"/>
        <n v="12.28"/>
        <n v="16.31"/>
        <n v="16.98"/>
        <n v="17.58"/>
        <n v="19.17"/>
        <n v="14.04"/>
        <n v="23.05"/>
        <n v="13.15"/>
        <n v="17.39"/>
        <n v="8.0"/>
        <n v="18.08"/>
        <n v="10.92"/>
        <n v="15.66"/>
        <n v="20.32"/>
        <n v="21.94"/>
        <n v="18.91"/>
        <n v="15.4"/>
        <n v="15.1"/>
        <n v="17.8"/>
        <n v="18.96"/>
        <n v="37.4"/>
        <n v="28.54"/>
        <n v="10.15"/>
        <n v="15.38"/>
        <n v="13.56"/>
        <n v="14.33"/>
        <n v="14.5"/>
        <n v="14.46"/>
        <n v="14.78"/>
        <n v="22.1"/>
        <n v="16.95"/>
        <n v="17.93"/>
        <n v="15.35"/>
        <n v="11.26"/>
        <n v="19.08"/>
        <n v="13.13"/>
        <n v="8.47"/>
        <n v="10.41"/>
        <n v="10.46"/>
        <n v="24.65"/>
        <n v="17.92"/>
        <n v="15.59"/>
        <n v="26.91"/>
        <n v="15.88"/>
        <n v="15.64"/>
        <n v="11.21"/>
        <n v="16.36"/>
        <n v="15.97"/>
        <n v="12.4"/>
        <n v="10.28"/>
        <n v="26.07"/>
        <n v="16.08"/>
        <n v="42.41"/>
        <n v="9.33"/>
        <n v="11.81"/>
        <n v="13.72"/>
        <n v="14.38"/>
        <n v="19.92"/>
        <n v="15.62"/>
        <n v="25.87"/>
        <n v="18.84"/>
        <n v="23.01"/>
        <n v="52.23"/>
        <n v="16.05"/>
        <n v="41.59"/>
        <n v="13.53"/>
        <n v="12.59"/>
        <n v="9.23"/>
        <n v="10.96"/>
        <n v="13.42"/>
        <n v="14.52"/>
        <n v="34.12"/>
        <n v="25.48"/>
        <n v="40.31"/>
        <n v="40.65"/>
        <n v="34.13"/>
        <n v="45.93"/>
        <n v="10.93"/>
        <n v="8.39"/>
        <n v="22.86"/>
        <n v="9.21"/>
        <n v="58.23"/>
        <n v="9.57"/>
        <n v="23.4"/>
        <n v="14.22"/>
        <n v="11.16"/>
        <n v="19.55"/>
        <n v="9.12"/>
        <n v="23.65"/>
        <n v="18.27"/>
        <n v="22.16"/>
        <n v="22.91"/>
        <n v="19.25"/>
        <n v="22.02"/>
        <n v="29.4"/>
        <n v="43.9"/>
        <n v="19.38"/>
        <n v="13.64"/>
        <n v="14.91"/>
        <n v="11.04"/>
        <n v="13.02"/>
        <n v="17.91"/>
        <n v="19.74"/>
        <n v="26.17"/>
        <n v="21.45"/>
        <n v="29.28"/>
        <n v="20.93"/>
        <n v="42.02"/>
        <n v="11.1"/>
        <n v="9.94"/>
        <n v="11.89"/>
        <n v="11.75"/>
        <n v="21.6"/>
        <n v="11.98"/>
        <n v="22.33"/>
        <n v="13.34"/>
        <n v="15.29"/>
        <n v="35.04"/>
        <n v="35.88"/>
        <n v="15.01"/>
        <n v="48.02"/>
        <n v="11.47"/>
        <n v="16.07"/>
        <n v="47.05"/>
        <n v="16.18"/>
        <n v="11.97"/>
        <n v="6.5"/>
        <n v="12.9"/>
        <n v="13.75"/>
        <n v="15.83"/>
        <n v="49.0"/>
        <n v="49.2"/>
        <n v="45.73"/>
        <n v="16.09"/>
        <n v="18.79"/>
        <n v="19.77"/>
        <n v="14.58"/>
        <n v="21.2"/>
        <n v="12.3"/>
        <n v="14.85"/>
        <n v="19.39"/>
        <n v="11.92"/>
        <n v="22.76"/>
        <n v="16.03"/>
        <n v="21.7"/>
        <n v="10.23"/>
        <n v="10.65"/>
        <n v="16.6"/>
        <n v="15.57"/>
        <n v="14.68"/>
        <n v="12.39"/>
        <n v="26.97"/>
        <n v="25.86"/>
        <n v="25.91"/>
        <n v="22.66"/>
        <n v="23.55"/>
        <n v="20.87"/>
        <n v="20.77"/>
        <n v="18.02"/>
        <n v="15.34"/>
        <n v="13.19"/>
        <n v="18.97"/>
        <n v="27.25"/>
        <n v="21.25"/>
        <n v="22.07"/>
        <n v="17.3"/>
        <n v="15.9"/>
        <n v="7.2"/>
        <n v="19.4"/>
        <n v="19.5"/>
        <n v="19.7"/>
        <n v="7.4"/>
        <n v="17.5"/>
        <n v="16.35"/>
        <n v="16.21"/>
        <n v="14.82"/>
        <n v="17.22"/>
        <n v="60.33"/>
        <n v="22.08"/>
        <n v="19.06"/>
        <n v="15.18"/>
        <n v="19.31"/>
        <n v="22.26"/>
        <n v="17.37"/>
        <n v="20.78"/>
        <n v="14.28"/>
        <n v="15.99"/>
        <n v="21.52"/>
        <n v="27.2"/>
        <n v="27.03"/>
        <n v="52.93"/>
        <n v="49.94"/>
        <n v="49.77"/>
        <n v="52.88"/>
        <n v="52.68"/>
        <n v="51.32"/>
        <n v="51.56"/>
        <n v="49.81"/>
        <n v="49.75"/>
        <n v="51.29"/>
        <n v="19.11"/>
        <n v="10.67"/>
        <n v="8.7"/>
        <n v="18.07"/>
        <n v="20.01"/>
        <n v="23.92"/>
        <n v="23.39"/>
        <n v="18.06"/>
        <n v="8.99"/>
        <n v="23.41"/>
        <n v="14.99"/>
        <n v="16.13"/>
        <n v="21.44"/>
        <n v="13.83"/>
        <n v="49.89"/>
        <n v="51.34"/>
        <n v="52.0"/>
        <n v="52.96"/>
        <n v="52.72"/>
        <n v="20.45"/>
        <n v="13.17"/>
        <n v="16.23"/>
        <n v="15.16"/>
        <n v="17.14"/>
        <n v="19.76"/>
        <n v="18.92"/>
        <n v="8.72"/>
        <n v="13.41"/>
        <n v="15.37"/>
        <n v="13.21"/>
        <n v="19.21"/>
        <n v="17.72"/>
        <n v="12.41"/>
        <n v="13.05"/>
        <n v="14.66"/>
        <n v="17.08"/>
        <n v="10.05"/>
        <n v="25.68"/>
        <n v="15.08"/>
        <n v="17.03"/>
        <n v="19.36"/>
        <n v="22.12"/>
        <n v="15.53"/>
        <n v="15.12"/>
        <n v="10.69"/>
        <n v="22.44"/>
        <n v="15.27"/>
        <n v="45.37"/>
      </sharedItems>
    </cacheField>
    <cacheField name="Hood Size" numFmtId="0">
      <sharedItems containsBlank="1">
        <s v="4.0m"/>
        <s v="3.0m"/>
        <s v="NA"/>
        <s v="N/A"/>
        <s v="2.4m"/>
        <s v="Cold"/>
        <s v="2.4m Hood"/>
        <s v="3.0m Hood"/>
        <s v="2.0m"/>
        <s v="2 x 2.4m"/>
        <s v="4.0m hood"/>
        <s v="4.0 m hood"/>
        <m/>
        <s v="3m"/>
        <s v="4m"/>
        <s v="2.4 m"/>
      </sharedItems>
    </cacheField>
    <cacheField name="Floor Price" numFmtId="0">
      <sharedItems containsString="0" containsBlank="1" containsNumber="1">
        <n v="5750.0"/>
        <n v="4800.0"/>
        <n v="1666.66"/>
        <m/>
        <n v="6800.0"/>
        <n v="5100.0"/>
        <n v="6400.0"/>
        <n v="6430.0"/>
        <n v="6861.0"/>
        <n v="7300.0"/>
        <n v="5148.0"/>
        <n v="6437.0"/>
        <n v="6008.0"/>
        <n v="3229.0"/>
        <n v="1652.0"/>
        <n v="5516.0"/>
        <n v="3944.0"/>
        <n v="2800.0"/>
        <n v="4666.0"/>
        <n v="6200.0"/>
        <n v="4215.0"/>
        <n v="7514.0"/>
        <n v="7096.0"/>
        <n v="6090.0"/>
        <n v="4171.0"/>
        <n v="4750.0"/>
        <n v="8300.0"/>
        <n v="4250.0"/>
        <n v="5700.0"/>
        <n v="6600.0"/>
        <n v="3257.0"/>
        <n v="3950.0"/>
        <n v="4150.0"/>
        <n v="3050.0"/>
        <n v="1706.0"/>
        <n v="3199.0"/>
        <n v="4684.0"/>
        <n v="6499.0"/>
        <n v="5767.0"/>
        <n v="1995.0"/>
        <n v="6050.0"/>
        <n v="4650.0"/>
        <n v="8349.0"/>
        <n v="3100.0"/>
        <n v="8592.0"/>
        <n v="6345.0"/>
        <n v="4973.0"/>
        <n v="2542.0"/>
        <n v="4990.0"/>
        <n v="2490.0"/>
        <n v="3113.0"/>
        <n v="6648.0"/>
        <n v="2885.0"/>
        <n v="5494.0"/>
        <n v="9022.0"/>
        <n v="3194.0"/>
        <n v="6867.0"/>
        <n v="3200.0"/>
        <n v="5500.0"/>
        <n v="3800.0"/>
        <n v="2600.0"/>
        <n v="3500.0"/>
        <n v="5150.0"/>
        <n v="1892.0"/>
        <n v="7150.0"/>
        <n v="3563.0"/>
        <n v="6250.0"/>
        <n v="5490.0"/>
        <n v="4000.0"/>
        <n v="5600.0"/>
        <n v="3400.0"/>
        <n v="2838.0"/>
        <n v="1822.08"/>
        <n v="4500.0"/>
        <n v="4851.0"/>
        <n v="10857.0"/>
        <n v="5091.0"/>
        <n v="5436.0"/>
        <n v="6500.0"/>
        <n v="5323.0"/>
        <n v="6000.0"/>
        <n v="3900.0"/>
        <n v="2160.0"/>
        <n v="2142.0"/>
        <n v="5542.5"/>
        <n v="6230.0"/>
        <n v="8000.0"/>
        <n v="4350.0"/>
        <n v="3750.0"/>
        <n v="4038.0"/>
        <n v="4359.0"/>
        <n v="2125.0"/>
        <n v="3188.0"/>
        <n v="4463.0"/>
        <n v="2100.0"/>
        <n v="2975.44"/>
        <n v="7250.0"/>
        <n v="3580.0"/>
        <n v="1488.0"/>
        <n v="3392.0"/>
        <n v="3612.0"/>
        <n v="3825.0"/>
        <n v="2974.0"/>
        <n v="2763.0"/>
        <n v="7320.0"/>
        <n v="4799.0"/>
        <n v="3551.0"/>
        <n v="6900.0"/>
        <n v="4900.0"/>
        <n v="5285.0"/>
        <n v="4188.0"/>
        <n v="1900.0"/>
        <n v="3000.0"/>
        <n v="6771.0"/>
        <n v="6445.0"/>
        <n v="7200.0"/>
        <n v="3529.0"/>
        <n v="550.0"/>
        <n v="5680.0"/>
        <n v="5250.0"/>
        <n v="5900.0"/>
        <n v="6700.0"/>
        <n v="450.0"/>
        <n v="2000.0"/>
        <n v="5350.0"/>
        <n v="3150.0"/>
        <n v="600.0"/>
        <n v="500.0"/>
        <n v="400.0"/>
        <n v="6949.0"/>
        <n v="4173.0"/>
        <n v="5731.0"/>
        <n v="2376.0"/>
        <n v="4039.0"/>
        <n v="4275.0"/>
        <n v="3086.0"/>
        <n v="1500.0"/>
        <n v="4575.0"/>
        <n v="2921.0"/>
        <n v="4988.0"/>
        <n v="4489.0"/>
        <n v="1999.0"/>
        <n v="6678.0"/>
        <n v="3600.0"/>
        <n v="1990.0"/>
        <n v="4563.0"/>
        <n v="5096.0"/>
        <n v="7700.0"/>
        <n v="10800.0"/>
        <n v="6601.0"/>
        <n v="4667.0"/>
        <n v="6563.0"/>
        <n v="6938.0"/>
        <n v="7800.0"/>
        <n v="2990.0"/>
        <n v="4511.0"/>
        <n v="2482.0"/>
        <n v="4001.0"/>
        <n v="4118.4"/>
        <n v="2948.0"/>
        <n v="5850.0"/>
        <n v="4576.0"/>
        <n v="5408.0"/>
        <n v="4348.5"/>
        <n v="3799.0"/>
        <n v="3049.0"/>
        <n v="4913.0"/>
        <n v="3401.0"/>
        <n v="6454.0"/>
        <n v="513.0"/>
        <n v="3888.56"/>
        <n v="433.0"/>
        <n v="4242.0"/>
        <n v="5578.0"/>
        <n v="3700.0"/>
        <n v="4125.0"/>
        <n v="4200.0"/>
        <n v="7900.0"/>
        <n v="245.0"/>
        <n v="4700.0"/>
        <n v="9500.0"/>
        <n v="9000.0"/>
        <n v="8400.0"/>
        <n v="5765.76"/>
        <n v="7400.0"/>
        <n v="22037.04"/>
        <n v="7000.0"/>
        <n v="3323.0"/>
        <n v="2753.0"/>
      </sharedItems>
    </cacheField>
    <cacheField name="Sell Price" numFmtId="0">
      <sharedItems containsSemiMixedTypes="0" containsString="0" containsNumber="1" containsInteger="1">
        <n v="5750.0"/>
        <n v="4800.0"/>
        <n v="2250.0"/>
        <n v="0.0"/>
        <n v="8200.0"/>
        <n v="6150.0"/>
        <n v="7700.0"/>
        <n v="6450.0"/>
        <n v="6900.0"/>
        <n v="7300.0"/>
        <n v="7250.0"/>
        <n v="9050.0"/>
        <n v="8450.0"/>
        <n v="2750.0"/>
        <n v="2400.0"/>
        <n v="5550.0"/>
        <n v="3400.0"/>
        <n v="4700.0"/>
        <n v="8100.0"/>
        <n v="4650.0"/>
        <n v="7550.0"/>
        <n v="7100.0"/>
        <n v="8550.0"/>
        <n v="4200.0"/>
        <n v="5700.0"/>
        <n v="9550.0"/>
        <n v="4900.0"/>
        <n v="7150.0"/>
        <n v="8600.0"/>
        <n v="4600.0"/>
        <n v="4750.0"/>
        <n v="5000.0"/>
        <n v="3700.0"/>
        <n v="6600.0"/>
        <n v="7800.0"/>
        <n v="6950.0"/>
        <n v="1700.0"/>
        <n v="4850.0"/>
        <n v="5400.0"/>
        <n v="6050.0"/>
        <n v="8350.0"/>
        <n v="4050.0"/>
        <n v="7450.0"/>
        <n v="9500.0"/>
        <n v="8900.0"/>
        <n v="2550.0"/>
        <n v="2900.0"/>
        <n v="4550.0"/>
        <n v="9000.0"/>
        <n v="3900.0"/>
        <n v="9950.0"/>
        <n v="4500.0"/>
        <n v="9650.0"/>
        <n v="3200.0"/>
        <n v="5500.0"/>
        <n v="3800.0"/>
        <n v="2600.0"/>
        <n v="4250.0"/>
        <n v="6700.0"/>
        <n v="2300.0"/>
        <n v="4300.0"/>
        <n v="8150.0"/>
        <n v="6350.0"/>
        <n v="4100.0"/>
        <n v="3450.0"/>
        <n v="1500.0"/>
        <n v="3850.0"/>
        <n v="5850.0"/>
        <n v="10900.0"/>
        <n v="5100.0"/>
        <n v="7350.0"/>
        <n v="7500.0"/>
        <n v="4450.0"/>
        <n v="10400.0"/>
        <n v="5250.0"/>
        <n v="2350.0"/>
        <n v="3550.0"/>
        <n v="5650.0"/>
        <n v="4950.0"/>
        <n v="9450.0"/>
        <n v="5050.0"/>
        <n v="1650.0"/>
        <n v="3750.0"/>
        <n v="4000.0"/>
        <n v="3300.0"/>
        <n v="3050.0"/>
        <n v="3250.0"/>
        <n v="6750.0"/>
        <n v="6650.0"/>
        <n v="3000.0"/>
        <n v="8650.0"/>
        <n v="5150.0"/>
        <n v="440.0"/>
        <n v="6550.0"/>
        <n v="6850.0"/>
        <n v="8750.0"/>
        <n v="360.0"/>
        <n v="1600.0"/>
        <n v="6200.0"/>
        <n v="480.0"/>
        <n v="400.0"/>
        <n v="320.0"/>
        <n v="8050.0"/>
        <n v="2050.0"/>
        <n v="1800.0"/>
        <n v="7000.0"/>
        <n v="3600.0"/>
        <n v="3150.0"/>
        <n v="9250.0"/>
        <n v="13000.0"/>
        <n v="7200.0"/>
        <n v="10150.0"/>
        <n v="5450.0"/>
        <n v="3500.0"/>
        <n v="415.0"/>
        <n v="350.0"/>
        <n v="7850.0"/>
        <n v="200.0"/>
        <n v="10450.0"/>
        <n v="9900.0"/>
        <n v="8700.0"/>
        <n v="4400.0"/>
        <n v="22050.0"/>
        <n v="2850.0"/>
      </sharedItems>
    </cacheField>
    <cacheField name="Activation Fee" numFmtId="0">
      <sharedItems containsString="0" containsBlank="1" containsNumber="1">
        <n v="7400.0"/>
        <n v="6100.0"/>
        <m/>
        <n v="2450.0"/>
        <n v="6250.0"/>
        <n v="5300.0"/>
        <n v="6200.0"/>
        <n v="7750.0"/>
        <n v="7300.0"/>
        <n v="3900.0"/>
        <n v="2050.0"/>
        <n v="6700.0"/>
        <n v="4750.0"/>
        <n v="3250.0"/>
        <n v="5650.0"/>
        <n v="7200.0"/>
        <n v="5100.0"/>
        <n v="9100.0"/>
        <n v="8550.0"/>
        <n v="7350.0"/>
        <n v="5050.0"/>
        <n v="5700.0"/>
        <n v="10000.0"/>
        <n v="6600.0"/>
        <n v="4000.0"/>
        <n v="4600.0"/>
        <n v="4800.0"/>
        <n v="3700.0"/>
        <n v="5950.0"/>
        <n v="7800.0"/>
        <n v="7000.0"/>
        <n v="3300.0"/>
        <n v="7050.0"/>
        <n v="5400.0"/>
        <n v="10050.0"/>
        <n v="3600.0"/>
        <n v="10350.0"/>
        <n v="7650.0"/>
        <n v="6000.0"/>
        <n v="3100.0"/>
        <n v="3000.0"/>
        <n v="3800.0"/>
        <n v="8000.0"/>
        <n v="3500.0"/>
        <n v="10900.0"/>
        <n v="3850.0"/>
        <n v="8300.0"/>
        <n v="37962.96"/>
        <n v="4200.0"/>
        <n v="2100.0"/>
        <n v="31712.96"/>
        <n v="26851.85"/>
        <n v="12500.0"/>
        <n v="7500.0"/>
        <n v="5200.0"/>
        <n v="4100.0"/>
        <n v="2300.0"/>
        <n v="8600.0"/>
        <n v="4350.0"/>
        <n v="6500.0"/>
        <n v="3450.0"/>
        <n v="5900.0"/>
        <n v="13100.0"/>
        <n v="6150.0"/>
        <n v="6550.0"/>
        <n v="6450.0"/>
        <n v="3550.0"/>
        <n v="4900.0"/>
        <n v="2600.0"/>
        <n v="2400.0"/>
        <n v="4500.0"/>
        <n v="8700.0"/>
        <n v="1800.0"/>
        <n v="4400.0"/>
        <n v="4650.0"/>
        <n v="3400.0"/>
        <n v="8850.0"/>
        <n v="10400.0"/>
        <n v="5800.0"/>
        <n v="8200.0"/>
        <n v="4300.0"/>
        <n v="6850.0"/>
        <n v="6300.0"/>
        <n v="7100.0"/>
        <n v="8050.0"/>
        <n v="3750.0"/>
        <n v="4450.0"/>
        <n v="6900.0"/>
        <n v="2200.0"/>
        <n v="5500.0"/>
        <n v="2700.0"/>
        <n v="6750.0"/>
        <n v="2750.0"/>
        <n v="5450.0"/>
        <n v="5000.0"/>
      </sharedItems>
    </cacheField>
    <cacheField name="Opportunity ID 18" numFmtId="0">
      <sharedItems containsBlank="1">
        <s v="0066T00001AsymIQAR"/>
        <s v="0066T00001AsymmQAB"/>
        <m/>
        <s v="006VO00000TRgP3YAL"/>
        <s v="006VO00000VwQDBYA3"/>
        <s v="006VO00000bLFupYAG"/>
        <s v="006VO00000biAPmYAM"/>
        <s v="006VO00000bogI6YAI"/>
        <s v="0065G00000aCkVTQA0"/>
        <s v="0065G00000aCkVdQAK"/>
        <s v="0065G00000dMtwTQAS"/>
        <s v="0065G00000dOim7QAC"/>
        <s v="0065G00000dOswMQAS"/>
        <s v="0065G00000j3SK4QAM"/>
        <s v="0065G00000j4E5KQAU"/>
        <s v="0065G00000j6v2FQAQ"/>
        <s v="0065G00000mU6CvQAK"/>
        <s v="0065G00000nbKblQAE"/>
        <s v="0066T00001844JJQAY"/>
        <s v="0066T0000184tJ4QAI"/>
        <s v="0066T000018b7rkQAA"/>
        <s v="0066T000018bDNxQAM"/>
        <s v="0066T000018bs7UQAQ"/>
        <s v="0066T000018cfkSQAQ"/>
        <s v="0066T000019ERjEQAW"/>
        <s v="0066T000019FA3mQAG"/>
        <s v="0066T000019GB3vQAG"/>
        <s v="0066T000019HDVhQAO"/>
        <s v="0066T00001A4pZpQAJ"/>
        <s v="0066T00001A5klCQAR"/>
        <s v="0066T00001A6ggHQAR"/>
        <s v="0066T00001As6snQAB"/>
        <s v="0066T00001AsHoJQAV"/>
        <s v="0066T00001AsrQ5QAJ"/>
        <s v="0066T00001AsyacQAB"/>
        <s v="0066T00001AsydGQAR"/>
        <s v="0066T00001AsydzQAB"/>
        <s v="0066T00001Asye4QAB"/>
        <s v="0066T00001AsyeEQAR"/>
        <s v="0066T00001AsyeOQAR"/>
        <s v="0066T00001AsyeTQAR"/>
        <s v="0066T00001AsyeUQAR"/>
        <s v="0066T00001AsyeiQAB"/>
        <s v="0066T00001AsyenQAB"/>
        <s v="0066T00001AsyesQAB"/>
        <s v="0066T00001Asyf7QAB"/>
        <s v="0066T00001AsyfMQAR"/>
        <s v="0066T00001AsyfWQAR"/>
        <s v="0066T00001AsyfgQAB"/>
        <s v="0066T00001AsyflQAB"/>
        <s v="0066T00001AsyfqQAB"/>
        <s v="0066T00001AsyfvQAB"/>
        <s v="0066T00001Asyg0QAB"/>
        <s v="0066T00001AsygAQAR"/>
        <s v="0066T00001AsygFQAR"/>
        <s v="0066T00001AsygKQAR"/>
        <s v="0066T00001AsygPQAR"/>
        <s v="0066T00001AsygUQAR"/>
        <s v="0066T00001AsygVQAR"/>
        <s v="0066T00001AsygZQAR"/>
        <s v="0066T00001AsygaQAB"/>
        <s v="0066T00001AsygeQAB"/>
        <s v="0066T00001AsygjQAB"/>
        <s v="0066T00001AsygoQAB"/>
        <s v="0066T00001AsygyQAB"/>
        <s v="0066T00001Asyh3QAB"/>
        <s v="0066T00001AsyhDQAR"/>
        <s v="0066T00001AsyhcQAB"/>
        <s v="0066T00001AsyhiQAB"/>
        <s v="0066T00001AsyhmQAB"/>
        <s v="0066T00001AsyhwQAB"/>
        <s v="0066T00001Asyi1QAB"/>
        <s v="0066T00001Asyi6QAB"/>
        <s v="0066T00001AsyiBQAR"/>
        <s v="0066T00001AsyiGQAR"/>
        <s v="0066T00001AsyiLQAR"/>
        <s v="0066T00001AsykwQAB"/>
        <s v="0066T00001AsymJQAR"/>
        <s v="0066T00001AsymNQAR"/>
        <s v="0066T00001AsymSQAR"/>
        <s v="0066T00001AsymXQAR"/>
        <s v="0066T00001AsymcQAB"/>
        <s v="0066T00001AsymhQAB"/>
        <s v="0066T00001AsymwQAB"/>
        <s v="0066T00001Asyn1QAB"/>
        <s v="0066T00001Asyn6QAB"/>
        <s v="0066T00001AsynBQAR"/>
        <s v="0066T00001AsynGQAR"/>
        <s v="0066T00001AsynLQAR"/>
        <s v="0066T00001AsynQQAR"/>
        <s v="0066T00001AsynVQAR"/>
        <s v="0066T00001AsynaQAB"/>
        <s v="0066T00001AsynfQAB"/>
        <s v="0066T00001AsynkQAB"/>
        <s v="0066T00001AsynpQAB"/>
        <s v="0066T00001AsynuQAB"/>
        <s v="0066T00001AsynzQAB"/>
        <s v="0066T00001Asyo4QAB"/>
        <s v="0066T00001AsyoEQAR"/>
        <s v="0066T00001AsyoJQAR"/>
        <s v="0066T00001AsyoOQAR"/>
        <s v="0066T00001AsyoYQAR"/>
        <s v="0066T00001AsyodQAB"/>
        <s v="0066T00001AsyoiQAB"/>
        <s v="0066T00001AsyonQAB"/>
        <s v="0066T00001Asyp2QAB"/>
        <s v="0066T00001Asyp7QAB"/>
        <s v="0066T00001AsypCQAR"/>
        <s v="0066T00001AsypHQAR"/>
        <s v="0066T00001AsypMQAR"/>
        <s v="0066T00001AsypRQAR"/>
        <s v="0066T00001AsypWQAR"/>
        <s v="0066T00001AsypgQAB"/>
        <s v="0066T00001AsyplQAB"/>
        <s v="0066T00001AsypvQAB"/>
        <s v="0066T00001Asyq0QAB"/>
        <s v="0066T00001Asyq5QAB"/>
        <s v="0066T00001AsyqAQAR"/>
        <s v="0066T00001AsyqFQAR"/>
        <s v="0066T00001AsyqPQAR"/>
        <s v="0066T00001AsyqUQAR"/>
        <s v="0066T00001AsyqoQAB"/>
        <s v="0066T00001AuxztQAB"/>
        <s v="0066T00001AvTo3QAF"/>
        <s v="0066T00001BPrRZQA1"/>
        <s v="0066T00001BSjcOQAT"/>
        <s v="0066T00001BT9iyQAD"/>
        <s v="0066T00001BT9j8QAD"/>
        <s v="0066T00001BT9jNQAT"/>
        <s v="0066T00001BTUCuQAP"/>
        <s v="0066T00001BaWb3QAF"/>
        <s v="0066T00001Be6onQAB"/>
        <s v="0066T00001Be6p2QAB"/>
        <s v="0066T00001BfcSZQAZ"/>
        <s v="0066T00001BfcU6QAJ"/>
        <s v="0066T00001BypjKQAR"/>
        <s v="0066T00001BypjUQAR"/>
        <s v="0066T00001BypjZQAR"/>
        <s v="0066T00001BypjeQAB"/>
        <s v="0066T00001BypjjQAB"/>
        <s v="0066T00001BypjtQAB"/>
        <s v="0066T00001BypjyQAB"/>
        <s v="0066T00001Bypk3QAB"/>
        <s v="0066T00001BypkDQAR"/>
        <s v="0066T00001BypkIQAR"/>
        <s v="0066T00001BypkXQAR"/>
        <s v="0066T00001BypkcQAB"/>
        <s v="0066T00001BypkhQAB"/>
        <s v="0066T00001BypkmQAB"/>
        <s v="0066T00001BypkwQAB"/>
        <s v="0066T00001Bypl1QAB"/>
        <s v="0066T00001Bypl6QAB"/>
        <s v="0066T00001ByplGQAR"/>
        <s v="0066T00001ByplVQAR"/>
        <s v="0066T00001ByplfQAB"/>
        <s v="0066T00001ByplkQAB"/>
        <s v="0066T00001ByplpQAB"/>
        <s v="0066T00001BypluQAB"/>
        <s v="0066T00001BypmnQAB"/>
        <s v="0066T00001BypmsQAB"/>
        <s v="0066T00001BypmxQAB"/>
        <s v="0066T00001Bypn2QAB"/>
        <s v="0066T00001BypnCQAR"/>
        <s v="0066T00001BypnHQAR"/>
        <s v="0066T00001BypnRQAR"/>
        <s v="0066T00001Bz180QAB"/>
        <s v="0066T00001BzizMQAR"/>
        <s v="0066T00001CHTH7QAP"/>
        <s v="0066T00001CHXrEQAX"/>
        <s v="0066T00001CsjWgQAJ"/>
        <s v="0066T00001Ct91EQAR"/>
        <s v="0066T00001CtK2vQAF"/>
        <s v="0066T00001CtaGGQAZ"/>
        <s v="0066T00001CtbF1QAJ"/>
        <s v="0066T00001D6yzEQAR"/>
        <s v="0066T00001D6z16QAB"/>
        <s v="0066T00001EOEjNQAX"/>
        <s v="0066T00001EOEkaQAH"/>
        <s v="0066T00001EOEkpQAH"/>
        <s v="0066T00001EPCEIQA5"/>
        <s v="0066T00001EPCHCQA5"/>
        <s v="0066T00001EPOodQAH"/>
        <s v="006VO000001PmaLYAS"/>
        <s v="006VO000001TBZ1YAO"/>
        <s v="006VO000001W04MYAS"/>
        <s v="006VO000001ifmsYAA"/>
        <s v="006VO000002IsQcYAK"/>
        <s v="006VO000002JXTlYAO"/>
        <s v="006VO000002ZwBGYA0"/>
        <s v="006VO000002cMfvYAE"/>
        <s v="006VO000003GDSdYAO"/>
        <s v="006VO000003UM4bYAG"/>
        <s v="006VO000003nvrUYAQ"/>
        <s v="006VO000003q0jlYAA"/>
        <s v="006VO0000040d78YAA"/>
        <s v="006VO0000041JMWYA2"/>
        <s v="006VO0000041PQJYA2"/>
        <s v="006VO0000041ROtYAM"/>
        <s v="006VO0000041UF0YAM"/>
        <s v="006VO0000041Wd5YAE"/>
        <s v="006VO0000041WtCYAU"/>
        <s v="006VO0000041YqTYAU"/>
        <s v="006VO0000041aFaYAI"/>
        <s v="006VO0000041dcxYAA"/>
        <s v="006VO0000041deYYAQ"/>
        <s v="006VO0000041fhxYAA"/>
        <s v="006VO0000041fjZYAQ"/>
        <s v="006VO0000041fmnYAA"/>
        <s v="006VO0000041frdYAA"/>
        <s v="006VO0000041furYAA"/>
        <s v="006VO0000041fy5YAA"/>
        <s v="006VO0000041g2vYAA"/>
        <s v="006VO0000041g7lYAA"/>
        <s v="006VO0000041gAzYAI"/>
        <s v="006VO0000041gKfYAI"/>
        <s v="006VO0000041gNtYAI"/>
        <s v="006VO000004BOl0YAG"/>
        <s v="006VO000004IMmAYAW"/>
        <s v="006VO000004TtutYAC"/>
        <s v="006VO000004WcHZYA0"/>
        <s v="006VO000004h42rYAA"/>
        <s v="006VO000005IC1RYAW"/>
        <s v="006VO000005n9YjYAI"/>
        <s v="006VO000005vzdNYAQ"/>
        <s v="006VO000005xIcLYAU"/>
        <s v="006VO0000067D9zYAE"/>
        <s v="006VO000006amkEYAQ"/>
        <s v="006VO000007SnY1YAK"/>
        <s v="006VO0000081wDRYAY"/>
        <s v="006VO0000089DUVYA2"/>
        <s v="006VO000008DeHbYAK"/>
        <s v="006VO000008JNfRYAW"/>
        <s v="006VO000008NrqEYAS"/>
        <s v="006VO000008jEzuYAE"/>
        <s v="006VO000008v7RaYAI"/>
        <s v="006VO000008v90MYAQ"/>
        <s v="006VO000008vBWpYAM"/>
        <s v="006VO000008vCHZYA2"/>
        <s v="006VO000008vD2RYAU"/>
        <s v="006VO000008vE1eYAE"/>
        <s v="006VO000008vFTyYAM"/>
        <s v="006VO000008vFfGYAU"/>
        <s v="006VO000008vG1qYAE"/>
        <s v="006VO000008vGD7YAM"/>
        <s v="006VO000008vGHyYAM"/>
        <s v="006VO000008vGQ1YAM"/>
        <s v="006VO000008vGWTYA2"/>
        <s v="006VO000008vGhlYAE"/>
        <s v="006VO000008vGrRYAU"/>
        <s v="006VO000008vGufYAE"/>
        <s v="006VO000008vH17YAE"/>
        <s v="006VO000008vH2jYAE"/>
        <s v="006VO000008vH7aYAE"/>
        <s v="006VO000008vHAnYAM"/>
        <s v="006VO000008vHFdYAM"/>
        <s v="006VO0000090ZgYYAU"/>
        <s v="006VO0000093fcXYAQ"/>
        <s v="006VO0000096TAFYA2"/>
        <s v="006VO000009CLQDYA4"/>
        <s v="006VO000009FAWXYA4"/>
        <s v="006VO000009IM06YAG"/>
        <s v="006VO000009LDTLYA4"/>
        <s v="006VO000009Yss2YAC"/>
        <s v="006VO000009ckHZYAY"/>
        <s v="006VO00000A2zWIYAZ"/>
        <s v="006VO00000A7jfNYAR"/>
        <s v="006VO00000ANGmHYAX"/>
        <s v="006VO00000AmfuNYAR"/>
        <s v="006VO00000Amo9dYAB"/>
        <s v="006VO00000Ar2h3YAB"/>
        <s v="006VO00000AuOI1YAN"/>
        <s v="006VO00000BCVRWYA5"/>
        <s v="006VO00000BJ1BmYAL"/>
        <s v="006VO00000BnMPGYA3"/>
        <s v="006VO00000C1saZYAR"/>
        <s v="006VO00000CIPIyYAP"/>
        <s v="006VO00000CISdFYAX"/>
        <s v="006VO00000CJyj7YAD"/>
        <s v="006VO00000CJypeYAD"/>
        <s v="006VO00000CKC2yYAH"/>
        <s v="006VO00000CKEO5YAP"/>
        <s v="006VO00000CKEvxYAH"/>
        <s v="006VO00000CKFyVYAX"/>
        <s v="006VO00000CKGPtYAP"/>
        <s v="006VO00000CKGRVYA5"/>
        <s v="006VO00000CKGcnYAH"/>
        <s v="006VO00000CKd4jYAD"/>
        <s v="006VO00000CKdPhYAL"/>
        <s v="006VO00000CNtRVYA1"/>
        <s v="006VO00000CNySoYAL"/>
        <s v="006VO00000CO0BFYA1"/>
        <s v="006VO00000CO54TYAT"/>
        <s v="006VO00000CO5VtYAL"/>
        <s v="006VO00000CONmBYAX"/>
        <s v="006VO00000COO5XYAX"/>
        <s v="006VO00000CReFNYA1"/>
        <s v="006VO00000CWJILYA5"/>
        <s v="006VO00000DO6RNYA1"/>
        <s v="006VO00000Dto6NYAR"/>
        <s v="006VO00000EBq6VYAT"/>
        <s v="006VO00000EjkUrYAJ"/>
        <s v="006VO00000EnQu9YAF"/>
        <s v="006VO00000Erz3hYAB"/>
        <s v="006VO00000EvYJRYA3"/>
        <s v="006VO00000Eyu5hYAB"/>
        <s v="006VO00000F7hArYAJ"/>
        <s v="006VO00000F7l9dYAB"/>
        <s v="006VO00000FD8ITYA1"/>
        <s v="006VO00000FDQk2YAH"/>
        <s v="006VO00000FWVMcYAP"/>
        <s v="006VO00000FZkLvYAL"/>
        <s v="006VO00000FaDnhYAF"/>
        <s v="006VO00000FtXynYAF"/>
        <s v="006VO00000Fws4FYAR"/>
        <s v="006VO00000FwsNaYAJ"/>
        <s v="006VO00000Fwwm9YAB"/>
        <s v="006VO00000FwwsbYAB"/>
        <s v="006VO00000FwwuDYAR"/>
        <s v="006VO00000FwwxRYAR"/>
        <s v="006VO00000Fwx0fYAB"/>
        <s v="006VO00000FxGJRYA3"/>
        <s v="006VO00000FxT70YAF"/>
        <s v="006VO00000GFTN3YAP"/>
        <s v="006VO00000Gfgq6YAB"/>
        <s v="006VO00000Gfl09YAB"/>
        <s v="006VO00000GnwmPYAR"/>
        <s v="006VO00000H32I1YAJ"/>
        <s v="006VO00000H6RgTYAV"/>
        <s v="006VO00000HAz0QYAT"/>
        <s v="006VO00000Hh97tYAB"/>
        <s v="006VO00000HiYx3YAF"/>
        <s v="006VO00000Ht8CsYAJ"/>
        <s v="006VO00000I1cVWYAZ"/>
        <s v="006VO00000I9vzBYAR"/>
        <s v="006VO00000IClIZYA1"/>
        <s v="006VO00000IDriUYAT"/>
        <s v="006VO00000IOQmzYAH"/>
        <s v="006VO00000ISF3NYAX"/>
        <s v="006VO00000ISZrhYAH"/>
        <s v="006VO00000IWi6nYAD"/>
        <s v="006VO00000IacSbYAJ"/>
        <s v="006VO00000Ik4B8YAJ"/>
        <s v="006VO00000Ik5okYAB"/>
        <s v="006VO00000Ik6KzYAJ"/>
        <s v="006VO00000Ik6MbYAJ"/>
        <s v="006VO00000Ik6RRYAZ"/>
        <s v="006VO00000Ik6T3YAJ"/>
        <s v="006VO00000Ik6WHYAZ"/>
        <s v="006VO00000Ik6fxYAB"/>
        <s v="006VO00000Ik72XYAR"/>
        <s v="006VO00000Ik75lYAB"/>
        <s v="006VO00000Ik7AbYAJ"/>
        <s v="006VO00000Ik7P7YAJ"/>
        <s v="006VO00000IkAGXYA3"/>
        <s v="006VO00000IlgO2YAJ"/>
        <s v="006VO00000Imo9pYAB"/>
        <s v="006VO00000Iq4WbYAJ"/>
        <s v="006VO00000Iq4nIYAR"/>
        <s v="006VO00000JC1yHYAT"/>
        <s v="006VO00000JCAofYAH"/>
        <s v="006VO00000JCCGzYAP"/>
        <s v="006VO00000JCEPIYA5"/>
        <s v="006VO00000JFBxuYAH"/>
        <s v="006VO00000JNWicYAH"/>
        <s v="006VO00000JNhirYAD"/>
        <s v="006VO00000JNhnhYAD"/>
        <s v="006VO00000JT1sXYAT"/>
        <s v="006VO00000JYHTxYAP"/>
        <s v="006VO00000JYWKbYAP"/>
        <s v="006VO00000JiV5BYAV"/>
        <s v="006VO00000Jiy7CYAR"/>
        <s v="006VO00000JoFH3YAN"/>
        <s v="006VO00000K9XcMYAV"/>
        <s v="006VO00000KBi77YAD"/>
        <s v="006VO00000KEeA9YAL"/>
        <s v="006VO00000KIerXYAT"/>
        <s v="006VO00000KN305YAD"/>
        <s v="006VO00000KWTg6YAH"/>
        <s v="006VO00000KYKjzYAH"/>
        <s v="006VO00000KdLlqYAF"/>
        <s v="006VO00000Kxqf0YAB"/>
        <s v="006VO00000LKcZhYAL"/>
        <s v="006VO00000LKloIYAT"/>
        <s v="006VO00000LMCrGYAX"/>
        <s v="006VO00000LMKJsYAP"/>
        <s v="006VO00000LMMPCYA5"/>
        <s v="006VO00000LMMSQYA5"/>
        <s v="006VO00000LMOR0YAP"/>
        <s v="006VO00000LMP8XYAX"/>
        <s v="006VO00000LMQCfYAP"/>
        <s v="006VO00000LMQUPYA5"/>
        <s v="006VO00000LMQfhYAH"/>
        <s v="006VO00000LQ9A2YAL"/>
        <s v="006VO00000LQOdiYAH"/>
        <s v="006VO00000LUn2PYAT"/>
        <s v="006VO00000LhtgIYAR"/>
        <s v="006VO00000LhycjYAB"/>
        <s v="006VO00000LjR6RYAV"/>
        <s v="006VO00000LkvlZYAR"/>
        <s v="006VO00000LnO0IYAV"/>
        <s v="006VO00000Lnn8LYAR"/>
        <s v="006VO00000LwaIMYAZ"/>
        <s v="006VO00000M5GHBYA3"/>
        <s v="006VO00000MAEY5YAP"/>
        <s v="006VO00000MAqa9YAD"/>
        <s v="006VO00000MEF8zYAH"/>
        <s v="006VO00000MRS3aYAH"/>
        <s v="006VO00000MRZLBYA5"/>
        <s v="006VO00000MoUawYAF"/>
        <s v="006VO00000MpuzbYAB"/>
        <s v="006VO00000Mq5mvYAB"/>
        <s v="006VO00000MvNOEYA3"/>
        <s v="006VO00000N4157YAB"/>
        <s v="006VO00000NBQy1YAH"/>
        <s v="006VO00000NK3KfYAL"/>
        <s v="006VO00000NLUxAYAX"/>
        <s v="006VO00000NPpIGYA1"/>
        <s v="006VO00000NQBYrYAP"/>
        <s v="006VO00000NQDCTYA5"/>
        <s v="006VO00000NQOuFYAX"/>
        <s v="006VO00000NQi6XYAT"/>
        <s v="006VO00000NQj4HYAT"/>
        <s v="006VO00000NQqtlYAD"/>
        <s v="006VO00000NR53BYAT"/>
        <s v="006VO00000NR8YvYAL"/>
        <s v="006VO00000NRARrYAP"/>
        <s v="006VO00000Nae8AYAR"/>
        <s v="006VO00000NgRGHYA3"/>
        <s v="006VO00000Nhz6DYAR"/>
        <s v="006VO00000NuDa1YAF"/>
        <s v="006VO00000Oc545YAB"/>
        <s v="006VO00000OdYFJYA3"/>
        <s v="006VO00000OhS9hYAF"/>
        <s v="006VO00000OlAXZYA3"/>
        <s v="006VO00000OlNZeYAN"/>
        <s v="006VO00000Oy13RYAR"/>
        <s v="006VO00000OzyXhYAJ"/>
        <s v="006VO00000PBQyTYAX"/>
        <s v="006VO00000PBREbYAP"/>
        <s v="006VO00000PBRL3YAP"/>
        <s v="006VO00000PBRbBYAX"/>
        <s v="006VO00000PBRkrYAH"/>
        <s v="006VO00000PBVoVYAX"/>
        <s v="006VO00000PBdR3YAL"/>
        <s v="006VO00000PBdm1YAD"/>
        <s v="006VO00000PBkNhYAL"/>
        <s v="006VO00000PIhswYAD"/>
        <s v="006VO00000PIkHKYA1"/>
        <s v="006VO00000PInDZYA1"/>
        <s v="006VO00000PInIPYA1"/>
        <s v="006VO00000PInQTYA1"/>
        <s v="006VO00000PInWvYAL"/>
        <s v="006VO00000PInblYAD"/>
        <s v="006VO00000PIrdmYAD"/>
        <s v="006VO00000PJ1reYAD"/>
        <s v="006VO00000PK6UJYA1"/>
        <s v="006VO00000PKPrtYAH"/>
        <s v="006VO00000PKac3YAD"/>
        <s v="006VO00000PRr9uYAD"/>
        <s v="006VO00000PRrrRYAT"/>
        <s v="006VO00000PS8VhYAL"/>
        <s v="006VO00000PebQhYAJ"/>
        <s v="006VO00000PekFSYAZ"/>
        <s v="006VO00000PemNhYAJ"/>
        <s v="006VO00000PgJmDYAV"/>
        <s v="006VO00000PoKd3YAF"/>
        <s v="006VO00000PoNizYAF"/>
        <s v="006VO00000Poat7YAB"/>
        <s v="006VO00000Pob1BYAR"/>
        <s v="006VO00000PsBBNYA3"/>
        <s v="006VO00000Q0EP0YAN"/>
        <s v="006VO00000Q0X6fYAF"/>
        <s v="006VO00000Q0hXSYAZ"/>
        <s v="006VO00000QNd6YYAT"/>
        <s v="006VO00000QNsNJYA1"/>
        <s v="006VO00000QNsVNYA1"/>
        <s v="006VO00000QNt01YAD"/>
        <s v="006VO00000QNt9hYAD"/>
        <s v="006VO00000QOIL0YAP"/>
        <s v="006VO00000QOKppYAH"/>
        <s v="006VO00000QieAsYAJ"/>
        <s v="006VO00000QjmeDYAR"/>
        <s v="006VO00000QjoD0YAJ"/>
        <s v="006VO00000QjuwjYAB"/>
        <s v="006VO00000QlBKRYA3"/>
        <s v="006VO00000Qm34lYAB"/>
        <s v="006VO00000QtkHlYAJ"/>
        <s v="006VO00000R6TNxYAN"/>
        <s v="006VO00000R6ThJYAV"/>
        <s v="006VO00000RAb0LYAT"/>
        <s v="006VO00000RAjQvYAL"/>
        <s v="006VO00000RF6FFYA1"/>
        <s v="006VO00000RJjJdYAL"/>
        <s v="006VO00000RSma2YAD"/>
        <s v="006VO00000RT5rDYAT"/>
        <s v="006VO00000RT60xYAD"/>
        <s v="006VO00000RT84HYAT"/>
        <s v="006VO00000RTAvhYAH"/>
        <s v="006VO00000RUynUYAT"/>
        <s v="006VO00000RdTyfYAF"/>
        <s v="006VO00000RwqoHYAR"/>
        <s v="006VO00000SdyNaYAJ"/>
        <s v="006VO00000SljHjYAJ"/>
        <s v="006VO00000SptvBYAR"/>
        <s v="006VO00000SzijxYAB"/>
        <s v="006VO00000SzjGDYAZ"/>
        <s v="006VO00000SzkCHYAZ"/>
        <s v="006VO00000Szll3YAB"/>
        <s v="006VO00000T02xBYAR"/>
        <s v="006VO00000T1eIrYAJ"/>
        <s v="006VO00000T1fq1YAB"/>
        <s v="006VO00000T64Y5YAJ"/>
        <s v="006VO00000T68WtYAJ"/>
        <s v="006VO00000TDnqDYAT"/>
        <s v="006VO00000TEGc7YAH"/>
        <s v="006VO00000TWDizYAH"/>
        <s v="006VO00000TjYMbYAN"/>
        <s v="006VO00000TjgaHYAR"/>
        <s v="006VO00000TjjRhYAJ"/>
        <s v="006VO00000TlZuTYAV"/>
        <s v="006VO00000Tle7lYAB"/>
        <s v="006VO00000TpbxjYAB"/>
        <s v="006VO00000Tpv0MYAR"/>
        <s v="006VO00000TuDEnYAN"/>
        <s v="006VO00000TuDbNYAV"/>
        <s v="006VO00000TxX0wYAF"/>
        <s v="006VO00000Ty5SMYAZ"/>
        <s v="006VO00000TyCf7YAF"/>
        <s v="006VO00000TyW5xYAF"/>
        <s v="006VO00000TyYHRYA3"/>
        <s v="006VO00000Tz6EIYAZ"/>
        <s v="006VO00000U7gZ7YAJ"/>
        <s v="006VO00000U9nLBYAZ"/>
        <s v="006VO00000UHtJlYAL"/>
        <s v="006VO00000UI4n3YAD"/>
        <s v="006VO00000UMD6zYAH"/>
        <s v="006VO00000UVN5VYAX"/>
        <s v="006VO00000UbbIfYAJ"/>
        <s v="006VO00000UfUSIYA3"/>
        <s v="006VO00000UfXJhYAN"/>
        <s v="006VO00000UkLGHYA3"/>
        <s v="006VO00000UkNTNYA3"/>
        <s v="006VO00000UkZcdYAF"/>
        <s v="006VO00000UkicfYAB"/>
        <s v="006VO00000UuUDRYA3"/>
        <s v="006VO00000V5VirYAF"/>
        <s v="006VO00000VKOiiYAH"/>
        <s v="006VO00000VXS2MYAX"/>
        <s v="006VO00000VYhiDYAT"/>
        <s v="006VO00000Vi2STYAZ"/>
        <s v="006VO00000Vjm54YAB"/>
        <s v="006VO00000VnZvtYAF"/>
        <s v="006VO00000VngCMYAZ"/>
        <s v="006VO00000Vnr1JYAR"/>
        <s v="006VO00000W6Gm1YAF"/>
        <s v="006VO00000W7njRYAR"/>
        <s v="006VO00000W7xc1YAB"/>
        <s v="006VO00000W7xk5YAB"/>
        <s v="006VO00000W7xs9YAB"/>
        <s v="006VO00000W7y1pYAB"/>
        <s v="006VO00000W7y6fYAB"/>
        <s v="006VO00000W8DdZYAV"/>
        <s v="006VO00000W8c7LYAR"/>
        <s v="006VO00000WCoTFYA1"/>
        <s v="006VO00000WHIxNYAX"/>
        <s v="006VO00000WKzBNYA1"/>
        <s v="006VO00000WYde1YAD"/>
        <s v="006VO00000WbG8DYAV"/>
        <s v="006VO00000WbTrpYAF"/>
        <s v="006VO00000Wbe7JYAR"/>
        <s v="006VO00000WhAhfYAF"/>
        <s v="006VO00000Wun5GYAR"/>
        <s v="006VO00000WwxJpYAJ"/>
        <s v="006VO00000X1iGvYAJ"/>
        <s v="006VO00000X1mHJYAZ"/>
        <s v="006VO00000X642kYAB"/>
        <s v="006VO00000XAZEPYA5"/>
        <s v="006VO00000XAa2PYAT"/>
        <s v="006VO00000XC1BqYAL"/>
        <s v="006VO00000XQdvZYAT"/>
        <s v="006VO00000XRUYTYA5"/>
        <s v="006VO00000XV9s1YAD"/>
        <s v="006VO00000XtS77YAF"/>
        <s v="006VO00000XtSGnYAN"/>
        <s v="006VO00000XxOksYAF"/>
        <s v="006VO00000Y7z3BYAR"/>
        <s v="006VO00000Y9s8sYAB"/>
        <s v="006VO00000YA9JNYA1"/>
        <s v="006VO00000YADmpYAH"/>
        <s v="006VO00000YEPnlYAH"/>
        <s v="006VO00000YEcjNYAT"/>
        <s v="006VO00000YHmhPYAT"/>
        <s v="006VO00000YIvdmYAD"/>
        <s v="006VO00000YJ2c1YAD"/>
        <s v="006VO00000YN6vaYAD"/>
        <s v="006VO00000YXWfDYAX"/>
        <s v="006VO00000YYCXqYAP"/>
        <s v="006VO00000YZcBhYAL"/>
        <s v="006VO00000YZd6AYAT"/>
        <s v="006VO00000YaEwvYAF"/>
        <s v="006VO00000YhcBLYAZ"/>
        <s v="006VO00000YhwupYAB"/>
        <s v="006VO00000Yi6voYAB"/>
        <s v="006VO00000YwhQsYAJ"/>
        <s v="006VO00000Yx7t7YAB"/>
        <s v="006VO00000YyKzcYAF"/>
        <s v="006VO00000YyiIjYAJ"/>
        <s v="006VO00000YyidhYAB"/>
        <s v="006VO00000Yyik9YAB"/>
        <s v="006VO00000Yyxw6YAB"/>
        <s v="006VO00000YyyAbYAJ"/>
        <s v="006VO00000Yz2FsYAJ"/>
        <s v="006VO00000YzDWEYA3"/>
        <s v="006VO00000YzEKDYA3"/>
        <s v="006VO00000YzGU5YAN"/>
        <s v="006VO00000YzH5BYAV"/>
        <s v="006VO00000Z3G2VYAV"/>
        <s v="006VO00000ZCM0cYAH"/>
        <s v="006VO00000ZCdO1YAL"/>
        <s v="006VO00000ZMir5YAD"/>
        <s v="006VO00000ZORW0YAP"/>
        <s v="006VO00000ZOW4DYAX"/>
        <s v="006VO00000ZOfttYAD"/>
        <s v="006VO00000ZPp81YAD"/>
        <s v="006VO00000ZSm2LYAT"/>
        <s v="006VO00000ZWjXKYA1"/>
        <s v="006VO00000ZmVOkYAN"/>
        <s v="006VO00000ZmYb7YAF"/>
        <s v="006VO00000ZmYssYAF"/>
        <s v="006VO00000ZmiH8YAJ"/>
        <s v="006VO00000Zmk7eYAB"/>
        <s v="006VO00000ZmmcTYAR"/>
        <s v="006VO00000ZmmqzYAB"/>
        <s v="006VO00000Zmmz4YAB"/>
        <s v="006VO00000ZmnLeYAJ"/>
        <s v="006VO00000ZmnofYAB"/>
        <s v="006VO00000ZmoBFYAZ"/>
        <s v="006VO00000ZmoMXYAZ"/>
        <s v="006VO00000ZmoPlYAJ"/>
        <s v="006VO00000ZmoftYAB"/>
        <s v="006VO00000ZvuAzYAJ"/>
        <s v="006VO00000aG1g9YAC"/>
        <s v="006VO00000aJe6fYAC"/>
        <s v="006VO00000aLERRYA4"/>
        <s v="006VO00000aRoQcYAK"/>
        <s v="006VO00000aS2TZYA0"/>
        <s v="006VO00000aS2oXYAS"/>
        <s v="006VO00000aS2rlYAC"/>
        <s v="006VO00000aZ87dYAC"/>
        <s v="006VO00000aZARBYA4"/>
        <s v="006VO00000adhlBYAQ"/>
        <s v="006VO00000ai7cAYAQ"/>
        <s v="006VO00000aiDhZYAU"/>
        <s v="006VO00000alpqLYAQ"/>
        <s v="006VO00000axbzjYAA"/>
        <s v="006VO00000b3H0cYAE"/>
        <s v="006VO00000b3L95YAE"/>
        <s v="006VO00000b3OLRYA2"/>
        <s v="006VO00000b3QgbYAE"/>
        <s v="006VO00000b3Qn3YAE"/>
        <s v="006VO00000bNGpxYAG"/>
        <s v="006VO00000bVrHGYA0"/>
        <s v="006VO00000bVsZtYAK"/>
        <s v="006VO00000bb4x1YAA"/>
        <s v="006VO00000bkHjhYAE"/>
        <s v="006VO00000bkgjhYAA"/>
        <s v="006VO00000bkhZJYAY"/>
        <s v="006VO00000SP18rYAD"/>
        <s v="006VO00000T5bFzYAJ"/>
        <s v="006VO00000T5eowYAB"/>
        <s v="006VO00000T5fRfYAJ"/>
        <s v="006VO00000T5hurYAB"/>
        <s v="006VO00000VTIVyYAP"/>
        <s v="006VO00000Vs3ogYAB"/>
        <s v="006VO00000VwR1BYAV"/>
        <s v="006VO00000Vwa9JYAR"/>
        <s v="006VO00000WLSJpYAP"/>
        <s v="006VO00000WgCiIYAV"/>
        <s v="006VO00000Wv3d3YAB"/>
        <s v="006VO00000XtN12YAF"/>
        <s v="006VO00000Y7vsPYAR"/>
        <s v="006VO00000YmPyGYAV"/>
        <s v="006VO00000ZMiz7YAD"/>
        <s v="006VO00000ZMrG1YAL"/>
        <s v="006VO00000ZMuVdYAL"/>
        <s v="006VO00000ZOqUMYA1"/>
        <s v="006VO00000ZSmlWYAT"/>
        <s v="006VO00000ZwPrWYAV"/>
        <s v="006VO00000awuujYAA"/>
        <s v="006VO00000b7BflYAE"/>
        <s v="006VO00000bNC81YAG"/>
        <s v="006VO00000bNCG5YAO"/>
        <s v="006VO00000bNXdtYAG"/>
        <s v="006VO00000bVgqTYAS"/>
        <s v="006VO00000boc6PYAQ"/>
        <s v="006VO00000bsnEXYAY"/>
        <s v="006VO00000QaaE9YAJ"/>
        <s v="006VO00000VNwzAYAT"/>
        <s v="006VO00000WCVaHYAX"/>
        <s v="006VO00000X6qIfYAJ"/>
        <s v="006VO00000XKeHfYAL"/>
        <s v="006VO00000XjPosYAF"/>
        <s v="006VO00000XpSorYAF"/>
        <s v="006VO00000YMlgJYAT"/>
        <s v="006VO00000YjOU2YAN"/>
        <s v="006VO00000ZTBojYAH"/>
        <s v="006VO00000Zj0CcYAJ"/>
        <s v="006VO00000ZkjnaYAB"/>
        <s v="006VO00000Zzk3OYAR"/>
        <s v="006VO00000a9vqLYAQ"/>
        <s v="006VO00000aXKfxYAG"/>
        <s v="006VO00000aXSK9YAO"/>
        <s v="006VO00000aXX3hYAG"/>
        <s v="006VO00000bLFV0YAO"/>
        <s v="006VO00000bLRhTYAW"/>
        <s v="006VO00000bLU7SYAW"/>
        <s v="006VO00000bLU7TYAW"/>
        <s v="006VO00000bLVLGYA4"/>
        <s v="006VO00000bLVgEYAW"/>
        <s v="006VO00000bLVoHYAW"/>
        <s v="006VO00000bLVzaYAG"/>
        <s v="006VO00000bLWafYAG"/>
        <s v="006VO00000bLWdtYAG"/>
        <s v="006VO00000bVhBRYA0"/>
        <s v="006VO00000bkW1CYAU"/>
        <s v="006VO00000boxCTYAY"/>
        <s v="006VO00000cHAgEYAW"/>
        <s v="006VO00000cHQHxYAO"/>
      </sharedItems>
    </cacheField>
    <cacheField name="Opportunity Name" numFmtId="0">
      <sharedItems containsBlank="1">
        <s v="Delivery Hero - K20 (Hot) - SA - JED - Rehab"/>
        <s v="Delivery Hero - K19 (Hot) - SA - JED - Rehab"/>
        <m/>
        <s v="Samoli Ep"/>
        <s v="Al Ghalia Company - CAFÉ LILOU - KHJ"/>
        <s v="Maqloba - KSA"/>
        <s v="chicken worx"/>
        <s v="Shawayet Hasan  -KSA"/>
        <s v="Logimat Mama Noura KSA - 4"/>
        <s v="Logimat Mama Noura KSA - 5"/>
        <s v="Burger King SA"/>
        <s v="Eat ha"/>
        <s v="Quizno's Sub - Malga"/>
        <s v="Cookies n Cream Khaleej"/>
        <s v="Cosmo Cafe - Olaya - KSA"/>
        <s v="Section-B"/>
        <s v="TAO"/>
        <s v="TAO - KLG"/>
        <s v="Eat ha - Dahrat Laban - KSA"/>
        <s v="TAO - King Fahad"/>
        <s v="TAO - SWD"/>
        <s v="Manoosha - Khobar AQ - Transfer Member"/>
        <s v="Mol10 KSA (Member Transfer)"/>
        <s v="Diplomat - KHL"/>
        <s v="Cosmo Cafe - Khaleej - KSA"/>
        <s v="Raed Startup"/>
        <s v="Muneera Aabdullah Startup"/>
        <s v="BIRD (MEMBER TRANSFER)"/>
        <s v="Broasted Express"/>
        <s v="Crunch Bakery Malga 2"/>
        <s v="TAO - Malga (MEMBER TRANSFER)"/>
        <s v="Delivery Hero - K14 (Hot) - SA - JED - Bawadi"/>
        <s v="Delivery Hero - K01 (Hot) - SA - JED - Bawadi"/>
        <s v="Delivery Hero - K23 (Hot) - SA - JED - Bawadi"/>
        <s v="Delivery Hero - K06 (Hot) - SA - JED - Bawadi"/>
        <s v="Delivery Hero - K04 (Hot) - SA - JED - Bawadi"/>
        <s v="Delivery Hero - K17 (Hot) - SA - JED - Bawadi"/>
        <s v="Delivery Hero - K11 (Hot) - SA - JED - Bawadi"/>
        <s v="Delivery Hero - K11 (Hot) - SA - JED - Marwa"/>
        <s v="Delivery Hero - K07 (Hot) - SA - JED - Bawadi"/>
        <s v="Delivery Hero - K22 (Hot) - SA - JED - Bawadi"/>
        <s v="Delivery Hero - K10 (Hot) - SA - JED - Bawadi"/>
        <s v="Delivery Hero - K18 (Hot) - SA - JED - Bawadi"/>
        <s v="Delivery Hero - K20 (Hot) - SA - JED - Bawadi"/>
        <s v="Delivery Hero - K16 (Hot) - SA - JED - Bawadi"/>
        <s v="Delivery Hero - K25 (Hot) - SA - JED - Bawadi"/>
        <s v="Delivery Hero - K13 (Hot) - SA - JED - Bawadi"/>
        <s v="Delivery Hero - K19 (Hot) - SA - JED - Bawadi"/>
        <s v="Delivery Hero - K15 (Hot) - SA - JED - Bawadi"/>
        <s v="Delivery Hero - K05 (Hot) - SA - JED - Bawadi"/>
        <s v="Delivery Hero - K21 (Hot) - SA - JED - Bawadi"/>
        <s v="Delivery Hero - K03 (Hot) - SA - JED - Bawadi"/>
        <s v="Delivery Hero - K08 (Hot) - SA - JED - Bawadi"/>
        <s v="Delivery Hero - K02 (Hot) - SA - JED - Bawadi"/>
        <s v="Delivery Hero - K12 (Hot) - SA - JED - Bawadi"/>
        <s v="Delivery Hero - K06 (Hot) - SA - JED - Marwa"/>
        <s v="Delivery Hero - K09 (Hot) - SA - JED - Bawadi"/>
        <s v="Delivery Hero - K07 (Hot) - SA - JED - Marwa"/>
        <s v="Delivery Hero - K24 (Hot) - SA - JED - Bawadi"/>
        <s v="Delivery Hero - K14 (Hot) - SA - JED - Marwa"/>
        <s v="Delivery Hero - K16 (Hot) - SA - JED - Marwa"/>
        <s v="Delivery Hero - K02 (Hot) - SA - JED - Marwa"/>
        <s v="Delivery Hero - K12 (Hot) - SA - JED - Marwa"/>
        <s v="Delivery Hero - K13 (Cold) - SA - JED - Marwa"/>
        <s v="Delivery Hero - K03 (Hot) - SA - JED - Marwa"/>
        <s v="Delivery Hero - K25 (Hot) - SA - SAF"/>
        <s v="Delivery Hero - K08 (Hot) - SA - JED - Marwa"/>
        <s v="Delivery Hero - K04 (Hot) - SA - JED - Marwa"/>
        <s v="Delivery Hero - K05 (Hot) - SA - JED - Marwa"/>
        <s v="Delivery Hero - K10 (Hot) - SA - JED - Marwa"/>
        <s v="Delivery Hero - K09 (Hot) - SA - JED - Marwa"/>
        <s v="Delivery Hero - K15 (Cold) - SA - JED - Marwa"/>
        <s v="Delivery Hero - K01 (Hot) - SA - JED - Marwa"/>
        <s v="Delivery Hero - K04 (Hot) - SA - JED - Rehab"/>
        <s v="Delivery Hero - K09 (Hot) - SA - SAF"/>
        <s v="Delivery Hero - K10 (Hot) - SA - JED - Rehab"/>
        <s v="Delivery Hero - K12 (Hot) - SA - JED - Rehab"/>
        <s v="Delivery Hero - K06 (Hot) - SA - JED - Rehab"/>
        <s v="Delivery Hero - K09 (Hot) - SA - JED - Rehab"/>
        <s v="Delivery Hero - K18 (Hot) - SA - JED - Rehab"/>
        <s v="Delivery Hero - K02 (Hot) - SA - JED - Rehab"/>
        <s v="Delivery Hero - K03 (Hot) - SA - JED - Rehab"/>
        <s v="Delivery Hero - K05 (Hot) - SA - JED - Rehab"/>
        <s v="Delivery Hero - K11 (Hot) - SA - JED - Rehab"/>
        <s v="Delivery Hero - K13 (Hot) - SA - JED - Rehab"/>
        <s v="Delivery Hero - K14 (Hot) - SA - JED - Rehab"/>
        <s v="Delivery Hero - K15 (Hot) - SA - JED - Rehab"/>
        <s v="Delivery Hero - K16 (Hot) - SA - JED - Rehab"/>
        <s v="Delivery Hero - K17 (Hot) - SA - JED - Rehab"/>
        <s v="Delivery Hero - K01 (Hot) - SA - JED - Rehab"/>
        <s v="Delivery Hero - K07 (Cold) - SA - JED - Rehab"/>
        <s v="Delivery Hero - K08 (Cold) - SA - JED - Rehab"/>
        <s v="Delivery Hero - K14 (Hot) - SA - SAF"/>
        <s v="Delivery Hero - K07 (Hot) - SA - SAF"/>
        <s v="Delivery Hero - K06 (Hot) - SA - SAF"/>
        <s v="Delivery Hero - K10 (Hot) - SA - SAF"/>
        <s v="Delivery Hero - K27 (Hot) - SA - SAF"/>
        <s v="Delivery Hero - K15 (Hot) - SA - SAF"/>
        <s v="Delivery Hero - K17 (Hot) - SA - SAF"/>
        <s v="Delivery Hero - K16 (Hot) - SA - SAF"/>
        <s v="Delivery Hero - K04 (Hot) - SA - SAF"/>
        <s v="Delivery Hero - K08 (Hot) - SA - SAF"/>
        <s v="Delivery Hero - K28 (Hot) - SA - SAF"/>
        <s v="Delivery Hero - K29 (Hot) - SA - SAF"/>
        <s v="Delivery Hero - K23 (Hot) - SA - SAF"/>
        <s v="Delivery Hero - K13 (Hot) - SA - SAF"/>
        <s v="Delivery Hero - K12 (Hot) - SA - SAF"/>
        <s v="Delivery Hero - K11 (Hot) - SA - SAF"/>
        <s v="Delivery Hero - K03 (Hot) - SA - SAF"/>
        <s v="Delivery Hero - K21 (Hot) - SA - SAF"/>
        <s v="Delivery Hero - K22 (Hot) - SA - SAF"/>
        <s v="Delivery Hero - K24 (Hot) - SA - SAF"/>
        <s v="Delivery Hero - K26 (Hot) - SA - SAF"/>
        <s v="Delivery Hero - K19 (Cold) - SA - SAF"/>
        <s v="Delivery Hero - K18 (Hot) - SA - SAF"/>
        <s v="Delivery Hero - K05 (Cold) - SA - SAF"/>
        <s v="Delivery Hero - K02 (Cold) - SA - SAF"/>
        <s v="Delivery Hero - K01 (Hot) - SA - SAF"/>
        <s v="Delivery Hero - K20 (Cold) - SA - SAF"/>
        <s v="Section-B (Member Transfer)"/>
        <s v="Anas - Start Up"/>
        <s v="Dar Al Raeda- Sweidi"/>
        <s v="Lolivo - Aqiq KSA"/>
        <s v="Arabian Food - Zohor 1"/>
        <s v="Arabian Food - Zohor 2"/>
        <s v="Arabian Food - Zohor 3"/>
        <s v="Black Barn - Kobe - Phizzle"/>
        <s v="Hamam Abdoh Grills - K7 - malga 1 - KSA"/>
        <s v="Hamam Abdoh Grills - K4 - malga 1 - KSA"/>
        <s v="TAO - Aqrabiya"/>
        <s v="Tao (DMM RWD)"/>
        <s v="Delivery Hero - K01 (Cold) - SA - MSF"/>
        <s v="Delivery Hero - K02 (Hot) - SA - MSF"/>
        <s v="Delivery Hero - K03 (Hot) - SA - MSF"/>
        <s v="Delivery Hero - K05 (Hot) - SA - MSF"/>
        <s v="Delivery Hero - K08 (Hot) - SA - MSF"/>
        <s v="Delivery Hero - K13 (Hot) - SA - MSF"/>
        <s v="Delivery Hero - K17 (Hot) - SA - MSF"/>
        <s v="Delivery Hero - K21 (Hot) - SA - MSF"/>
        <s v="Delivery Hero - K26 (Hot) - SA - MSF"/>
        <s v="Delivery Hero - K29 (Hot) - SA - MSF"/>
        <s v="Delivery Hero - K04 (Hot) - SA - MSF"/>
        <s v="Delivery Hero - K06 (Hot) - SA - MSF"/>
        <s v="Delivery Hero - K07 (Hot) - SA - MSF"/>
        <s v="Delivery Hero - K10 (Hot) - SA - MSF"/>
        <s v="Delivery Hero - K15 (Cold) - SA - MSF"/>
        <s v="Delivery Hero - K22 (Hot) - SA - MSF"/>
        <s v="Delivery Hero - K27 (Hot) - SA - MSF"/>
        <s v="Delivery Hero - K30 (Cold) - SA - MSF"/>
        <s v="Delivery Hero - K09 (Hot) - SA - MSF"/>
        <s v="Delivery Hero - K11 (Hot) - SA - MSF"/>
        <s v="Delivery Hero - K12 (Hot) - SA - MSF"/>
        <s v="Delivery Hero - K18 (Hot) - SA - MSF"/>
        <s v="Delivery Hero - K24 (Hot) - SA - MSF"/>
        <s v="Delivery Hero - K14 (Hot) - SA - MSF"/>
        <s v="Delivery Hero - K16 (Cold) - SA - MSF"/>
        <s v="Delivery Hero - K19 (Hot) - SA - MSF"/>
        <s v="Delivery Hero - K23 (Hot) - SA - MSF"/>
        <s v="Delivery Hero - K20 (Hot) - SA - MSF"/>
        <s v="Delivery Hero - K25 (Hot) - SA - MSF"/>
        <s v="Delivery Hero - K28 (Hot) - SA - MSF"/>
        <s v="TAO - jarir"/>
        <s v="Molten - Member Transfer"/>
        <s v="Indian Palace - Indian Island - Samakatee"/>
        <s v="Soft Spot Desserts SA-"/>
        <s v="Cref cookies"/>
        <s v="Eye Wink Donut - KSA - KHALEEJ"/>
        <s v="avon cake"/>
        <s v="TAO - Qassim 1"/>
        <s v="Arabian Food Co. Dahrat Laban K17"/>
        <s v="Arabian Food Co - Swidi"/>
        <s v="TAO (KFD)"/>
        <s v="The Bakery &amp; Company - Member Transfer"/>
        <s v="TacoMania"/>
        <s v="Restaurant Franchise Co. for Trading (Give Me Five, Kantaka, Carton Mashwi)"/>
        <s v="TAO - DL Member Transfer - Member Transfer"/>
        <s v="First Friday"/>
        <s v="Grill it"/>
        <s v="Arabian Food Co Olaya"/>
        <s v="Hot Kunafa"/>
        <s v="Chicken Chops Sulaimania"/>
        <s v="Yogi"/>
        <s v="Abdullah start up - Member Transfer - Member Transfer"/>
        <s v="OverJar (Member Transfer) - Delayed Transfer Aqrabiya - Member Transfer"/>
        <s v="Fudge &amp; Co"/>
        <s v="Avon Cake - Member Transfer - Delayed Transfer"/>
        <s v="TAO - Member Transfer"/>
        <s v="Kcal KSA - Arid - K21 (Cold)"/>
        <s v="Kcal KSA - Arid - K01 (Hot)"/>
        <s v="Kcal KSA - Arid - K15 (Hot)"/>
        <s v="Kcal KSA - Arid - K16 (Hot)"/>
        <s v="Kcal KSA - Arid - K07 (Hot)"/>
        <s v="Kcal KSA - Arid - K03 (Hot)"/>
        <s v="Kcal KSA - Arid - K18 (Hot)"/>
        <s v="Kcal KSA - Arid - K06 (Hot)"/>
        <s v="Kcal KSA - Arid - K13 (Hot)"/>
        <s v="Kcal KSA - Arid - K02 (Hot)"/>
        <s v="Kcal KSA - Arid - K04 (Hot)"/>
        <s v="Kcal KSA - Arid - K05 (Hot)"/>
        <s v="Kcal KSA - Arid - K08 (Hot)"/>
        <s v="Kcal KSA - Arid - K09 (Hot)"/>
        <s v="Kcal KSA - Arid - K10 (Hot)"/>
        <s v="Kcal KSA - Arid - K11 (Hot)"/>
        <s v="Kcal KSA - Arid - K12 (Hot)"/>
        <s v="Kcal KSA - Arid - K14 (Hot)"/>
        <s v="Kcal KSA - Arid - K17 (Hot)"/>
        <s v="Kcal KSA - Arid - K19 (Hot)"/>
        <s v="Kcal KSA - Arid - K20 (Cold)"/>
        <s v="Arabian Food Co - Delayed Transfer Delayed Transfer"/>
        <s v="Mol10 KSA - Member Transfer"/>
        <s v="Remosa Delights SA"/>
        <s v="Juice Item"/>
        <s v="Smox - Rosso - Member Transfer"/>
        <s v="Bander's Potato Aqiq"/>
        <s v="Taj Holding - Member Transfer"/>
        <s v="Ganache"/>
        <s v="Framboise &amp; Olive"/>
        <s v="Fish and chips - KSA"/>
        <s v="Meats &amp;Cuts - Twice - SA"/>
        <s v="TAKE"/>
        <s v="Over Jar - DMM (Rawda)"/>
        <s v="Am Qassem - Uncle Qassem"/>
        <s v="Joyn Bakery"/>
        <s v="Chocomelt Malga 2"/>
        <s v="Food Line Holding (FLH) - K01"/>
        <s v="Juice Item - Khaleej - Member Transfer"/>
        <s v="Food Line Holding (FLH) - K16"/>
        <s v="Food Line Holding (FLH) - K18"/>
        <s v="Food Line Holding (FLH) - K09"/>
        <s v="Sushi Yoshi - Aqiq - Member Transfer"/>
        <s v="Food Line Holding (FLH) - K20"/>
        <s v="Food Line Holding (FLH) - K08"/>
        <s v="Food Line Holding (FLH) - K06"/>
        <s v="Food Line Holding (FLH) - K19"/>
        <s v="Food Line Holding (FLH) - K05"/>
        <s v="Food Line Holding (FLH) - K02"/>
        <s v="Food Line Holding (FLH) - K11"/>
        <s v="Food Line Holding (FLH) - K03"/>
        <s v="Food Line Holding (FLH) - K04"/>
        <s v="Food Line Holding (FLH) - K07"/>
        <s v="Food Line Holding (FLH) - K10"/>
        <s v="Food Line Holding (FLH) - K12"/>
        <s v="Food Line Holding (FLH) - K13"/>
        <s v="Food Line Holding (FLH) - K14"/>
        <s v="Food Line Holding (FLH) - K21"/>
        <s v="Food Line Holding (FLH) - K15"/>
        <s v="Food Line Holding (FLH) - K17"/>
        <s v="Indian Palace - Indian Island - Samakatee - Member Transfer"/>
        <s v="Taj Holding - (QUR)"/>
        <s v="Yogi - Member Transfer"/>
        <s v="Coffee Plus"/>
        <s v="Mahmaset Ard Al Sanawbar - Khaleej"/>
        <s v="Alrafden Grill (AQR)"/>
        <s v="Fish Face - Member Transfer"/>
        <s v="Taj Holding - (SUL)"/>
        <s v="TAO - Rawada - Delayed Transfer"/>
        <s v="Multaqa Alzad For Tourism ( Leila Min Lebnen - Omaimati - Greenbox )"/>
        <s v="TAO - Malga 1 - Delayed Transfer - Delayed Transfer"/>
        <s v="TAO - Qurtoba - Delayed Transfer - Delayed Transfer"/>
        <s v="Deboned KSA (Aqrabia)  - Delayed Transfer"/>
        <s v="TAO - Qurtoba K8 - Delayed Transfer"/>
        <s v="Dolce Ragusa Qurtoba - Member Transfer"/>
        <s v="Acai vibe"/>
        <s v="Juice Items Malga - Member Transfer - Member Transfer"/>
        <s v="Banders Potato Yasmin"/>
        <s v="Stampa - KSA"/>
        <s v="Toga Rashi - KSA"/>
        <s v="Numou - KSA - TWG - K02"/>
        <s v="Numou - KSA - TWG - K14"/>
        <s v="Numou - KSA - TWG - K05"/>
        <s v="Numou - KSA - TWG - K15"/>
        <s v="Numou - KSA - TWG - K08"/>
        <s v="Numou - KSA - TWG - K16"/>
        <s v="Numou - KSA - TWG - K18"/>
        <s v="Numou - KSA - TWG - K10"/>
        <s v="Numou - KSA - TWG - K11"/>
        <s v="Numou - KSA - TWG - K04"/>
        <s v="Numou - KSA - TWG - K07"/>
        <s v="Numou - KSA - TWG - K17 COLD"/>
        <s v="Numou - KSA - TWG - K03"/>
        <s v="Numou - KSA - TWG - K06"/>
        <s v="Numou - KSA - TWG - K01"/>
        <s v="Numou - KSA - TWG - K09"/>
        <s v="Numou - KSA - TWG - K13"/>
        <s v="Numou - KSA - TWG - K12"/>
        <s v="Latifa Startup - ksa - Delayed Transfer - Delayed Transfer"/>
        <s v="Tofareya"/>
        <s v="BACO"/>
        <s v="30 Burger - Shaw Chicken"/>
        <s v="Masami sushi - Dahrat Laban - Member Transfer"/>
        <s v="Chocomelt Olaya"/>
        <s v="Consulta Hospitality Experts (MAQSAF - BRE'ED - TRU BOWL), K18 Olaya"/>
        <s v="Sandwitch - Burger &amp; Me"/>
        <s v="Nafeeseh Sweets - Member Transfer"/>
        <s v="Namq Cafe SA"/>
        <s v="L'olivo Sanwiches- - Member Transfer - Delayed Transfer - Member Transfer"/>
        <s v="Susler - KSA"/>
        <s v="Ganache Qurtoba - Member Transfer - Member Transfer"/>
        <s v="Nawaf Alharbi  Startup - KSA-"/>
        <s v="ND Bakery - KSA"/>
        <s v="Feels"/>
        <s v="Tao Salam K20"/>
        <s v="Tao Salam K14"/>
        <s v="Tao Salam K13"/>
        <s v="Tao Salam K15"/>
        <s v="Tao Salam K17"/>
        <s v="Tao Salam K18"/>
        <s v="Tao Salam K19"/>
        <s v="Premium Food Company (Baytoti - Maki House)"/>
        <s v="Lasagna Box"/>
        <s v="ROAST UP"/>
        <s v="Delivery Hero - K31(Basement) - SA - MSF"/>
        <s v="Delivery Hero - K17 (Hot) - SA - JED - Marwa"/>
        <s v="Masgouf London"/>
        <s v="WK Burger"/>
        <s v="Krooz Almasiyah Co. - Member Transfer - Member Transfer"/>
        <s v="Crispish"/>
        <s v="Shawarma House, Narjis, K19"/>
        <s v="SNIM - The Butter Knife"/>
        <s v="Mshltt Alhaga"/>
        <s v="Alajaji Bakeries - Sesame - Forn Sette"/>
        <s v="Premium Food Company (Baytoti - Wok -Maki House - Podo Moro - Zoud)"/>
        <s v="Keto care"/>
        <s v="Dyar Bakery, Khaleej"/>
        <s v="GNJ Group (UAH K1)"/>
        <s v="La creperie"/>
        <s v="Marble Cuisine SA"/>
        <s v="Shawarma House, Narjis, K27"/>
        <s v="Shawarma House, Narjis, K26"/>
        <s v="Shawarma House, Narjis, K20"/>
        <s v="Shawarma House, Narjis, K21"/>
        <s v="Shawarma House, Narjis, K22"/>
        <s v="Shawarma House, Narjis, K23"/>
        <s v="Shawarma House, Narjis, K25"/>
        <s v="Shawarma House, Narjis, K24"/>
        <s v="Shawarma House, Sulimaniah, K14"/>
        <s v="Shawarma House, Sulimaniah, K16"/>
        <s v="Shawarma House, Sulimaniah, K17"/>
        <s v="Shawarma House, Sulimaniah, K19"/>
        <s v="Gastronomica Wadi"/>
        <s v="Cref Cookies Dahrat Laban"/>
        <s v="Happiness Cookies"/>
        <s v="Signature Salam"/>
        <s v="Shawarma House, Sulimaniah, K13"/>
        <s v="Jedo Shaker Yasmin"/>
        <s v="La Creperie - KSA - Member Transfer"/>
        <s v="Aziz 88 (K3 UAH)"/>
        <s v="Shawarma House, Sulimaniah, K15"/>
        <s v="Cref Cookies Olaya"/>
        <s v="Shawarma House, Sulimaniah, K12"/>
        <s v="Shawarma House, Sulimaniah, K11"/>
        <s v="Delluci Cake - KSA"/>
        <s v="Shawarma House, Narjis, K13"/>
        <s v="Karan Gulf Services - KSA-"/>
        <s v="Cref Cookies Salam"/>
        <s v="Raghad Start Up"/>
        <s v="Wafir Group - Member Transfer"/>
        <s v="Imran SU"/>
        <s v="Shawarma House, Sulimaniah, CPU"/>
        <s v="Shawarma House, Sulimaniah, K08"/>
        <s v="Shawarma House, Narjis, K06"/>
        <s v="Dip N Dip KSA"/>
        <s v="Smoothies Aqiq"/>
        <s v="Shawarma House, Narjis, K04"/>
        <s v="Baskin Robbins - K01 - KSA"/>
        <s v="mahmaset ard Al Sanawbar"/>
        <s v="AlYasmen Company"/>
        <s v="Fermented Friends (K03 Isa) - Delayed Transfer"/>
        <s v="U.L.D. Trading Company (K16)"/>
        <s v="U.L.D. Trading Company (K05)"/>
        <s v="U.L.D. Trading Company (K14)"/>
        <s v="U.L.D. Trading Company (K13)"/>
        <s v="U.L.D. Trading Company (K04)"/>
        <s v="U.L.D. Trading Company (K15)"/>
        <s v="U.L.D. Trading Company (K12)"/>
        <s v="U.L.D. Trading Company (K11)"/>
        <s v="Right Calories King Faisal k15"/>
        <s v="Fish Face"/>
        <s v="Clever Juices - Beesket Juices"/>
        <s v="Healthy nation"/>
        <s v="BAKA - Member Transfer - Member Transfer"/>
        <s v="Neska Company (Biga Burger, Krnsh , Rosella , Shawarma Allawi, Bo Kees , Bakkar, Koshka, Varo), Khaleej"/>
        <s v="Suwairs Cold Kitchen - Wadi - Member Transfer"/>
        <s v="Chocomelt Aqrabiya"/>
        <s v="Shawarma House, Narjis, K17"/>
        <s v="Jo Drinks, Malga2"/>
        <s v="Shawarma House, Sulimaniah, K18"/>
        <s v="Godiva Chocolatier"/>
        <s v="Des Lis Delices (K11 UAH)"/>
        <s v="Petiole Foods (K14 UAH)"/>
        <s v="Soma's Kitchen Laban - Member Transfer"/>
        <s v="Almaris - Smarf Burger - Missimiss Fottor - Balla Chappati - Sizzle &amp; Smoke Grills - Ammiji.D Biryani"/>
        <s v="Candied riyadh SA - RUH - Qurtoba"/>
        <s v="Marta's Cake - KSA- - Member Transfer"/>
        <s v="Adyaf Gulf (Madeleine ) - SA - RUH - Qurtoba - Member Transfer"/>
        <s v="Sushi Demure"/>
        <s v="Baskin Robbins - K04 - KSA"/>
        <s v="Baskin Robbins - K05 - KSA"/>
        <s v="Baskin Robbins - K09 - KSA"/>
        <s v="Baskin Robbins - K08 - KSA"/>
        <s v="Baskin Robbins - K07 - KSA"/>
        <s v="Baskin Robbins - K06 - KSA"/>
        <s v="Baskin Robbins - K10 - KSA"/>
        <s v="Baskin Robbins - K11 - KSA"/>
        <s v="Baskin Robbins - K12 - KSA"/>
        <s v="Baskin Robbins - K25 - KSA"/>
        <s v="Right Calories Malga 1 - K14"/>
        <s v="Cailu"/>
        <s v="Antab Baklava - Member Transfer"/>
        <s v="Munch bakery - Member Transfer"/>
        <s v="Fames burger"/>
        <s v="Boga Super Foods"/>
        <s v="Wolly's Italian UAH"/>
        <s v="Shawarma House, Qurtoba, K26"/>
        <s v="Shawarma House, Narjis, K18"/>
        <s v="Shawarma House, Narjis, CPU"/>
        <s v="Shawarma House, Sulimaniah, K09"/>
        <s v="Shawarma House, Sulimaniah, K21"/>
        <s v="Shawarma House, Qurtoba, K32"/>
        <s v="Shawarma House, Qurtoba, K28"/>
        <s v="Shawarma House, Qurtoba, K29"/>
        <s v="Shawarma House, Qurtoba, K33"/>
        <s v="Shawarma House, Qurtoba, K37"/>
        <s v="Shawarma House, Qurtoba, K41"/>
        <s v="Shawarma House, Qurtoba, K34"/>
        <s v="Shawarma House, Qurtoba, K35"/>
        <s v="Shawarma House, Qurtoba, K36"/>
        <s v="Shawarma House, Qurtoba, K39"/>
        <s v="Shawarma House, Qurtoba, K40"/>
        <s v="Feels KFD"/>
        <s v="Shawarma House, Qurtoba, K43"/>
        <s v="Brisket SA - Member Transfer - Member Transfer"/>
        <s v="Anwar Bakery - SU"/>
        <s v="Roma company Kebab hub - Well done"/>
        <s v="Shawarma House, Qurtoba, K31"/>
        <s v="Shawarma House, Qurtoba, K42"/>
        <s v="Shawarma House, Qurtoba, K30"/>
        <s v="Shawarma House, Qurtoba, K45 (CPU)"/>
        <s v="Shawarma House, Qurtoba, K07"/>
        <s v="Shawarma House, Qurtoba, K44"/>
        <s v="Taj Holding - (Pronto - Kaak - Sevens - It. Caffe), Wadi"/>
        <s v="Dar Al Raeda- Olaya - Member Transfer - Member Transfer - Member Transfer"/>
        <s v="Seedling Salad"/>
        <s v="Shawarma House, Qurtoba, K27"/>
        <s v="Shawarma House, Qurtoba, K38"/>
        <s v="Eat Ha - Member Transfer - Member Transfer"/>
        <s v="Copo"/>
        <s v="I'M Hungry King Faisal"/>
        <s v="Applebee's"/>
        <s v="I'M Hungry Salam"/>
        <s v="I'M Hungry Sweidi"/>
        <s v="I'M Hungry Aqiq"/>
        <s v="I'M Hungry Laban"/>
        <s v="I'M Hungry King Fahd"/>
        <s v="FireFly Burger - KSA - Kiwi"/>
        <s v="CoJo Cafe-"/>
        <s v="Manga Al Zaeem For Juices"/>
        <s v="Juice Item - Member Transfer"/>
        <s v="Bebax coffee - KSA"/>
        <s v="Petiole Foods (K15 UAH)"/>
        <s v="Abdulaziz Al Ahmari"/>
        <s v="Fruit Art"/>
        <s v="Cut Crush Company -KSA-"/>
        <s v="Shawarma House, Narjis, K15"/>
        <s v="Somas Kitchen Khaleej - Member Transfer"/>
        <s v="Marta's Cake"/>
        <s v="Juice Item SA - Member Transfer"/>
        <s v="Half Tree (Al Malga)"/>
        <s v="Half Tree (Aqrabiya)"/>
        <s v="Half Tree (Hofuf)"/>
        <s v="Half Tree (Al Wadi)"/>
        <s v="Half Tree (Sweidi)"/>
        <s v="Taj Holding - (JAR) - - Member Transfer - Member Transfer"/>
        <s v="Kcal - KSA - Jarir"/>
        <s v="V60 Coffee Bar -KSA- - Member Transfer"/>
        <s v="Cassaro"/>
        <s v="Pret A Manger Saudi Arabia k1"/>
        <s v="Suwairs Cold Kitchen - Khaleej - Member Transfer - Member Transfer"/>
        <s v="Al Hamra Bukhari Restaurant - SA - RUH - Dahrat Laban - Delayed Transfer"/>
        <s v="Planet Donuts KSA"/>
        <s v="Chocomelt Laban - Member Transfer - Member Transfer"/>
        <s v="Ganache - Member Transfer - Member Transfer"/>
        <s v="Elfatih Suliman Shawarma Start Up"/>
        <s v="Quttna KSA"/>
        <s v="Al Hamra Bukhari Restaurant - SA - RUH"/>
        <s v="ISFC International Specialized Food Co- (Diet World - Madqoud Alsadra - Kiwi grill) Aqiq"/>
        <s v="The delicous"/>
        <s v="Hayat Alnokbaah company"/>
        <s v="Etoile Aqrabiya"/>
        <s v="ISFC International Specialized Food Co- (Diet World - Madqoud Alsadra - Kiwi grill) Sulimaniyah"/>
        <s v="Crisper"/>
        <s v="Fames burger Khaleej"/>
        <s v="Fames burger Sweidi 1"/>
        <s v="Etoile King Fahad"/>
        <s v="Etoile King Faisal"/>
        <s v="Etoile - Jarir"/>
        <s v="Shawaya House, Arid2"/>
        <s v="Ruz AlAseel - Member Transfer"/>
        <s v="KSTRD"/>
        <s v="GOFA"/>
        <s v="Hala Batta"/>
        <s v="Alreef Broasted"/>
        <s v="Cref Cookies Sweidi"/>
        <s v="Shawarma House, Sulimaniah, K07"/>
        <s v="Romeno, Yasmin"/>
        <s v="Kashta Group ( Kashth - Deal Burger - Gobblers - Broil - Shawirma Nahis )"/>
        <s v="Alreef Broastedx"/>
        <s v="Hajeen Roasters"/>
        <s v="Mashael SU"/>
        <s v="Ganache - Member Transfer"/>
        <s v="The Big Brother"/>
        <s v="Bassam Burger Start Up"/>
        <s v="Haqwa Coffee"/>
        <s v="Loleta Sweets Rawdah - Member Transfer"/>
        <s v="Fullah"/>
        <s v="Sugarize"/>
        <s v="Biox - The Health Bar by RAW Laban"/>
        <s v="Pret A Manger Saudi Arabia K6"/>
        <s v="Pret A Manger Saudi Arabia K2"/>
        <s v="Pret A Manger Saudi Arabia K4"/>
        <s v="Pret A Manger Saudi Arabia K9"/>
        <s v="Pret A Manger Saudi Arabia K10"/>
        <s v="Pret A Manger Saudi Arabia K11"/>
        <s v="ISFC International Specialized Food Co- (Diet World - Madqoud Alsadra - Kiwi grill) Sweidi - Member Transfer"/>
        <s v="Chocomelt Rawda - Member Transfer"/>
        <s v="Oregano Pizzeria Sweidi - Member Transfer - Member Transfer"/>
        <s v="Etoile - Malga 2 - Member Transfer"/>
        <s v="Nakhati - Member Transfer"/>
        <s v="Souffle Altahliyah-"/>
        <s v="Calo - RUH - King Faisal - KSA"/>
        <s v="Abdulrahman Alamer Start Up"/>
        <s v="Juice Item - Member Transfer - Member Transfer - Member Transfer"/>
        <s v="Farmeez Bakery &amp; Sweet - Flavors &amp; More, Malga2"/>
        <s v="Zouq Luqma"/>
        <s v="Cold Summer"/>
        <s v="Acai vibe khaleej"/>
        <s v="Farmeez Bakery &amp; Sweet - Flavors &amp; More, Olaya"/>
        <s v="Farmeez Bakery &amp; Sweet - Flavors &amp; More, Khaleej"/>
        <s v="Misslawh - KSA- - Member Transfer"/>
        <s v="Choply Salad"/>
        <s v="Hoor Cafe"/>
        <s v="Copo laban"/>
        <s v="FASSCO international - K21 UAH"/>
        <s v="Seedling Salad - Member Transfer - Member Transfer"/>
        <s v="Gecat plastic factory - 1"/>
        <s v="Biox - The Health Bar by RAW Sulimaniyah - Delayed Transfer"/>
        <s v="Toby's Estate"/>
        <s v="Almaris - Smarf Burger - Missimiss Fottor - Balla Chappati - Sizzle &amp; Smoke Grills - Ammiji.D Biryani - Member Transfer"/>
        <s v="Wissam Su"/>
        <s v="Copo laban K19"/>
        <s v="Shawaya House, DHL - Member Transfer"/>
        <s v="Sushi Demure - Member Transfer"/>
        <s v="Sushi do"/>
        <s v="Diet Center"/>
        <s v="Hak group"/>
        <s v="Ez Bakery ( Khalia Aziz ) - Member Transfer"/>
        <s v="K24, Shawarma House, Sulimaniah"/>
        <s v="CK22, Shawarma House, Sulimaniah"/>
        <s v="K23, Shawarma House, Sulimaniah"/>
        <s v="Chocomelt Jarir - Member Transfer"/>
        <s v="Cookie Club 90 KSA - Member Transfer - Member Transfer"/>
        <s v="Kcal - KSA - Aqiq"/>
        <s v="Kcal - KSA - Salam"/>
        <s v="ALNahdi Catering  - KSA-"/>
        <s v="Kcal - KSA - Qurtoba"/>
        <s v="Pret A Manger Saudi Arabia K 05"/>
        <s v="Pret A Manger Saudi Arabia K7"/>
        <s v="Pret A Manger Saudi Arabia K 12"/>
        <s v="Pret A Manger Saudi Arabia K 08"/>
        <s v="Pret A Manger Saudi Arabia K 13"/>
        <s v="Pret A Manger Saudi Arabia K 03"/>
        <s v="Cocoli Cafe KFD"/>
        <s v="Cleanse and Glow - KSA"/>
        <s v="Meld"/>
        <s v="Shawaya House, Malga2"/>
        <s v="breakin bun"/>
        <s v="Nadoush Su"/>
        <s v="Meld - Member Transfer"/>
        <s v="Asrar Basitah Company (Asrar Al Chef - Chef Secrets)"/>
        <s v="Ibrahim Mandi Start Up"/>
        <s v="REI Chocolate - KSA- Member Transfer"/>
        <s v="Maher  JAM - KSA- - Churn Transfer - Delayed Transfer - Member Transfer"/>
        <s v="Gecat plastic factory - 3"/>
        <s v="La Creperie - Member Transfer - Member Transfer"/>
        <s v="Gecat plastic factory - 12"/>
        <s v="Gecat plastic factory - 5"/>
        <s v="Gecat plastic factory - 7"/>
        <s v="Gecat plastic factory - 2"/>
        <s v="Gecat plastic factory - 4"/>
        <s v="Gecat plastic factory - 8"/>
        <s v="Gecat plastic factory - 14"/>
        <s v="Gecat plastic factory - 6"/>
        <s v="Gecat plastic factory - 9"/>
        <s v="Gecat plastic factory - 10"/>
        <s v="Gecat plastic factory - 11"/>
        <s v="Gecat plastic factory - 13"/>
        <s v="Etoile - Arid 2 - Member Transfer"/>
        <s v="Dr.Kabsa"/>
        <s v="ALNahdi Catering  - KSA"/>
        <s v="Dolce Ragusa Sulimaniya"/>
        <s v="FASSCO international - K24 UAH"/>
        <s v="FASSCO international - K22 UAH"/>
        <s v="FASSCO international - K23 UAH"/>
        <s v="FASSCO international - K25 UAH"/>
        <s v="Success Creators Laban"/>
        <s v="TAO Salam K23"/>
        <s v="Nolia- KSA"/>
        <s v="Success Creators Arid - Member Transfer"/>
        <s v="Fresh House - KHL"/>
        <s v="FASSCO international - K27 UAH"/>
        <s v="FASSCO international - K29 UAH"/>
        <s v="Sandwitch - Burger &amp; Me - Member Transfer"/>
        <s v="FASSCO international - K26 UAH"/>
        <s v="FASSCO international - K28UAH"/>
        <s v="Dip N Dip KSA - Member Transfer"/>
        <s v="Kabab hub - Member Transfer"/>
        <s v="Roma company Kebab hub - Well done - Member Transfer"/>
        <s v="Planet Donuts KSA - Member Transfer"/>
        <s v="Maison Loris - KSA - KF - K05 - Member Transfer"/>
        <s v="Maison Loris - KSA - KF - K07 - Member Transfer"/>
        <s v="Maison Loris - KSA - KF - K06 - Member Transfer"/>
        <s v="Donuttery - K18 KSA-"/>
        <s v="Donuttery -  K21 KSA-"/>
        <s v="Donuttery -  K17 KSA-"/>
        <s v="Donuttery -  K20 KSA-"/>
        <s v="Donuttery - K19 KSA-"/>
        <s v="Lolivo Yasmin"/>
        <s v="Biox - The Health Bar by RAW King Faisal"/>
        <s v="Al Ghalia Company - CAFÉ LILOU - SWD"/>
        <s v="Al Ghalia Company - CAFÉ LILOU - Malga"/>
        <s v="Strawberry and cheese - KSA-"/>
        <s v="Romeno, Dahrat Laban"/>
        <s v="Paella Pan King Faisal"/>
        <s v="Hazim Aldahiree Start Up"/>
        <s v="Shawaya House, Rakah"/>
        <s v="Big Matt"/>
        <s v="Najla's Cuisine"/>
        <s v="Jofenate - Dawood Ismail Start Up"/>
        <s v="Douven"/>
        <s v="Sweet Evolution - BAH (18 UMH)"/>
        <s v="Mahboob"/>
        <s v="Tochka"/>
        <s v="Luqaimat W Sauce - Member Transfer"/>
        <s v="Noho Deli Salam"/>
        <s v="DN Gulf (UAH K36)"/>
        <s v="Al Ghalia Company - CAFÉ LILOU - RWD"/>
        <s v="Romeno, KFD"/>
        <s v="The Fancy Fork (K13 UAH)"/>
        <s v="Lolivo King Fahad"/>
        <s v="Glaze-"/>
        <s v="Sheffas Shack- K17 UAH"/>
        <s v="Petiole Foods (K19 UAH)"/>
        <s v="Neska (Biga Burger, Krnsh , Rosella , Shawarma Allawi, Bo Kees , Bakkar, Koshka, Varo), Sweidi"/>
        <s v="Wahib Start Up"/>
        <s v="Melted-"/>
        <s v="Protein plus - Olive Branches - yughamish zaman - KSA-"/>
        <s v="Al Ghalia Company - CAFÉ LILOU - HOF"/>
        <s v="Nukhba al Wasal"/>
        <s v="Mada Sweets"/>
        <s v="Savory Dishes Restaurant- UAH K02"/>
        <s v="NART by Noor Makki K02"/>
        <s v="NART by Noor Makki K06"/>
        <s v="NART by Noor Makki K07"/>
        <s v="NART by Noor Makki K11"/>
        <s v="NART by Noor Makki K03"/>
        <s v="NART by Noor Makki K12"/>
        <s v="NART by Noor Makki K04"/>
        <s v="NART by Noor Makki K10"/>
        <s v="NART by Noor Makki K08"/>
        <s v="NART by Noor Makki K09"/>
        <s v="Protein plus - ALAhsaa K10"/>
        <s v="NART by Noor Makki K05"/>
        <s v="NART by Noor Makki K01"/>
        <s v="Pizza di Rocco - KSA - WUR - K16"/>
        <s v="Pizza di Rocco - KSA - Aqiq 2 - K05"/>
      </sharedItems>
    </cacheField>
    <cacheField name="Opportunity Owner: Full Name" numFmtId="0">
      <sharedItems containsBlank="1">
        <s v="Jad Hajjar"/>
        <m/>
        <s v="Riyad Ali"/>
        <s v="Yousif Almohammedali"/>
        <s v="Osama Eliewa"/>
        <s v="Abdelrahman Matar"/>
        <s v="Omar Joumaa"/>
        <s v="Ahmed Alghamdi"/>
        <s v="Shiraz Ali"/>
        <s v="Mohammed Alotaibi"/>
        <s v="Mohammed Alalyani"/>
        <s v="Ihab Ghoussainy"/>
        <s v="Abir Salame"/>
        <s v="Mussad Al-battah"/>
        <s v="Ahmad Abdulkareem"/>
        <s v="Hamed Alrehaili"/>
        <s v="Ahmad El-Basst"/>
        <s v="Abrar Aldawoud"/>
        <s v="Mark Grehan"/>
        <s v="Anas Ahtiwash"/>
        <s v="Mohammad Farasha"/>
        <s v="Mohammad Majzoub"/>
        <s v="Nadim Kiwan"/>
        <s v="Mohammad Khair Bezzi"/>
        <s v="May Alayesh"/>
        <s v="Sara Alabbasi"/>
        <s v="Gadah Saud"/>
        <s v="Moayad Sami Abedalqader Yassin"/>
        <s v="Maher Bouramia"/>
        <s v="Micheal Fahmy"/>
        <s v="Mohammad Masri"/>
        <s v="Faisal Alajmah"/>
      </sharedItems>
    </cacheField>
    <cacheField name="Floor" numFmtId="0">
      <sharedItems containsBlank="1">
        <s v="1st"/>
        <s v="GF"/>
        <s v="2nd"/>
        <s v="1st Floor"/>
        <s v="Mez"/>
        <s v="G"/>
        <s v="2nd Floor"/>
        <s v="3rd"/>
        <s v="Roof"/>
        <s v="BF"/>
        <s v="FF"/>
        <s v="Annex"/>
        <m/>
      </sharedItems>
    </cacheField>
    <cacheField name="County" numFmtId="0">
      <sharedItems containsBlank="1">
        <m/>
        <s v="North West"/>
        <s v="North"/>
        <s v="Center"/>
        <s v="East"/>
        <s v="South West"/>
        <s v="North East"/>
        <s v="South East"/>
        <s v="South"/>
      </sharedItems>
    </cacheField>
    <cacheField name="Monthly License Fee" numFmtId="0">
      <sharedItems containsString="0" containsBlank="1" containsNumber="1">
        <n v="5569.0"/>
        <n v="4643.0"/>
        <m/>
        <n v="2300.0"/>
        <n v="1900.0"/>
        <n v="6150.0"/>
        <n v="5150.0"/>
        <n v="3450.0"/>
        <n v="3990.0"/>
        <n v="4490.0"/>
        <n v="9990.0"/>
        <n v="3150.0"/>
        <n v="2049.0"/>
        <n v="5750.0"/>
        <n v="10597.0"/>
        <n v="6650.0"/>
        <n v="8400.0"/>
        <n v="9006.0"/>
        <n v="7200.0"/>
        <n v="3300.0"/>
        <n v="6750.0"/>
        <n v="5490.0"/>
        <n v="5275.0"/>
        <n v="2400.0"/>
        <n v="4500.0"/>
        <n v="8500.0"/>
        <n v="3400.0"/>
        <n v="7700.0"/>
        <n v="9050.0"/>
        <n v="4300.0"/>
        <n v="9100.0"/>
        <n v="3296.0"/>
        <n v="5665.0"/>
        <n v="3914.0"/>
        <n v="2678.0"/>
        <n v="4377.0"/>
        <n v="5500.0"/>
        <n v="4944.0"/>
        <n v="4800.0"/>
        <n v="4250.0"/>
        <n v="3800.0"/>
        <n v="2600.0"/>
        <n v="3766.0"/>
        <n v="5309.0"/>
        <n v="3953.0"/>
        <n v="1853.0"/>
        <n v="4424.0"/>
        <n v="1765.0"/>
        <n v="6900.0"/>
        <n v="3607.0"/>
        <n v="5700.0"/>
        <n v="9476.0"/>
        <n v="2050.0"/>
        <n v="6600.0"/>
        <n v="4150.0"/>
        <n v="8000.0"/>
        <n v="6250.0"/>
        <n v="4109.0"/>
        <n v="7714.0"/>
        <n v="4000.0"/>
        <n v="5400.0"/>
        <n v="6450.0"/>
        <n v="2900.0"/>
        <n v="5550.0"/>
        <n v="2850.0"/>
        <n v="1700.0"/>
        <n v="8300.0"/>
        <n v="1800.0"/>
        <n v="3950.0"/>
        <n v="4700.0"/>
        <n v="3000.0"/>
        <n v="4900.0"/>
        <n v="11227.0"/>
        <n v="5100.0"/>
        <n v="5450.0"/>
        <n v="8600.0"/>
        <n v="3200.0"/>
        <n v="6500.0"/>
        <n v="5350.0"/>
        <n v="6000.0"/>
        <n v="4050.0"/>
        <n v="2060.0"/>
        <n v="2160.0"/>
        <n v="2142.0"/>
        <n v="1850.0"/>
        <n v="3900.0"/>
        <n v="5000.0"/>
        <n v="6200.0"/>
        <n v="6386.0"/>
        <n v="8240.0"/>
        <n v="7519.0"/>
        <n v="2025.0"/>
        <n v="4400.0"/>
        <n v="1270.0"/>
        <n v="1600.0"/>
        <n v="6643.0"/>
        <n v="2550.0"/>
        <n v="2250.0"/>
        <n v="1964.0"/>
        <n v="7776.0"/>
        <n v="6300.0"/>
        <n v="4480.0"/>
        <n v="2472.0"/>
        <n v="1751.0"/>
        <n v="5253.0"/>
        <n v="7467.0"/>
        <n v="9064.0"/>
        <n v="6100.0"/>
        <n v="4223.0"/>
        <n v="7107.0"/>
        <n v="8350.0"/>
        <n v="7745.0"/>
        <n v="1172.78"/>
        <n v="2673.44"/>
        <n v="2846.83"/>
        <n v="3014.71"/>
        <n v="2343.99"/>
        <n v="2177.68"/>
        <n v="1905.0"/>
        <n v="3250.0"/>
        <n v="5900.0"/>
        <n v="4350.0"/>
        <n v="7350.0"/>
        <n v="6850.0"/>
        <n v="3600.0"/>
        <n v="5300.0"/>
        <n v="2100.0"/>
        <n v="0.0"/>
        <n v="4600.0"/>
        <n v="7990.0"/>
        <n v="8850.0"/>
        <n v="3222.5"/>
        <n v="7550.0"/>
        <n v="7950.0"/>
        <n v="490.0"/>
        <n v="3850.0"/>
        <n v="4376.0"/>
        <n v="3575.0"/>
        <n v="3700.0"/>
        <n v="7100.0"/>
        <n v="2150.0"/>
        <n v="3100.0"/>
        <n v="405.0"/>
        <n v="1725.0"/>
        <n v="4200.0"/>
        <n v="3775.0"/>
        <n v="2000.0"/>
        <n v="3125.0"/>
        <n v="3563.0"/>
        <n v="400.0"/>
        <n v="600.0"/>
        <n v="500.0"/>
        <n v="450.0"/>
        <n v="7650.0"/>
        <n v="2500.0"/>
        <n v="7450.0"/>
        <n v="5650.0"/>
        <n v="360.0"/>
        <n v="6050.0"/>
        <n v="1892.0"/>
        <n v="4039.0"/>
        <n v="4275.0"/>
        <n v="3086.0"/>
        <n v="1949.0"/>
        <n v="8150.0"/>
        <n v="1650.0"/>
        <n v="2700.0"/>
        <n v="1950.0"/>
        <n v="5050.0"/>
        <n v="8450.0"/>
        <n v="8050.0"/>
        <n v="7500.0"/>
        <n v="5250.0"/>
        <n v="11400.0"/>
        <n v="3750.0"/>
        <n v="6700.0"/>
        <n v="3350.0"/>
        <n v="4655.0"/>
        <n v="9500.0"/>
        <n v="6800.0"/>
        <n v="4100.0"/>
        <n v="3085.7"/>
        <n v="8700.0"/>
        <n v="11900.0"/>
        <n v="3550.0"/>
        <n v="4650.0"/>
        <n v="5850.0"/>
        <n v="7365.0"/>
        <n v="8650.0"/>
        <n v="7900.0"/>
        <n v="4950.0"/>
        <n v="1957.0"/>
        <n v="3742.8"/>
        <n v="4171.4"/>
        <n v="4365.0"/>
        <n v="1500.0"/>
        <n v="9550.0"/>
        <n v="4850.0"/>
        <n v="8800.0"/>
        <n v="4550.0"/>
        <n v="4450.0"/>
        <n v="4001.0"/>
        <n v="11000.0"/>
        <n v="9750.0"/>
        <n v="7050.0"/>
        <n v="2771.5"/>
        <n v="3257.2"/>
        <n v="6350.0"/>
        <n v="9000.0"/>
        <n v="3500.0"/>
        <n v="3799.0"/>
        <n v="3049.0"/>
        <n v="4913.0"/>
        <n v="3401.0"/>
        <n v="6454.0"/>
        <n v="513.0"/>
        <n v="7750.0"/>
        <n v="9300.0"/>
        <n v="8200.0"/>
        <n v="7800.0"/>
        <n v="350.0"/>
        <n v="200.0"/>
        <n v="5600.0"/>
        <n v="7150.0"/>
        <n v="4506.25"/>
        <n v="3547.77"/>
        <n v="3776.67"/>
        <n v="3090.0"/>
        <n v="2145.8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00" sheet="SF Kitchen Data"/>
  </cacheSource>
  <cacheFields>
    <cacheField name="Account Name" numFmtId="0">
      <sharedItems containsBlank="1">
        <s v="SA - RUH - Aqiq"/>
        <s v="SA - RUH - Arid (2)"/>
        <s v="SA - RUH - Narjis"/>
        <s v="SA - RUH - Mursalat"/>
        <s v="SA - RUH - Malga (1)"/>
        <s v="SA - QSM - Al Bishr"/>
        <s v="SA - AHS - Hofuf"/>
        <s v="SA - RUH - Khaleej"/>
        <s v="SA - RUH - Olaya"/>
        <s v="SA - RUH - Wadi"/>
        <s v="SA - RUH - Qurtoba"/>
        <s v="SA - RUH - Dahrat Laban"/>
        <s v="SA - DMM - Zuhur"/>
        <s v="SA - KBR - Aqrabiya"/>
        <s v="SA - RUH - Yasmin"/>
        <s v="SA - DMM - Rawda"/>
        <s v="SA - RUH - Sulimaniyah"/>
        <s v="SA - RUH - Malga (2)"/>
        <s v="SA - RUH - Sweidi"/>
        <s v="SA - RUH - King Fahd"/>
        <s v="SA - RUH - Jarir"/>
        <s v="SA - RUH - Arid (1)"/>
        <s v="SA - RUH - Rawda"/>
        <s v="SA - RUH - Tuwaiq"/>
        <s v="SA - RUH - Salam"/>
        <s v="BH - MAN - Umm al Hassam"/>
        <s v="BH - MAN - Isa Town"/>
        <s v="SA - RUH - King Faisal"/>
        <s v="SA - RUH - Sweidi (2)"/>
        <s v="SA - KBR - Rakah"/>
        <s v="SA - DMM - Ghirnatah (2)"/>
        <s v="SA - RUH - Wurud"/>
        <s v="SA - RUH - Aqiq (2)"/>
        <s v="SA - DMM - Jamiah (2)"/>
        <s v="SA - RUH - Al Nazim"/>
        <m/>
      </sharedItems>
    </cacheField>
    <cacheField name="Type" numFmtId="0">
      <sharedItems containsBlank="1">
        <s v="CPU"/>
        <s v="Hot"/>
        <s v="Cold"/>
        <s v="Hot Kitchen"/>
        <m/>
      </sharedItems>
    </cacheField>
    <cacheField name="Category" numFmtId="0">
      <sharedItems containsBlank="1">
        <s v="X"/>
        <s v="Cold"/>
        <s v="C"/>
        <s v="D"/>
        <s v="E"/>
        <s v="A"/>
        <s v="B"/>
        <s v="G"/>
        <s v="F"/>
        <s v="H"/>
        <m/>
        <s v="Retail Space"/>
        <s v="J"/>
        <s v="I"/>
        <s v="K"/>
      </sharedItems>
    </cacheField>
    <cacheField name="Kitchen Number ID 18" numFmtId="0">
      <sharedItems containsBlank="1">
        <s v="a1LVO000003qvTV2AY"/>
        <s v="a1LVO000004E6w52AC"/>
        <s v="a1L6T00000iJA28UAG"/>
        <s v="a1LVO000004E7H32AK"/>
        <s v="a1LVO000002yMFp2AM"/>
        <s v="a1LVO000002yMHR2A2"/>
        <s v="a1LVO000002yMJ32AM"/>
        <s v="a1LVO000002yMAz2AM"/>
        <s v="a1LVO000002yMCb2AM"/>
        <s v="a1LVO000002yMED2A2"/>
        <s v="a1LVO000002yM9N2AU"/>
        <s v="a1LVO000002yM7l2AE"/>
        <s v="a1LVO000002yMfd2AE"/>
        <s v="a1LVO000002yMhF2AU"/>
        <s v="a1LVO000002yMcP2AU"/>
        <s v="a1LVO000002yMe12AE"/>
        <s v="a1LVO000002yMan2AE"/>
        <s v="a1LVO000002yMVx2AM"/>
        <s v="a1LVO000002yMXZ2A2"/>
        <s v="a1LVO000002yMZB2A2"/>
        <s v="a1LVO000002yMSj2AM"/>
        <s v="a1LVO000002yMUL2A2"/>
        <s v="a1LVO000002yMNt2AM"/>
        <s v="a1LVO000002yMPV2A2"/>
        <s v="a1LVO000002yMR72AM"/>
        <s v="a1LVO000002yMKf2AM"/>
        <s v="a1LVO000002yMMH2A2"/>
        <s v="a1L5G000004NKhtUAG"/>
        <s v="a1L5G000004NKhvUAG"/>
        <s v="a1L5G000004NKhwUAG"/>
        <s v="a1L5G000004NKhlUAG"/>
        <s v="a1L6T00000d2MvuUAE"/>
        <s v="a1L6T00000iJLZdUAO"/>
        <s v="a1L5G000004NSiDUAW"/>
        <s v="a1L5G000004Tzj8UAC"/>
        <s v="a1L5G000004TzoXUAS"/>
        <s v="a1L5G000004TzpbUAC"/>
        <s v="a1L5G000004TzsPUAS"/>
        <s v="a1L5G000004TzmgUAC"/>
        <s v="a1L5G000004TzoIUAS"/>
        <s v="a1L5G000004NecqUAC"/>
        <s v="a1L5G000004NSi3UAG"/>
        <s v="a1L5G000004NYIEUA4"/>
        <s v="a1L5G000004NYIDUA4"/>
        <s v="a1L5G000004NYI4UAO"/>
        <s v="a1L5G000004TzstUAC"/>
        <s v="a1L5G000004TzsoUAC"/>
        <s v="a1L5G000004TzsjUAC"/>
        <s v="a1L5G000004TztDUAS"/>
        <s v="a1L5G000004TzuuUAC"/>
        <s v="a1LVO000004E9Nh2AK"/>
        <s v="a1L6T00000iJdvcUAC"/>
        <s v="a1L6T00000iJdvVUAS"/>
        <s v="a1L5G000004NKhmUAG"/>
        <s v="a1L5G000004NKhoUAG"/>
        <s v="a1L6T00000iJ1ELUA0"/>
        <s v="a1L6T00000iJ1EPUA0"/>
        <s v="a1L6T00000iJ1EJUA0"/>
        <s v="a1L6T00000iJ1E9UAK"/>
        <s v="a1L6T00000iJBZYUA4"/>
        <s v="a1L6T00000kcQBPUA2"/>
        <s v="a1L5G000004OE0RUAW"/>
        <s v="a1L5G000004OE0WUAW"/>
        <s v="a1L5G000004OE0LUAW"/>
        <s v="a1L5G000004NsYWUA0"/>
        <s v="a1L5G000004Tzk1UAC"/>
        <s v="a1L5G000004TzkBUAS"/>
        <s v="a1L5G000004TzpfUAC"/>
        <s v="a1L5G000004TzlTUAS"/>
        <s v="a1L5G000004NSfYUAW"/>
        <s v="a1L5G000004NShrUAG"/>
        <s v="a1L5G000004TzjmUAC"/>
        <s v="a1L5G000004TzijUAC"/>
        <s v="a1L5G000004OE0KUAW"/>
        <s v="a1L5G000004TzpkUAC"/>
        <s v="a1L5G000004TzqjUAC"/>
        <s v="a1L5G000004NSi8UAG"/>
        <s v="a1L5G000004Nx5eUAC"/>
        <s v="a1L5G000004NtRYUA0"/>
        <s v="a1L5G000004TzjcUAC"/>
        <s v="a1L5G000004NYILUA4"/>
        <s v="a1L5G000004NSi6UAG"/>
        <s v="a1L5G000004NSiEUAW"/>
        <s v="a1L5G000004NsYcUAK"/>
        <s v="a1L5G000004NsYTUA0"/>
        <s v="a1L5G000004OE0PUAW"/>
        <s v="a1L5G000004OE0ZUAW"/>
        <s v="a1L5G000004NKhiUAG"/>
        <s v="a1L5G000004NtPNUA0"/>
        <s v="a1L5G000004TzkkUAC"/>
        <s v="a1L5G000004NsYnUAK"/>
        <s v="a1L5G000004NechUAC"/>
        <s v="a1L5G000004TzpGUAS"/>
        <s v="a1L5G000004NKhkUAG"/>
        <s v="a1L5G000004NKhhUAG"/>
        <s v="a1L5G000004NYHzUAO"/>
        <s v="a1L6T00000iJ1EGUA0"/>
        <s v="a1L6T00000jr3nTUAQ"/>
        <s v="a1L6T00000iJ1E7UAK"/>
        <s v="a1L5G000004NKhnUAG"/>
        <s v="a1L5G000004NsYRUA0"/>
        <s v="a1L5G000004Tzm7UAC"/>
        <s v="a1L5G000004NtPXUA0"/>
        <s v="a1L6T00000iIryFUAS"/>
        <s v="a1L6T00000iJA2IUAW"/>
        <s v="a1L6T00000iJLZfUAO"/>
        <s v="a1L5G000004NShzUAG"/>
        <s v="a1L6T00000d2NFLUA2"/>
        <s v="a1L5G000004TzlxUAC"/>
        <s v="a1L5G000004TzlEUAS"/>
        <s v="a1L5G000004NtPxUAK"/>
        <s v="a1L5G000004Tzq4UAC"/>
        <s v="a1L5G000004NsYhUAK"/>
        <s v="a1L5G000004TzmHUAS"/>
        <s v="a1L5G000004Tzm2UAC"/>
        <s v="a1L5G000004NsYHUA0"/>
        <s v="a1L5G000004NKhgUAG"/>
        <s v="a1L5G000004Tzi5UAC"/>
        <s v="a1L5G000004OE0EUAW"/>
        <s v="a1L6T00000iJBZOUA4"/>
        <s v="a1L5G000004OE0SUAW"/>
        <s v="a1L5G000004NtQkUAK"/>
        <s v="a1L6T00000jT5yFUAS"/>
        <s v="a1L6T00000d2MvpUAE"/>
        <s v="a1L5G000004TziUUAS"/>
        <s v="a1L5G000004OE0IUAW"/>
        <s v="a1L6T00000nGqU5UAK"/>
        <s v="a1L6T00000nGqTlUAK"/>
        <s v="a1L6T00000nGqTzUAK"/>
        <s v="a1L6T00000nGqU0UAK"/>
        <s v="a1L6T00000nGqTrUAK"/>
        <s v="a1L6T00000nGqTnUAK"/>
        <s v="a1L6T00000nGqU2UAK"/>
        <s v="a1L6T00000nGqTqUAK"/>
        <s v="a1L6T00000nGqTxUAK"/>
        <s v="a1L6T00000nGqTmUAK"/>
        <s v="a1L6T00000nGqToUAK"/>
        <s v="a1L6T00000nGqTpUAK"/>
        <s v="a1L6T00000nGqTsUAK"/>
        <s v="a1L6T00000nGqTtUAK"/>
        <s v="a1L6T00000nGqTuUAK"/>
        <s v="a1L6T00000nGqTvUAK"/>
        <s v="a1L6T00000nGqTwUAK"/>
        <s v="a1L6T00000nGqTyUAK"/>
        <s v="a1L6T00000nGqU1UAK"/>
        <s v="a1L6T00000nGqU3UAK"/>
        <s v="a1L6T00000nGqU4UAK"/>
        <s v="a1L6T00000mlijWUAQ"/>
        <s v="a1L6T00000iJLZeUAO"/>
        <s v="a1L6T00000iJdvTUAS"/>
        <s v="a1L6T00000jT5yGUAS"/>
        <s v="a1L5G000004NtPhUAK"/>
        <s v="a1L5G000004NsYIUA0"/>
        <s v="a1L5G000004Tzl4UAC"/>
        <s v="a1L5G000004OE0NUAW"/>
        <s v="a1L6T00000iJdvhUAC"/>
        <s v="a1L6T00000iJdvkUAC"/>
        <s v="a1L6T00000iJ1EKUA0"/>
        <s v="a1L5G000004TzmbUAC"/>
        <s v="a1L6T00000iJdvbUAC"/>
        <s v="a1L5G000004OE0GUAW"/>
        <s v="a1L6T00000jqjwmUAA"/>
        <s v="a1L5G000004NSi0UAG"/>
        <s v="a1L6T00000jqjwxUAA"/>
        <s v="a1L6T00000jqjwsUAA"/>
        <s v="a1L6T00000jqjwoUAA"/>
        <s v="a1L5G000004NsYSUA0"/>
        <s v="a1L6T00000jqjwtUAA"/>
        <s v="a1L6T00000jqjx2UAA"/>
        <s v="a1L6T00000jqjwpUAA"/>
        <s v="a1L6T00000jqjwvUAA"/>
        <s v="a1L6T00000jqjwkUAA"/>
        <s v="a1L6T00000jqjwiUAA"/>
        <s v="a1L6T00000jqjwuUAA"/>
        <s v="a1L6T00000jqjwwUAA"/>
        <s v="a1L6T00000jqjwlUAA"/>
        <s v="a1L6T00000jqjwjUAA"/>
        <s v="a1L6T00000jqjx1UAA"/>
        <s v="a1L6T00000jqjwnUAA"/>
        <s v="a1L6T00000jqjwqUAA"/>
        <s v="a1L6T00000jqjwzUAA"/>
        <s v="a1L6T00000jqjx0UAA"/>
        <s v="a1L6T00000jqjwrUAA"/>
        <s v="a1L6T00000jqjwyUAA"/>
        <s v="a1L5G000004TzrRUAS"/>
        <s v="a1L6T00000jr3nhUAA"/>
        <s v="a1L5G000004NYIPUA4"/>
        <s v="a1L6T00000iJLZcUAO"/>
        <s v="a1L5G000004NSiMUAW"/>
        <s v="a1L5G000004NYIFUA4"/>
        <s v="a1L5G000004TzlJUAS"/>
        <s v="a1L6T00000iJBYLUA4"/>
        <s v="a1L6T00000iJdvjUAC"/>
        <s v="a1L5G000004TzqEUAS"/>
        <s v="a1L5G000004NKhjUAG"/>
        <s v="a1L5G000004TzsAUAS"/>
        <s v="a1L6T00000jT5yHUAS"/>
        <s v="a1L5G000004TzsFUAS"/>
        <s v="a1L5G000004TzuzUAC"/>
        <s v="a1L5G000004NKhuUAG"/>
        <s v="a1L6T00000iJdvlUAC"/>
        <s v="a1L5G000004TzppUAC"/>
        <s v="a1L5G000004TzqJUAS"/>
        <s v="a1L6T00000jqyJCUAY"/>
        <s v="a1L6T00000jqyJGUAY"/>
        <s v="a1L6T00000jqyJEUAY"/>
        <s v="a1L6T00000jqyJFUAY"/>
        <s v="a1L6T00000jqyJDUAY"/>
        <s v="a1L6T00000jqyJKUAY"/>
        <s v="a1L6T00000jqyJJUAY"/>
        <s v="a1L6T00000jqyJHUAY"/>
        <s v="a1L6T00000jqyJIUAY"/>
        <s v="a1L6T00000jqyJ7UAI"/>
        <s v="a1L6T00000jqyJ8UAI"/>
        <s v="a1L6T00000jqyJLUAY"/>
        <s v="a1L6T00000jqyJ9UAI"/>
        <s v="a1L6T00000jqyJAUAY"/>
        <s v="a1L6T00000jqyJ5UAI"/>
        <s v="a1L6T00000jqyJ6UAI"/>
        <s v="a1L6T00000jqyJBUAY"/>
        <s v="a1L6T00000jqyJMUAY"/>
        <s v="a1L6T00000iJLZYUA4"/>
        <s v="a1L5G000004NShwUAG"/>
        <s v="a1L5G000004OE0QUAW"/>
        <s v="a1L6T00000iJ1ERUA0"/>
        <s v="a1L5G000004TziVUAS"/>
        <s v="a1L5G000004TzjXUAS"/>
        <s v="a1L5G000004TzjIUAS"/>
        <s v="a1L6T00000iJA2NUAW"/>
        <s v="a1L6T00000iJdveUAC"/>
        <s v="a1L6T00000jqkpKUAQ"/>
        <s v="a1L6T00000jqkpDUAQ"/>
        <s v="a1L5G000004TzsKUAS"/>
        <s v="a1L5G000004NSfdUAG"/>
        <s v="a1L5G000004TzvEUAS"/>
        <s v="a1L6T00000iJA2DUAW"/>
        <s v="a1L5G000004TzpuUAC"/>
        <s v="a1L6T00000iJdvZUAS"/>
        <s v="a1L6T00000jqkp4UAA"/>
        <s v="a1L6T00000jqkp7UAA"/>
        <s v="a1L6T00000jqkp6UAA"/>
        <s v="a1L6T00000jqkp1UAA"/>
        <s v="a1L6T00000jqkpJUAQ"/>
        <s v="a1L6T00000jqkpIUAQ"/>
        <s v="a1L6T00000jqkpLUAQ"/>
        <s v="a1L5G000004TzkaUAC"/>
        <s v="a1L5G000004NtPSUA0"/>
        <s v="a1L6T00000iJdvmUAC"/>
        <s v="a1L5G000004TzkfUAC"/>
        <s v="a1L5G000004NSi9UAG"/>
        <s v="a1L5G000004TzrqUAC"/>
        <s v="a1L5G000004OE0XUAW"/>
        <s v="a1L6T00000iJA2GUAW"/>
        <s v="a1L5G000004OE0JUAW"/>
        <s v="a1L6T00000iJdvfUAC"/>
        <s v="a1L5G000004NShoUAG"/>
        <s v="a1L5G000004NtREUA0"/>
        <s v="a1LVO000004E7Ab2AK"/>
        <s v="a1L5G000004NShxUAG"/>
        <s v="a1L6T00000mlk8DUAQ"/>
        <s v="a1L5G000004OE0MUAW"/>
        <s v="a1L6T00000iJA2EUAW"/>
        <s v="a1L6T00000d2QHyUAM"/>
        <s v="a1L6T00000d2QHxUAM"/>
        <s v="a1L6T00000iJA2JUAW"/>
        <s v="a1L6T00000iJA2TUAW"/>
        <s v="a1L6T00000iJA2QUAW"/>
        <s v="a1L6T00000iJA2SUAW"/>
        <s v="a1L6T00000iJA2RUAW"/>
        <s v="a1L6T00000iJA2PUAW"/>
        <s v="a1L6T00000iJBZ4UAO"/>
        <s v="a1L6T00000iJBZ9UAO"/>
        <s v="a1L6T00000iJBYZUA4"/>
        <s v="a1L6T00000iJBZNUA4"/>
        <s v="a1L5G000004TzrgUAC"/>
        <s v="a1L5G000004TzowUAC"/>
        <s v="a1L5G000004TzneUAC"/>
        <s v="a1L5G000004NSiHUAW"/>
        <s v="a1L6T00000jqkpHUAQ"/>
        <s v="a1L6T00000iJBZ3UAO"/>
        <s v="a1L6T00000iJdvgUAC"/>
        <s v="a1L6T00000iJBYVUA4"/>
        <s v="a1L6T00000mlk8FUAQ"/>
        <s v="a1L6T00000iJBZ8UAO"/>
        <s v="a1L5G000004TzjwUAC"/>
        <s v="a1L6T00000iJBYzUAO"/>
        <s v="a1L6T00000iJBYyUAO"/>
        <s v="a1L5G000004OE0DUAW"/>
        <s v="a1L6T00000iJA2OUAW"/>
        <s v="a1L5G000004TzkbUAC"/>
        <s v="a1L6T00000jqkp3UAA"/>
        <s v="a1L5G000004OE0FUAW"/>
        <s v="a1LVO000004AxED2A0"/>
        <s v="a1LVO000004H3aH2AS"/>
        <s v="a1L6T00000iJBYuUAO"/>
        <s v="a1L6T00000iJA2FUAW"/>
        <s v="a1L5G000004Tzo8UAC"/>
        <s v="a1L5G000004NsYiUAK"/>
        <s v="a1L6T00000iJA2KUAW"/>
        <s v="a1L5G000004NeciUAC"/>
        <s v="a1L6T00000iJdvUUAS"/>
        <s v="a1L6T00000nGqVLUA0"/>
        <s v="a1L6T00000nGqVOUA0"/>
        <s v="a1L6T00000nGqVJUA0"/>
        <s v="a1L6T00000nGqVQUA0"/>
        <s v="a1L6T00000nGqVRUA0"/>
        <s v="a1L6T00000nGqVKUA0"/>
        <s v="a1L6T00000nGqVPUA0"/>
        <s v="a1L6T00000nGqVSUA0"/>
        <s v="a1L6T00000nGqVTUA0"/>
        <s v="a1LVO000004WfKH2A0"/>
        <s v="a1L6T00000mllwzUAA"/>
        <s v="a1L6T00000jr77EUAQ"/>
        <s v="a1L5G000004NYIMUA4"/>
        <s v="a1LVO000001aKVt2AM"/>
        <s v="a1L5G000004NSiFUAW"/>
        <s v="a1L6T00000mllx4UAA"/>
        <s v="a1L5G000004NYIKUA4"/>
        <s v="a1L6T00000iJA2HUAW"/>
        <s v="a1L6T00000jr77DUAQ"/>
        <s v="a1L6T00000iJBYaUAO"/>
        <s v="a1L5G000004NrUZUA0"/>
        <s v="a1L6T00000mlk8OUAQ"/>
        <s v="a1L6T00000mlk8LUAQ"/>
        <s v="a1L5G000004Tzi0UAC"/>
        <s v="a1L6T00000mllx9UAA"/>
        <s v="a1L5G000004TzrWUAS"/>
        <s v="a1L5G000004NtPcUAK"/>
        <s v="a1L5G000004NWeKUAW"/>
        <s v="a1L5G000004NsYlUAK"/>
        <s v="a1L5G000004TzqFUAS"/>
        <s v="a1L6T00000d2MvLUAU"/>
        <s v="a1L5G000004Tzl9UAC"/>
        <s v="a1L5G000004Ned8UAC"/>
        <s v="a1L5G000004NecjUAC"/>
        <s v="a1L5G000004NeczUAC"/>
        <s v="a1L5G000004NectUAC"/>
        <s v="a1L5G000004NecgUAC"/>
        <s v="a1L5G000004NecmUAC"/>
        <s v="a1L5G000004NeceUAC"/>
        <s v="a1L5G000004Ned6UAC"/>
        <s v="a1L5G000004NecfUAC"/>
        <s v="a1LVO000004MBVZ2A4"/>
        <s v="a1L5G000004TznyUAC"/>
        <s v="a1L5G000004NShyUAG"/>
        <s v="a1L5G000004NtPmUAK"/>
        <s v="a1L5G000004TziAUAS"/>
        <s v="a1L5G000004TztXUAS"/>
        <s v="a1L6T00000iJA2BUAW"/>
        <s v="a1LVO000004X0IH2A0"/>
        <s v="a1L6T00000iJBYUUA4"/>
        <s v="a1L6T00000iJBZSUA4"/>
        <s v="a1L5G000004TztwUAC"/>
        <s v="a1L5G000004TzthUAC"/>
        <s v="a1L5G000004TztrUAC"/>
        <s v="a1L5G000004Tzu1UAC"/>
        <s v="a1L5G000004TzibUAC"/>
        <s v="a1L5G000004Tzs1UAC"/>
        <s v="a1L5G000004Tzu6UAC"/>
        <s v="a1L5G000004TzuBUAS"/>
        <s v="a1L5G000004TzuGUAS"/>
        <s v="a1L5G000004TzuQUAS"/>
        <s v="a1L5G000004TzuVUAS"/>
        <s v="a1L5G000004NtQ1UAK"/>
        <s v="a1L5G000004TzufUAC"/>
        <s v="a1L5G000004Tzq0UAC"/>
        <s v="a1L6T00000iJdvWUAS"/>
        <s v="a1L5G000004TztmUAC"/>
        <s v="a1L5G000004TzuaUAC"/>
        <s v="a1L5G000004TznuUAC"/>
        <s v="a1LVO000004X0II2A0"/>
        <s v="a1L5G000004TzvJUAS"/>
        <s v="a1L5G000004TzukUAC"/>
        <s v="a1L5G000004Tzt8UAC"/>
        <s v="a1LVO000004Wf7N2AS"/>
        <s v="a1L5G000004TztcUAC"/>
        <s v="a1L5G000004TzuLUAS"/>
        <s v="a1L6T00000jr3nRUAQ"/>
        <s v="a1L5G000004TziaUAC"/>
        <s v="a1L6T00000iJ1E8UAK"/>
        <s v="a1L5G000004TzpBUAS"/>
        <s v="a1L5G000004NGZNUA4"/>
        <s v="a1L6T00000mllxEUAQ"/>
        <s v="a1L5G000004TzmMUAS"/>
        <s v="a1L6T00000mlk8KUAQ"/>
        <s v="a1L5G000004TzrlUAC"/>
        <s v="a1L6T00000iJdviUAC"/>
        <s v="a1L5G000004Tzv4UAC"/>
        <s v="a1L6T00000iJA2VUAW"/>
        <s v="a1L5G000004OE0UUAW"/>
        <s v="a1L5G000004NtQLUA0"/>
        <s v="a1L5G000004TzjEUAS"/>
        <s v="a1L5G000004NSfiUAG"/>
        <s v="a1L5G000004NYIOUA4"/>
        <s v="a1L6T00000iJLZgUAO"/>
        <s v="a1L5G000004NLfoUAG"/>
        <s v="a1L5G000004TzliUAC"/>
        <s v="a1L6T00000iJLZiUAO"/>
        <s v="a1L6T00000jr3nMUAQ"/>
        <s v="a1LVO000004WfH42AK"/>
        <s v="a1LVO000002JcLN2A0"/>
        <s v="a1L5G000004NShsUAG"/>
        <s v="a1L5G000004TznFUAS"/>
        <s v="a1L5G000004TznZUAS"/>
        <s v="a1L6T00000jqkp5UAA"/>
        <s v="a1L6T00000iJ1E5UAK"/>
        <s v="a1L5G000004NYI3UAO"/>
        <s v="a1LVO000004E7492AC"/>
        <s v="a1L5G000004NYI8UAO"/>
        <s v="a1L6T00000iJBYKUA4"/>
        <s v="a1L5G000004NsYXUA0"/>
        <s v="a1LVO000004E7Lt2AK"/>
        <s v="a1LVO000004E70v2AC"/>
        <s v="a1L5G000004NSiGUAW"/>
        <s v="a1L5G000004TzohUAC"/>
        <s v="a1L5G000004NYIIUA4"/>
        <s v="a1L6T00000iJBYGUA4"/>
        <s v="a1L6T00000jr77CUAQ"/>
        <s v="a1L5G000004NSiCUAW"/>
        <s v="a1L5G000004TzjNUAS"/>
        <s v="a1L5G000004NtR4UAK"/>
        <s v="a1LVO000004Wf902AC"/>
        <s v="a1L6T00000jr3nnUAA"/>
        <s v="a1LVO000004E7KH2A0"/>
        <s v="a1L5G000004NYI1UAO"/>
        <s v="a1L5G000004NSiIUAW"/>
        <s v="a1L5G000004TzrvUAC"/>
        <s v="a1L5G000004TzldUAC"/>
        <s v="a1L6T00000iJBYtUAO"/>
        <s v="a1L6T00000iJdvaUAC"/>
        <s v="a1L5G000004TziKUAS"/>
        <s v="a1L5G000004TzlYUAS"/>
        <s v="a1LVO000004WfKI2A0"/>
        <s v="a1L5G000004Tzs5UAC"/>
        <s v="a1L6T00000jqkpAUAQ"/>
        <s v="a1LVO000004WfNW2A0"/>
        <s v="a1L5G000004Ned7UAC"/>
        <s v="a1L5G000004TzmRUAS"/>
        <s v="a1L6T00000iJ1EQUA0"/>
        <s v="a1L6T00000iJdvXUAS"/>
        <s v="a1L5G000004NShqUAG"/>
        <s v="a1L6T00000iJ1E6UAK"/>
        <s v="a1L6T00000iJ1EHUA0"/>
        <s v="a1L5G000004TznoUAC"/>
        <s v="a1LVO000004WfFS2A0"/>
        <s v="a1L5G000004NSiNUAW"/>
        <s v="a1L5G000004TzlOUAS"/>
        <s v="a1L5G000004NKhpUAG"/>
        <s v="a1LVO000002JcTR2A0"/>
        <s v="a1LVO000002JcMz2AK"/>
        <s v="a1LVO000002JcQD2A0"/>
        <s v="a1LVO000002JcYH2A0"/>
        <s v="a1LVO0000049DLV2A2"/>
        <s v="a1LVO0000049DLW2A2"/>
        <s v="a1L5G000004TzkVUAS"/>
        <s v="a1L6T00000iJLZoUAO"/>
        <s v="a1L5G000004OE0TUAW"/>
        <s v="a1L5G000004NtQQUA0"/>
        <s v="a1LVO000004RAqd2AG"/>
        <s v="a1L6T00000iJA2LUAW"/>
        <s v="a1L5G000004NShpUAG"/>
        <s v="a1LVO000004WfP72AK"/>
        <s v="a1L5G000004NYI7UAO"/>
        <s v="a1L5G000004NecrUAC"/>
        <s v="a1LVO000004Wf8z2AC"/>
        <s v="a1L6T00000iJ1EEUA0"/>
        <s v="a1L6T00000mlk8MUAQ"/>
        <s v="a1L6T00000iJA27UAG"/>
        <s v="a1L5G000004NtQ6UAK"/>
        <s v="a1LVO000004WfCE2A0"/>
        <s v="a1L5G000004TzmvUAC"/>
        <s v="a1L6T00000mlk8IUAQ"/>
        <s v="a1LVO000004Wf7O2AS"/>
        <s v="a1L6T00000jr3nVUAQ"/>
        <s v="a1L6T00000jr3nXUAQ"/>
        <s v="a1L6T00000mlk8XUAQ"/>
        <s v="a1L6T00000jr3naUAA"/>
        <s v="a1L5G000004TzkGUAS"/>
        <s v="a1LVO0000056Lq52AE"/>
        <s v="a1L5G000004TziZUAS"/>
        <s v="a1L6T00000iJdvdUAC"/>
        <s v="a1L5G000004TzntUAC"/>
        <s v="a1L5G000004NSi4UAG"/>
        <s v="a1L5G000004TzmqUAC"/>
        <s v="a1LVO000004E7NV2A0"/>
        <s v="a1L6T00000mlk8GUAQ"/>
        <s v="a1L5G000004TzjiUAC"/>
        <s v="a1L6T00000iJLZbUAO"/>
        <s v="a1LVO000004E77N2AS"/>
        <s v="a1L6T00000jqkpBUAQ"/>
        <s v="a1L5G000004TzoSUAS"/>
        <s v="a1L5G000004NYINUA4"/>
        <s v="a1L6T00000iJBZDUA4"/>
        <s v="a1L6T00000iJBZTUA4"/>
        <s v="a1L6T00000iJBZXUA4"/>
        <s v="a1L5G000004TzkzUAC"/>
        <s v="a1L5G000004NsYmUAK"/>
        <s v="a1L6T00000jr3ngUAA"/>
        <s v="a1L5G000004TztIUAS"/>
        <s v="a1LVO000002JcRp2AK"/>
        <s v="a1LVO000002JcV32AK"/>
        <s v="a1LVO0000049DLX2A2"/>
        <s v="a1LVO000002JcWf2AK"/>
        <s v="a1LVO0000049DLY2A2"/>
        <s v="a1LVO000002JcOb2AK"/>
        <s v="a1L5G000004NtPrUAK"/>
        <s v="a1L5G000004OE0HUAW"/>
        <s v="a1L5G000004OE0aUAG"/>
        <s v="a1L5G000004NsYdUAK"/>
        <s v="a1L5G000004OE0YUAW"/>
        <s v="a1L5G000004Tzp1UAC"/>
        <s v="a1L5G000004Tzp6UAC"/>
        <s v="a1L5G000004OE0OUAW"/>
        <s v="a1L5G000004NSi5UAG"/>
        <s v="a1L6T00000iJBYQUA4"/>
        <s v="a1L5G000004Tzo3UAC"/>
        <s v="a1L5G000004NSi1UAG"/>
        <s v="a1L6T00000iJ1ENUA0"/>
        <s v="a1LVO0000056Lq72AE"/>
        <s v="a1LVO0000056LqG2AU"/>
        <s v="a1LVO0000056Lq92AE"/>
        <s v="a1LVO0000056LqB2AU"/>
        <s v="a1LVO0000056Lq62AE"/>
        <s v="a1LVO0000056Lq82AE"/>
        <s v="a1LVO0000056LqC2AU"/>
        <s v="a1LVO0000056LqI2AU"/>
        <s v="a1LVO0000056LqA2AU"/>
        <s v="a1LVO0000056LqD2AU"/>
        <s v="a1LVO0000056LqE2AU"/>
        <s v="a1LVO0000056LqF2AU"/>
        <s v="a1LVO0000056LqH2AU"/>
        <s v="a1L5G000004NLftUAG"/>
        <s v="a1L6T00000iJLZlUAO"/>
        <s v="a1L5G000004TzmWUAS"/>
        <s v="a1L6T00000jr3nkUAA"/>
        <s v="a1L6T00000iJBYFUA4"/>
        <s v="a1L6T00000mlk8UUAQ"/>
        <s v="a1L6T00000mlk8WUAQ"/>
        <s v="a1L6T00000mlk8VUAQ"/>
        <s v="a1L6T00000mlk8TUAQ"/>
        <s v="a1L6T00000mlk8EUAQ"/>
        <s v="a1L5G000004TznUUAS"/>
        <s v="a1L6T00000jqkpFUAQ"/>
        <s v="a1L5G000004TznGUAS"/>
        <s v="a1L6T00000d2NFGUA2"/>
        <s v="a1L6T00000iJLZaUAO"/>
        <s v="a1LVO000004E9XN2A0"/>
        <s v="a1L5G000004NsYrUAK"/>
        <s v="a1L5G000004NSiJUAW"/>
        <s v="a1L6T00000mlk8RUAQ"/>
        <s v="a1L6T00000mlk8PUAQ"/>
        <s v="a1L5G000004TzqnUAC"/>
        <s v="a1L6T00000mlk8SUAQ"/>
        <s v="a1L6T00000mlk8QUAQ"/>
        <s v="a1L6T00000mlk8HUAQ"/>
        <s v="a1L5G000004TzmlUAC"/>
        <s v="a1LVO0000052kK62AI"/>
        <s v="a1LVO0000052kKA2AY"/>
        <s v="a1L5G000004TzjDUAS"/>
        <s v="a1L5G000004NtQaUAK"/>
        <s v="a1L6T00000iJ1ESUA0"/>
        <s v="a1L6T00000iJLZhUAO"/>
        <s v="a1L6T00000jqkpEUAQ"/>
        <s v="a1L6T00000iJ1ETUA0"/>
        <s v="a1L5G000004TzpaUAC"/>
        <s v="a1LVO000005MsV72AK"/>
        <s v="a1L6T00000jr3nQUAQ"/>
        <s v="a1L5G000004TzocUAC"/>
        <s v="a1L6T00000jqkp9UAA"/>
        <s v="a1L6T00000jr3nOUAQ"/>
        <s v="a1L6T00000nGqVNUA0"/>
        <s v="a1L6T00000iJ1ECUA0"/>
        <s v="a1L5G000004TzrbUAC"/>
        <s v="a1L5G000004TzoDUAS"/>
        <s v="a1LVO000004WfDq2AK"/>
        <s v="a1LVO000004WfDp2AK"/>
        <s v="a1LVO000004WfFR2A0"/>
        <s v="a1L5G000004NsYJUA0"/>
        <s v="a1L5G000004TzkQUAS"/>
        <s v="a1L5G000004TzpLUAS"/>
        <s v="a1L5G000004NtQGUA0"/>
        <s v="a1L5G000004TzkLUAS"/>
        <s v="a1L5G000004NSi2UAG"/>
        <s v="a1L5G000004NSfTUAW"/>
        <s v="a1L6T00000jqkp2UAA"/>
        <s v="a1LVO000004WfCD2A0"/>
        <s v="a1L5G000004TzjrUAC"/>
        <s v="a1L5G000004TzkpUAC"/>
        <s v="a1L5G000004NtROUA0"/>
        <s v="a1L5G000004NtQzUAK"/>
        <s v="a1L6T00000d2MvaUAE"/>
        <s v="a1LVO000004E6sr2AC"/>
        <s v="a1LVO000004RAqb2AG"/>
        <s v="a1L5G000004TznjUAC"/>
        <s v="a1L5G000004NYI9UAO"/>
        <s v="a1LVO000004RAsE2AW"/>
        <s v="a1L5G000004TzorUAC"/>
        <s v="a1L6T00000jr3nWUAQ"/>
        <s v="a1LVO000004WfIg2AK"/>
        <s v="a1LVO000004WfNV2A0"/>
        <s v="a1LVO000004WfIf2AK"/>
        <s v="a1LVO000004WfLu2AK"/>
        <s v="a1LVO000004WfLt2AK"/>
        <s v="a1L5G000004NGZOUA4"/>
        <s v="a1L6T00000iJ1EDUA0"/>
        <s v="a1L5G000004NSiAUAW"/>
        <s v="a1L5G000004NsYMUA0"/>
        <s v="a1L6T00000iJ1EAUA0"/>
        <s v="a1L6T00000kcQBKUA2"/>
        <s v="a1L6T00000iJ1EMUA0"/>
        <s v="a1L6T00000iJ1EBUA0"/>
        <s v="a1L6T00000jr3nYUAQ"/>
        <s v="a1L6T00000jr3nZUAQ"/>
        <s v="a1L6T00000jr3njUAA"/>
        <s v="a1L6T00000jr3ndUAA"/>
        <s v="a1L6T00000iJ1EIUA0"/>
        <s v="a1L5G000004NeclUAC"/>
        <s v="a1L5G000004TzsUUAS"/>
        <s v="a1L5G000004TzlnUAC"/>
        <s v="a1LVO000004E7If2AK"/>
        <s v="a1LVO000004WfAb2AK"/>
        <s v="a1LVO000000Z6XB2A0"/>
        <s v="a1L5G000004OE0CUAW"/>
        <s v="a1L6T00000jr3nLUAQ"/>
        <s v="a1LVO000004E6rF2AS"/>
        <s v="a1LVO000004Kx6T2AS"/>
        <s v="a1LVO0000052kK12AI"/>
        <s v="a1L5G000004NtRdUAK"/>
        <s v="a1L5G000004Tzn5UAC"/>
        <s v="a1L5G000004TztSUAS"/>
        <s v="a1LVO000004RAqc2AG"/>
        <s v="a1LVO000004RAtq2AG"/>
        <s v="a1LVO000004RAtr2AG"/>
        <s v="a1L6T00000jqkpMUAQ"/>
        <s v="a1LVO0000052kKG2AY"/>
        <s v="a1LVO000004OIO52AO"/>
        <s v="a1L5G000004TzoNUAS"/>
        <s v="a1L5G000004OE0BUAW"/>
        <s v="a1LVO000004RAsH2AW"/>
        <s v="a1L5G000004NSiLUAW"/>
        <s v="a1L6T00000jr3nNUAQ"/>
        <s v="a1LVO000004RAtt2AG"/>
        <s v="a1LVO000004RAts2AG"/>
        <s v="a1LVO000004Kx4r2AC"/>
        <s v="a1LVO000004RAvR2AW"/>
        <s v="a1LVO000004RAvS2AW"/>
        <s v="a1L6T00000jr3nSUAQ"/>
        <s v="a1L6T00000iJA2CUAW"/>
        <s v="a1L5G000004NtRTUA0"/>
        <s v="a1L5G000004NtR9UAK"/>
        <s v="a1L5G000004TziPUAS"/>
        <s v="a1L5G000004TziFUAS"/>
        <s v="a1L5G000004TzioUAC"/>
        <s v="a1L5G000004TzipUAC"/>
        <s v="a1L5G000004TzieUAC"/>
        <s v="a1LVO000004OIG12AO"/>
        <s v="a1L5G000004TzhvUAC"/>
        <s v="a1L5G000004Tzj3UAC"/>
        <s v="a1L5G000004TzkHUAS"/>
        <s v="a1L5G000004TzjhUAC"/>
        <s v="a1L5G000004TzkIUAS"/>
        <s v="a1L5G000004TziyUAC"/>
        <s v="a1L5G000004TzjSUAS"/>
        <s v="a1L5G000004Tzk6UAC"/>
        <s v="a1L5G000004TzitUAC"/>
        <s v="a1L5G000004TzpVUAS"/>
        <s v="a1L5G000004TzpQUAS"/>
        <s v="a1L5G000004TzomUAC"/>
        <s v="a1L5G000004Tzr7UAC"/>
        <s v="a1L5G000004Tzr2UAC"/>
        <s v="a1L5G000004TzqTUAS"/>
        <s v="a1L5G000004TzqOUAS"/>
        <s v="a1L5G000004Tzq9UAC"/>
        <s v="a1L5G000004TzqxUAC"/>
        <s v="a1L5G000004Tzs0UAC"/>
        <s v="a1L5G000004TzqiUAC"/>
        <s v="a1L5G000004TzrMUAS"/>
        <s v="a1L5G000004TzrHUAS"/>
        <s v="a1L5G000004TzqdUAC"/>
        <s v="a1L5G000004TzqYUAS"/>
        <s v="a1L5G000004TzsZUAS"/>
        <s v="a1L5G000004Tzt3UAC"/>
        <s v="a1L5G000004TzlsUAC"/>
        <s v="a1L5G000004Tzn0UAC"/>
        <s v="a1L5G000004TzmCUAS"/>
        <s v="a1L5G000004TzkuUAC"/>
        <s v="a1L5G000004TznPUAS"/>
        <s v="a1L5G000004TznKUAS"/>
        <s v="a1L5G000004TznAUAS"/>
        <s v="a1L6T00000iJLZjUAO"/>
        <s v="a1L6T00000iJLZkUAO"/>
        <s v="a1L6T00000iJLZmUAO"/>
        <s v="a1L6T00000iJLZnUAO"/>
        <s v="a1L6T00000iJLZpUAO"/>
        <s v="a1L6T00000iJLZZUA4"/>
        <s v="a1LVO000004OIeD2AW"/>
        <s v="a1LVO000004OIcb2AG"/>
        <s v="a1LVO000004OIfp2AG"/>
        <s v="a1LVO000004OIaz2AG"/>
        <s v="a1LVO000004OIZN2A4"/>
        <s v="a1L6T00000mlijXUAQ"/>
        <s v="a1LVO000004OISv2AO"/>
        <s v="a1LVO000004OIW92AO"/>
        <s v="a1LVO000004OIUX2A4"/>
        <s v="a1LVO000004OIRJ2A4"/>
        <s v="a1L6T00000mlk8JUAQ"/>
        <s v="a1L6T00000mlk8NUAQ"/>
        <s v="a1LVO000004OIJF2A4"/>
        <s v="a1LVO000004OIHd2AO"/>
        <s v="a1L5G000004Ned4UAC"/>
        <s v="a1L5G000004Ned5UAC"/>
        <s v="a1L5G000004Ned2UAC"/>
        <s v="a1LVO000004RAtp2AG"/>
        <s v="a1L5G000004NeckUAC"/>
        <s v="a1L5G000004NecnUAC"/>
        <s v="a1L5G000004NecdUAC"/>
        <s v="a1LVO000004RAsG2AW"/>
        <s v="a1LVO000004RAsF2AW"/>
        <s v="a1LVO000004RAsD2AW"/>
        <s v="a1LVO000004RAqe2AG"/>
        <s v="a1LVO000004RAqf2AG"/>
        <s v="a1L5G000004NSiKUAW"/>
        <s v="a1LVO000005Telq2AC"/>
        <s v="a1LVO000005Telr2AC"/>
        <s v="a1L5G000004NSiBUAW"/>
        <s v="a1LVO000005Telg2AC"/>
        <s v="a1LVO000005Telh2AC"/>
        <s v="a1L6T00000jqyJNUAY"/>
        <s v="a1LVO000005Tele2AC"/>
        <s v="a1LVO000005Telf2AC"/>
        <s v="a1LVO000005Telc2AC"/>
        <s v="a1LVO000005Teld2AC"/>
        <s v="a1LVO000005Tela2AC"/>
        <s v="a1LVO000005Telb2AC"/>
        <s v="a1LVO000005Telo2AC"/>
        <s v="a1LVO000005Telp2AC"/>
        <s v="a1LVO000005Telm2AC"/>
        <s v="a1LVO000005Teln2AC"/>
        <s v="a1LVO000005Telk2AC"/>
        <s v="a1LVO000005Tell2AC"/>
        <s v="a1LVO000005Teli2AC"/>
        <s v="a1LVO000005Telj2AC"/>
        <s v="a1LVO000005TelZ2AS"/>
        <s v="a1L5G000004NShvUAG"/>
        <s v="a1LVO000002B8yn2AC"/>
        <s v="a1LVO000002B8tx2AC"/>
        <s v="a1LVO000002B8vZ2AS"/>
        <s v="a1LVO000002B8xB2AS"/>
        <s v="a1LVO000002B8qj2AC"/>
        <s v="a1LVO000002B8sL2AS"/>
        <s v="a1LVO000002B8lt2AC"/>
        <s v="a1LVO000002B8nV2AS"/>
        <s v="a1LVO000002B8p72AC"/>
        <s v="a1LVO000002B8if2AC"/>
        <s v="a1LVO000002B8kH2AS"/>
        <s v="a1LVO000002B8h32AC"/>
        <s v="a1L6T00000iJA2MUAW"/>
        <s v="a1L6T00000iJA2UUAW"/>
        <s v="a1L6T00000iJA29UAG"/>
        <s v="a1L6T00000iJA2AUAW"/>
        <s v="a1L5G000004NYIGUA4"/>
        <s v="a1L5G000004NYIHUA4"/>
        <s v="a1L5G000004NYIJUA4"/>
        <s v="a1L5G000004NYIAUA4"/>
        <s v="a1L5G000004NYICUA4"/>
        <s v="a1L5G000004NYIBUA4"/>
        <s v="a1L5G000004NYI5UAO"/>
        <s v="a1L5G000004NYI6UAO"/>
        <s v="a1L5G000004NYI0UAO"/>
        <s v="a1L5G000004NYI2UAO"/>
        <s v="a1L6T00000jqkpCUAQ"/>
        <s v="a1L6T00000jqkpOUAQ"/>
        <s v="a1L6T00000jqkpNUAQ"/>
        <s v="a1L5G000004TzsyUAC"/>
        <s v="a1L5G000004TztNUAS"/>
        <s v="a1L5G000004TzseUAC"/>
        <s v="a1L5G000004Tzv9UAC"/>
        <s v="a1LVO000004E9PJ2A0"/>
        <s v="a1L6T00000iJdvYUAS"/>
        <s v="a1LVO000004KxCv2AK"/>
        <s v="a1LVO000004KxEX2A0"/>
        <s v="a1LVO000004Kx852AC"/>
        <s v="a1LVO000004Kx9h2AC"/>
        <s v="a1LVO000002B79v2AC"/>
        <s v="a1LVO000002B79u2AC"/>
        <s v="a1LVO000002B5zK2AS"/>
        <s v="a1LVO000002B89C2AS"/>
        <s v="a1LVO000002B7Mo2AK"/>
        <s v="a1L5G000004NKhrUAG"/>
        <s v="a1L5G000004NKhqUAG"/>
        <s v="a1L5G000004NKhsUAG"/>
        <s v="a1L6T00000iJ1EFUA0"/>
        <s v="a1LVO000002B8PK2A0"/>
        <s v="a1LVO000002B9212AC"/>
        <s v="a1LVO000002B93d2AC"/>
        <s v="a1LVO000002B95F2AS"/>
        <s v="a1LVO000002B90P2AS"/>
        <s v="a1LVO0000052kK82AI"/>
        <s v="a1LVO0000052kK92AI"/>
        <s v="a1LVO0000052kKF2AY"/>
        <s v="a1LVO0000052kKD2AY"/>
        <s v="a1LVO0000052kKE2AY"/>
        <s v="a1LVO0000052kKB2AY"/>
        <s v="a1LVO0000052kKC2AY"/>
        <s v="a1LVO0000052kKJ2AY"/>
        <s v="a1LVO0000052kKK2AY"/>
        <s v="a1LVO0000052kKH2AY"/>
        <s v="a1LVO0000052kKI2AY"/>
        <s v="a1LVO0000052kK72AI"/>
        <s v="a1LVO0000052kK42AI"/>
        <s v="a1LVO0000052kK52AI"/>
        <s v="a1LVO0000052kK22AI"/>
        <s v="a1LVO0000052kK32AI"/>
        <s v="a1LVO000004WfH32AK"/>
        <s v="a1LVO000004WfAc2AK"/>
        <s v="a1LVO0000053gHa2AI"/>
        <s v="a1LVO0000053gHZ2AY"/>
        <s v="a1L5G000004NtPIUA0"/>
        <s v="a1L5G000004NtQVUA0"/>
        <s v="a1L5G000004NtPwUAK"/>
        <s v="a1L5G000004OE0VUAW"/>
        <s v="a1L5G000004NtQuUAK"/>
        <s v="a1L5G000004NtQpUAK"/>
        <s v="a1L5G000004NtQfUAK"/>
        <s v="a1L5G000004NsYNUA0"/>
        <s v="a1L5G000004NsYsUAK"/>
        <s v="a1L5G000004NsYgUAK"/>
        <s v="a1L6T00000d2MvfUAE"/>
        <s v="a1L6T00000d2MvGUAU"/>
        <s v="a1L6T00000d2MvBUAU"/>
        <s v="a1L6T00000jr3nPUAQ"/>
        <s v="a1L6T00000jr3nUUAQ"/>
        <s v="a1LVO000004E75l2AC"/>
        <s v="a1LVO000004E9Vl2AK"/>
        <s v="a1LVO000004E9Qv2AK"/>
        <s v="a1LVO000004E9U92AK"/>
        <s v="a1LVO000004E9SX2A0"/>
        <s v="a1L6T00000mlpzEUAQ"/>
        <s v="a1L6T00000d2MvzUAE"/>
        <s v="a1L6T00000d2MvkUAE"/>
        <s v="a1L6T00000d2MvVUAU"/>
        <s v="a1L6T00000d2Mw4UAE"/>
        <s v="a1L6T00000d2MvQUAU"/>
        <s v="a1L6T00000d2Mv6UAE"/>
        <m/>
      </sharedItems>
    </cacheField>
    <cacheField name="Kitchen Number Name" numFmtId="0">
      <sharedItems containsBlank="1">
        <s v="K22 (CPU) - SA - RUH - Aqiq"/>
        <s v="K04 (Cold) - SA - RUH - Arid (2)"/>
        <s v="K01 (Cold) - SA - RUH - Narjis"/>
        <s v="K17 (Hot) - SA - RUH - Arid (2)"/>
        <s v="K06 (Hot) - SA - MUR"/>
        <s v="K07 (Hot) - SA - MUR"/>
        <s v="K08 (Hot) - SA - MUR"/>
        <s v="K03 (Hot) - SA - MUR"/>
        <s v="K04 (Hot) - SA - MUR"/>
        <s v="K05 (Hot) - SA - MUR"/>
        <s v="K02 (Hot) - SA - MUR"/>
        <s v="K01 (Hot) - SA - MUR"/>
        <s v="K23 (Hot) - SA - MUR"/>
        <s v="K22 (Hot) - SA - MUR"/>
        <s v="K21 (Hot) - SA - MUR"/>
        <s v="K20 (Hot) - SA - MUR"/>
        <s v="K18 (Hot) - SA - MUR"/>
        <s v="K16 (Hot) - SA - MUR"/>
        <s v="K17 (Hot) - SA - MUR"/>
        <s v="K19 (Hot) - SA - MUR"/>
        <s v="K14 (Hot) - SA - MUR"/>
        <s v="K15 (Hot) - SA - MUR"/>
        <s v="K11 (Hot) - SA - MUR"/>
        <s v="K12 (Hot) - SA - MUR"/>
        <s v="K13 (Hot) - SA - MUR"/>
        <s v="K09 (Hot) - SA - MUR"/>
        <s v="K10 (Hot) - SA - MUR"/>
        <s v="K16 (Hot) - SA - RUH - Malga 1"/>
        <s v="K18 (Hot) - SA - RUH - Malga 1"/>
        <s v="K19 (Hot) - SA - RUH - Malga 1"/>
        <s v="K08 (Hot) - SA - RUH - Malga 1"/>
        <s v="K13 (Hot) - SA - RUH - QSM"/>
        <s v="K06 (Hot)- KSA - AHS- Hofuf"/>
        <s v="K26 (Hot) - SA - RUH - Khaleej"/>
        <s v="K16 (Hot) - SA - RUH - Olaya"/>
        <s v="K07 (Hot) - SA - RUH - Wadi"/>
        <s v="K45 (Hot) - SA - RUH - Wadi"/>
        <s v="K10 (Hot) SA - RUH - Qurtoba"/>
        <s v="K16 (Hot) - SA - RUH - Dahrat Laban"/>
        <s v="K04 (Hot) - SA - RUH - Wadi"/>
        <s v="K22 (Hot) - SA - DMM - Zuhur"/>
        <s v="K16 (Hot) - SA - RUH - Khaleej"/>
        <s v="K16 (Hot) - SA - KBR - Aqrabiya"/>
        <s v="K15 (Hot) - SA - KBR - Aqrabiya"/>
        <s v="K06 (Hot) - SA - KBR - Aqrabiya"/>
        <s v="K18 (Hot) SA - RUH - Qurtoba"/>
        <s v="K16 (Hot) SA - RUH - Qurtoba"/>
        <s v="K15 (Hot) SA - RUH - Qurtoba"/>
        <s v="K22 (Hot) SA - RUH - Qurtoba"/>
        <s v="K02 (Cold) SA - RUH - Qurtoba"/>
        <s v="K05 (Hot) - SA - RUH - Arid (2)"/>
        <s v="K10 (Cold) - SA - RUH - Yasmin"/>
        <s v="K03 (Hot) - SA - RUH - Yasmin"/>
        <s v="K09 (Cold) - SA - RUH - Malga 1"/>
        <s v="K11 (Cold) - SA - RUH - Malga 1"/>
        <s v="K12 (Hot) - SA - DMM - Rawda"/>
        <s v="K06 (Hot) - SA - DMM - Rawda"/>
        <s v="K18 (Cold) - SA - DMM - Rawda"/>
        <s v="K05 (Hot) - SA - DMM - Rawda"/>
        <s v="K25 (Hot) - SA - RUH - Sulimaniyah"/>
        <s v="K20 (Hot) - SA - DMM - Zuhur"/>
        <s v="K19 (Hot) - SA - RUH - Malga 2"/>
        <s v="K10 (Hot) - SA - RUH - Malga 2"/>
        <s v="K09 (Hot) - SA - RUH - Malga 2"/>
        <s v="K17 (Hot) - SA - RUH - Aqiq"/>
        <s v="K05 (Hot) - SA - RUH - Sweidi"/>
        <s v="K07 (Hot) - SA - RUH - Sweidi"/>
        <s v="K23 (Hot) - SA - RUH - Wadi"/>
        <s v="K04 (Cold) - SA - RUH - Sweidi"/>
        <s v="K21 (Cold) - SA - RUH - Malga 1"/>
        <s v="K12 (Cold) - SA - RUH - Khaleej"/>
        <s v="K03 (Hot) - SA - RUH - Sweidi"/>
        <s v="K11 (Hot) - SA - RUH - Olaya"/>
        <s v="K13 (Hot) - SA - RUH - Malga 2"/>
        <s v="K24 (Hot) - SA - RUH - Wadi"/>
        <s v="K11 (Hot) SA - RUH - Qurtoba"/>
        <s v="K21 (Hot) - SA - RUH - Khaleej"/>
        <s v="K09 (Cold) - SA - RUH - Dahrat Laban"/>
        <s v="K17 (Hot) - SA - RUH - King Fahd"/>
        <s v="K02 (Hot) - SA - RUH - Sweidi"/>
        <s v="K23 (Cold) - SA - KBR - Aqrabiya"/>
        <s v="K19 (Cold) - SA - RUH - Khaleej"/>
        <s v="K27 (Hot) - SA - RUH - Khaleej"/>
        <s v="K11 (Hot) - SA - RUH - Aqiq"/>
        <s v="K18 (Cold) - SA - RUH - Aqiq"/>
        <s v="K01 (Hot) - SA - RUH - Malga 2"/>
        <s v="K20 (Cold) - SA - RUH - Malga 2"/>
        <s v="K05 (Hot) - SA - RUH - Malga 1"/>
        <s v="K05 (Hot) - SA - RUH - King Fahd"/>
        <s v="K14 (Hot) - SA - RUH - Sweidi"/>
        <s v="K13 (Hot) - SA - RUH - Aqiq"/>
        <s v="K14 (CPU) - SA - DMM - Zuhur"/>
        <s v="K18 (Hot) - SA - RUH - Wadi"/>
        <s v="K07 (Cold) - SA - RUH - Malga 1"/>
        <s v="K04 (Hot) - SA - RUH - Malga 1"/>
        <s v="K01 (Hot) - SA - KBR - Aqrabiya"/>
        <s v="K02 (Hot) - SA - DMM - Rawda"/>
        <s v="K13 (Hot) - SA - RUH - Jarir"/>
        <s v="K10 (Hot) - SA - DMM - Rawda"/>
        <s v="K10 (Hot) - SA - RUH - Malga 1"/>
        <s v="K19 (Cold) - SA - RUH - Aqiq"/>
        <s v="K09 (Hot) - SA - RUH - Dahrat Laban"/>
        <s v="K09 (Cold) - SA - RUH - King Fahd"/>
        <s v="K14 (Cold) - SA - RUH - Khaleej"/>
        <s v="K08 (Hot) - SA - RUH - Narjis"/>
        <s v="K08 (Cold)- KSA - AHS- Hofuf"/>
        <s v="K06 (Hot) - SA - RUH - Khaleej"/>
        <s v="K02 (CPU) - SA - RUH - QSM"/>
        <s v="K07 (Hot) - SA - RUH - Dahrat Laban"/>
        <s v="K02 (Cold) - SA - RUH - Sweidi"/>
        <s v="K18 (Hot) - SA - RUH - King Fahd"/>
        <s v="K28 (Hot) - SA - RUH - Wadi"/>
        <s v="K21 (Cold) - SA - RUH - Aqiq"/>
        <s v="K11 (Hot) - SA - RUH - Dahrat Laban"/>
        <s v="K08 (Hot) - SA - RUH - Dahrat Laban"/>
        <s v="K03 (Hot) - SA - RUH - Aqiq"/>
        <s v="K03 (Hot) - SA - RUH - Malga 1"/>
        <s v="K03 (Hot) - SA - RUH - Olaya"/>
        <s v="K25 (Cold) - SA - RUH - Malga 2"/>
        <s v="K20 (Hot) - SA - RUH - Sulimaniyah"/>
        <s v="K23 (Hot) - SA - RUH - Malga 2"/>
        <s v="K28 (Hot) - SA - RUH - King Fahd"/>
        <s v="K28 (CPU) - SA - KBR - Aqrabiya"/>
        <s v="K12 (Cold) - SA - RUH - QSM"/>
        <s v="K08 (Hot) - SA - RUH - Olaya"/>
        <s v="K24 (Cold) - SA - RUH - Malga 2"/>
        <s v="K21 (CPU) - SA - RUH - Arid"/>
        <s v="K01 (Hot) - SA - RUH - Arid"/>
        <s v="K15 (Hot) - SA - RUH - Arid"/>
        <s v="K16 (Hot) - SA - RUH - Arid"/>
        <s v="K07 (Hot) - SA - RUH - Arid"/>
        <s v="K03 (Hot) - SA - RUH - Arid"/>
        <s v="K18 (Hot) - SA - RUH - Arid"/>
        <s v="K06 (Hot) - SA - RUH - Arid"/>
        <s v="K13 (Hot) - SA - RUH - Arid"/>
        <s v="K02 (Hot) - SA - RUH - Arid"/>
        <s v="K04 (Hot) - SA - RUH - Arid"/>
        <s v="K05 (Hot) - SA - RUH - Arid"/>
        <s v="K08 (Hot) - SA - RUH - Arid"/>
        <s v="K09 (Hot) - SA - RUH - Arid"/>
        <s v="K10 (Hot) - SA - RUH - Arid"/>
        <s v="K11 (Hot) - SA - RUH - Arid"/>
        <s v="K12 (Hot) - SA - RUH - Arid"/>
        <s v="K14 (Hot) - SA - RUH - Arid"/>
        <s v="K17 (Hot) - SA - RUH - Arid"/>
        <s v="K19 (Hot) - SA - RUH - Arid"/>
        <s v="K20 (Cold) - SA - RUH - Arid"/>
        <s v="K19 (CPU) - KSA - AHS- Hofuf"/>
        <s v="K07 (Cold)- KSA - AHS- Hofuf"/>
        <s v="K01 (Cold) - SA - RUH - Yasmin"/>
        <s v="K29 (CPU) - SA - KBR - Aqrabiya"/>
        <s v="K27 (Hot) - SA - RUH - King Fahd"/>
        <s v="K02 (Hot) - SA - RUH - Aqiq"/>
        <s v="K18 (Hot) - SA - RUH - Sweidi"/>
        <s v="K07 (Cold) - SA - RUH - Malga 2"/>
        <s v="K15 (Hot) - SA - RUH - Yasmin"/>
        <s v="K18 (Hot) - SA - RUH - Yasmin"/>
        <s v="K08 (Hot) - SA - DMM - Rawda"/>
        <s v="K15 (Hot) - SA - RUH - Dahrat Laban"/>
        <s v="K09 (Hot) - SA - RUH - Yasmin"/>
        <s v="K15 (Cold) - SA - RUH - Malga 2"/>
        <s v="K01 (Hot) - SA - RUH - Rawdah"/>
        <s v="K07 (Hot) - SA - RUH - Khaleej"/>
        <s v="K16 (Cold) - SA - RUH - Rawdah"/>
        <s v="K18 (Hot) - SA - RUH - Rawdah"/>
        <s v="K09 (Hot) - SA - RUH - Rawdah"/>
        <s v="K16 (Hot) - SA - RUH - Aqiq"/>
        <s v="K20 (Hot) - SA - RUH - Rawdah"/>
        <s v="K08 (Hot) - SA - RUH - Rawdah"/>
        <s v="K06 (Cold) - SA - RUH - Rawdah"/>
        <s v="K19 (Hot) - SA - RUH - Rawdah"/>
        <s v="K05 (Hot) - SA - RUH - Rawdah"/>
        <s v="K02 (Cold) - SA - RUH - Rawdah"/>
        <s v="K11 (Hot) - SA - RUH - Rawdah"/>
        <s v="K03 (Cold) - SA - RUH - Rawdah"/>
        <s v="K04 (Cold) - SA - RUH - Rawdah"/>
        <s v="K07 (Hot) - SA - RUH - Rawdah"/>
        <s v="K10 (Hot) - SA - RUH - Rawdah"/>
        <s v="K12 (Hot) - SA - RUH - Rawdah"/>
        <s v="K13 (Hot) - SA - RUH - Rawdah"/>
        <s v="K14 (Hot) - SA - RUH - Rawdah"/>
        <s v="K21 (Hot) - SA - RUH - Rawdah"/>
        <s v="K15 (Hot) - SA - RUH - Rawdah"/>
        <s v="K17 (Hot) - SA - RUH - Rawdah"/>
        <s v="K47 (Hot) - SA - RUH - Wadi"/>
        <s v="K23 (Cold) - SA - RUH - Jarir"/>
        <s v="K27 (Cold) - SA - KBR - Aqrabiya"/>
        <s v="K05 (Hot)- KSA - AHS- Hofuf"/>
        <s v="K35 (Cold) - SA - RUH - Khaleej"/>
        <s v="K17 (Hot) - SA - KBR - Aqrabiya"/>
        <s v="K01 (Hot) - SA - RUH - Dahrat Laban"/>
        <s v="K04 (Hot) - SA - RUH - Sulimaniyah"/>
        <s v="K17 (Hot) - SA - RUH - Yasmin"/>
        <s v="K31 (Hot) - SA - RUH - Wadi"/>
        <s v="K06 (Cold) - SA - RUH - Malga 1"/>
        <s v="K07 (Hot) SA - RUH - Qurtoba"/>
        <s v="K30 (CPU) - SA - KBR - Aqrabiya"/>
        <s v="K08 (Hot) SA - RUH - Qurtoba"/>
        <s v="K04 (Cold) SA - RUH - Qurtoba"/>
        <s v="K17 (Hot) - SA - RUH - Malga 1"/>
        <s v="K19 (Hot) - SA - RUH - Yasmin"/>
        <s v="K25 (Hot) - SA - RUH - Wadi"/>
        <s v="K30 (Hot) - SA - RUH - Wadi"/>
        <s v="K02 (Cold) - SA - RUH - Tuwaiq"/>
        <s v="K14 (Hot) - SA - RUH - Tuwaiq"/>
        <s v="K05 (Hot) - SA - RUH - Tuwaiq"/>
        <s v="K15 (Hot) - SA - RUH - Tuwaiq"/>
        <s v="K08 (Cold) - SA - RUH - Tuwaiq"/>
        <s v="K16 (Cold) - SA - RUH - Tuwaiq"/>
        <s v="K18 (Hot) - SA - RUH - Tuwaiq"/>
        <s v="K10 (Hot) - SA - RUH - Tuwaiq"/>
        <s v="K11 (Hot) - SA - RUH - Tuwaiq"/>
        <s v="K04 (Hot) - SA - RUH - Tuwaiq"/>
        <s v="K07 (Hot) - SA - RUH - Tuwaiq"/>
        <s v="K17 (Cold) - SA - RUH - Tuwaiq"/>
        <s v="K03 (Hot) - SA - RUH - Tuwaiq"/>
        <s v="K06 (Hot) - SA - RUH - Tuwaiq"/>
        <s v="K01 (Cold) - SA - RUH - Tuwaiq"/>
        <s v="K09 (Cold) - SA - RUH - Tuwaiq"/>
        <s v="K13 (Hot) - SA - RUH - Tuwaiq"/>
        <s v="K12 (Hot) - SA - RUH - Tuwaiq"/>
        <s v="K01 (Hot) - KSA - AHS - Hofuf"/>
        <s v="K03 (Hot) - SA - RUH - Khaleej"/>
        <s v="K16 (Hot) - SA - RUH - Malga 2"/>
        <s v="K19 (Hot) - SA - DMM - Rawda"/>
        <s v="K22 (Hot) - SA - RUH - Dahrat Laban"/>
        <s v="K02 (Cold) - SA - RUH - Olaya"/>
        <s v="K18 (Hot) - SA - RUH - Olaya"/>
        <s v="K12 (Hot) - SA - RUH - Narjis"/>
        <s v="K12 (Hot) - SA - RUH - Yasmin"/>
        <s v="K21 (Cold) - SA - RUH - Salam"/>
        <s v="K12 (Hot) - SA - RUH - Salam"/>
        <s v="K09 (Hot) SA - RUH - Qurtoba"/>
        <s v="K22 (Cold) - SA - RUH - Malga 1"/>
        <s v="K06 (Cold) SA - RUH - Qurtoba"/>
        <s v="K02 (Cold) - SA - RUH - Narjis"/>
        <s v="K26 (Hot) - SA - RUH - Wadi"/>
        <s v="K07 (Hot) - SA - RUH - Yasmin"/>
        <s v="K20 (Cold) - SA - RUH - Salam"/>
        <s v="K14 (Hot) - SA - RUH - Salam"/>
        <s v="K13 (Hot) - SA - RUH - Salam"/>
        <s v="K15 (Cold) - SA - RUH - Salam"/>
        <s v="K17 (Hot) - SA - RUH - Salam"/>
        <s v="K18 (Hot) - SA - RUH - Salam"/>
        <s v="K19 (Hot) - SA - RUH - Salam"/>
        <s v="K12 (Hot) - SA - RUH - Sweidi"/>
        <s v="K06 (Hot) - SA - RUH - King Fahd"/>
        <s v="K20 (Hot) - SA - RUH - Yasmin"/>
        <s v="K13 (Hot) - SA - RUH - Sweidi"/>
        <s v="K22 (Hot) - SA - RUH - Khaleej"/>
        <s v="K03 (Hot) SA - RUH - Qurtoba"/>
        <s v="K12 (Hot) - SA - RUH - Malga 2"/>
        <s v="K19 (Hot) - SA - RUH - Narjis"/>
        <s v="K14 (Hot) - SA - RUH - Malga 2"/>
        <s v="K13 (Hot) - SA - RUH - Yasmin"/>
        <s v="K01 (Hot) - SA - RUH - Khaleej"/>
        <s v="K21 (Hot) - SA - RUH - King Fahd"/>
        <s v="K13 (Hot) - SA - RUH - Arid (2)"/>
        <s v="K04 (Hot) - SA - RUH - Khaleej"/>
        <s v="K01 (Hot) - BH - MAN - UAH"/>
        <s v="K21 (Cold) - SA - RUH - Malga 2"/>
        <s v="K05 (Hot) - SA - RUH - Narjis"/>
        <s v="K27 (Hot) - SA - RUH - Narjis"/>
        <s v="K26 (Hot) - SA - RUH - Narjis"/>
        <s v="K20 (Hot) - SA - RUH - Narjis"/>
        <s v="K21 (Hot) - SA - RUH - Narjis"/>
        <s v="K22 (Hot) - SA - RUH - Narjis"/>
        <s v="K23 (Hot) - SA - RUH - Narjis"/>
        <s v="K25 (Hot) - SA - RUH - Narjis"/>
        <s v="K24 (Hot) - SA - RUH - Narjis"/>
        <s v="K14 (Hot) - SA - RUH - Sulimaniyah"/>
        <s v="K16 (Hot) - SA - RUH - Sulimaniyah"/>
        <s v="K17 (Hot) - SA - RUH - Sulimaniyah"/>
        <s v="K19 (Hot) - SA - RUH - Sulimaniyah"/>
        <s v="K02 (Hot) SA - RUH - Qurtoba"/>
        <s v="K12 (Hot) - SA - RUH - Wadi"/>
        <s v="K01 (Cold) - SA - RUH - Dahrat Laban"/>
        <s v="K30 (Cold) - SA - RUH - Khaleej"/>
        <s v="K24 (Hot) - SA - RUH - Salam"/>
        <s v="K13 (Hot) - SA - RUH - Sulimaniyah"/>
        <s v="K14 (Hot) - SA - RUH - Yasmin"/>
        <s v="K10 (Cold) - SA - RUH - Sulimaniyah"/>
        <s v="K03 (Hot) - BH - MAN - UAH"/>
        <s v="K15 (Hot) - SA - RUH - Sulimaniyah"/>
        <s v="K04 (Cold) - SA - RUH - Olaya"/>
        <s v="K12 (Hot) - SA - RUH - Sulimaniyah"/>
        <s v="K11 (Cold) - SA - RUH - Sulimaniyah"/>
        <s v="K06 (Cold) - SA - RUH - Malga 2"/>
        <s v="K13 (Hot) - SA - RUH - Narjis"/>
        <s v="K03 (Cold) - SA - RUH - Dahrat Laban"/>
        <s v="K11 (Cold) - SA - RUH - Salam"/>
        <s v="K03 (Hot) - SA - RUH - Malga 2"/>
        <s v="K24 (CPU) - SA - RUH - Jarir"/>
        <s v="K26 (CPU) - SA - RUH - Sulimaniyah"/>
        <s v="K08 (Hot) - SA - RUH - Sulimaniyah"/>
        <s v="K06 (Hot) - SA - RUH - Narjis"/>
        <s v="K03 (Hot) - SA - RUH - Wadi"/>
        <s v="K07 (Hot) - SA - RUH - Aqiq"/>
        <s v="K04 (Hot) - SA - RUH - Narjis"/>
        <s v="K01 (Hot) - SA - DMM - Zuhur"/>
        <s v="K02 (Cold) - SA - RUH - Yasmin"/>
        <s v="K03 (Hot) - BAH - MAN-Issa Town"/>
        <s v="K16 (Hot) - BAH - MAN-Issa Town"/>
        <s v="K05 (Hot) - BAH - MAN-Issa Town"/>
        <s v="K14 (Hot) - BAH - MAN-Issa Town"/>
        <s v="K13 (Hot) - BAH - MAN-Issa Town"/>
        <s v="K04 (Hot) - BAH - MAN-Issa Town"/>
        <s v="K15 (Hot) - BAH - MAN-Issa Town"/>
        <s v="K12 (Hot) - BAH - MAN-Issa Town"/>
        <s v="K11 (Hot) - BAH - MAN-Issa Town"/>
        <s v="K15 (Hot) - SA - RUH - King Faisal"/>
        <s v="K09 (Cold) - SA - RUH - Wadi"/>
        <s v="K29 (Hot) - SA - RUH - Malga 2"/>
        <s v="K24 (Cold) - SA - KBR - Aqrabiya"/>
        <s v="K18 (CPU) - SA - RUH - QSM"/>
        <s v="K28 (Hot) - SA - RUH - Khaleej"/>
        <s v="K10 (Cold) - SA - RUH - Wadi"/>
        <s v="K22 (Hot) - SA - KBR - Aqrabiya"/>
        <s v="K17 (Hot) - SA - RUH - Narjis"/>
        <s v="K22 (Hot) - SA - RUH - Malga 2"/>
        <s v="K18 (Cold) - SA - RUH - Sulimaniyah"/>
        <s v="K08 (Cold) - SA - RUH - Wadi"/>
        <s v="K11 (Hot) - BH - MAN - UAH"/>
        <s v="K14 (Hot) - BH - MAN - UAH"/>
        <s v="K02 (Hot) - SA - RUH - Olaya"/>
        <s v="K11 (Cold) - SA - RUH - Wadi"/>
        <s v="K01 (Hot) SA - RUH - Qurtoba"/>
        <s v="K11 (Cold) - SA - RUH - King Fahd"/>
        <s v="K07 (Cold) - SA - RUH - Wadi"/>
        <s v="K20 (Cold) - SA - RUH - Aqiq"/>
        <s v="K17 (Hot) SA - RUH - Qurtoba"/>
        <s v="K06 (Hot) - SA - RUH - QSM"/>
        <s v="K01 (Cold) - SA - RUH - Sweidi"/>
        <s v="K04 (Cold) - SA - DMM - Zuhur"/>
        <s v="K05 (Hot) - SA - DMM - Zuhur"/>
        <s v="K09 (Hot) - SA - DMM - Zuhur"/>
        <s v="K08 (Cold) - SA - DMM - Zuhur"/>
        <s v="K07 (Hot) - SA - DMM - Zuhur"/>
        <s v="K06 (Hot) - SA - DMM - Zuhur"/>
        <s v="K10 (Hot) - SA - DMM - Zuhur"/>
        <s v="K11 (Hot) - SA - DMM - Zuhur"/>
        <s v="K12 (Hot) - SA - DMM - Zuhur"/>
        <s v="K25 (CPU) - SA - DMM - Zuhur"/>
        <s v="K05 (Cold) - SA - RUH - Dahrat Laban"/>
        <s v="K05 (Hot) - SA - RUH - Khaleej"/>
        <s v="K19 (Hot) - SA - RUH - King Fahd"/>
        <s v="K04 (Hot) - SA - RUH - Olaya"/>
        <s v="K26 (Hot) SA - RUH - Qurtoba"/>
        <s v="K18 (Hot) - SA - RUH - Narjis"/>
        <s v="K28 (CPU) - SA - Narjis"/>
        <s v="K09 (Hot) - SA - RUH - Sulimaniyah"/>
        <s v="K21 (Hot) - SA - RUH - Sulimaniyah"/>
        <s v="K32 (Hot) SA - RUH - Qurtoba"/>
        <s v="K28 (Hot) SA - RUH - Qurtoba"/>
        <s v="K29 (Hot) SA - RUH - Qurtoba"/>
        <s v="K33 (Hot) SA - RUH - Qurtoba"/>
        <s v="K37 (Hot) SA - RUH - Qurtoba"/>
        <s v="K41 (Hot) SA - RUH - Qurtoba"/>
        <s v="K34 (Hot) SA - RUH - Qurtoba"/>
        <s v="K35 (Hot) SA - RUH - Qurtoba"/>
        <s v="K36 (Hot) SA - RUH - Qurtoba"/>
        <s v="K39 (Hot) SA - RUH - Qurtoba"/>
        <s v="K40 (Hot) SA - RUH - Qurtoba"/>
        <s v="K24 (Hot) - SA - RUH - King Fahd"/>
        <s v="K43 (Hot) SA - RUH - Qurtoba"/>
        <s v="K38 (Hot) - SA - RUH - Wadi"/>
        <s v="K04 (Hot) - SA - RUH - Yasmin"/>
        <s v="K31 (Hot) SA - RUH - Qurtoba"/>
        <s v="K42 (Hot) SA - RUH - Qurtoba"/>
        <s v="K30 (Hot) SA - RUH - Qurtoba"/>
        <s v="K45 (CPU) SA - RUH - Qurtoba"/>
        <s v="K07 (Cold) SA - RUH - Qurtoba"/>
        <s v="K44 (Hot) SA - RUH - Qurtoba"/>
        <s v="K21 (Hot) SA - RUH - Qurtoba"/>
        <s v="K01 (Hot) - SA - RUH - King Faisal"/>
        <s v="K27 (Hot) SA - RUH - Qurtoba"/>
        <s v="K38 (Hot) SA - RUH - Qurtoba"/>
        <s v="K09 (Cold) - SA - RUH - Jarir"/>
        <s v="K14 (Hot) - SA - RUH - Wadi"/>
        <s v="K16 (Hot) - SA - DMM - Rawda"/>
        <s v="K17 (Hot) - SA - RUH - Wadi"/>
        <s v="K03 (Cold) - SA - RUH - Wadi"/>
        <s v="K12 (Cold) - SA - RUH - Wadi"/>
        <s v="K12 (Hot) - SA - RUH - Dahrat Laban"/>
        <s v="K15 (Hot) - BH - MAN - UAH"/>
        <s v="K02 (Cold) - SA - RUH - Wadi"/>
        <s v="K16 (Cold) - SA - RUH - Yasmin"/>
        <s v="K03 (Cold) SA - RUH - Qurtoba"/>
        <s v="K15 (Hot) - SA - RUH - Narjis"/>
        <s v="K27 (Cold) - SA - RUH - Malga 2"/>
        <s v="K02 (Hot) - SA - RUH - King Fahd"/>
        <s v="K15 (Hot) - SA - RUH - Wadi"/>
        <s v="K23 (Cold) - SA - RUH - Malga 1"/>
        <s v="K26 (Cold) - SA - KBR - Aqrabiya"/>
        <s v="K09 (Cold)- KSA - AHS- Hofuf"/>
        <s v="K05 (Cold) - SA - RUH - Wadi"/>
        <s v="K06 (Cold) - SA - RUH - Sweidi"/>
        <s v="K11 (Hot)- KSA - AHS- Hofuf"/>
        <s v="K01 (Hot) - SA - RUH - Jarir"/>
        <s v="K14 (Hot) - SA - RUH - King Faisal"/>
        <s v="K01 (Hot) - SA - RUH - SWD2"/>
        <s v="K13 (Hot) - SA - RUH - Khaleej"/>
        <s v="K25 (Hot) - SA - RUH - Dahrat Laban"/>
        <s v="K29 (Hot) - SA - RUH - Dahrat Laban"/>
        <s v="K06 (Cold) - SA - RUH - Salam"/>
        <s v="K07 (Hot) - SA - DMM - Rawda"/>
        <s v="K05 (Hot) - SA - KBR - Aqrabiya"/>
        <s v="K09 (Hot) - SA - RUH - Arid (2)"/>
        <s v="K10 (Cold) - SA - KBR - Aqrabiya"/>
        <s v="K03 (Hot) - SA - RUH - Sulimaniyah"/>
        <s v="K08 (Hot) - SA - RUH - Aqiq"/>
        <s v="K20 (Hot) - SA - RUH - Arid (2)"/>
        <s v="K07 (Hot) - SA - RUH - Arid (2)"/>
        <s v="K29 (Cold) - SA - RUH - Khaleej"/>
        <s v="K09 (Hot) - SA - RUH - Wadi"/>
        <s v="K20 (Cold) - SA - KBR - Aqrabiya"/>
        <s v="K02 (Hot) - SA - RUH - Sulimaniyah"/>
        <s v="K02 (Hot) - SA - RUH - Malga 2"/>
        <s v="K25 (Hot) - SA - RUH - Khaleej"/>
        <s v="K01 (Hot) - SA - RUH - Sweidi"/>
        <s v="K29 (Cold) - SA - RUH - King Fahd"/>
        <s v="K04 (Hot) - SA - RUH - King Faisal"/>
        <s v="K19 (Hot) - SA - RUH - Jarir"/>
        <s v="K19 (Hot) - SA - RUH - Arid (2)"/>
        <s v="K03 (Hot) - SA - KBR - Aqrabiya"/>
        <s v="K31 (Hot) - SA - RUH - Khaleej"/>
        <s v="K05 (Hot) SA - RUH - Qurtoba"/>
        <s v="K05 (Cold) - SA - RUH - Sweidi"/>
        <s v="K07 (Hot) - SA - RUH - Sulimaniyah"/>
        <s v="K08 (Hot) - SA - RUH - Yasmin"/>
        <s v="K07 (Hot) - SA - RUH - Olaya"/>
        <s v="K03 (Hot) - SA - RUH - Dahrat Laban"/>
        <s v="K16 (Hot) - SA - RUH - King Faisal"/>
        <s v="K06 (Hot) SA - RUH - Qurtoba"/>
        <s v="K04 (Hot) - SA - RUH - Salam"/>
        <s v="K22 (Hot) - SA - RUH - King Faisal"/>
        <s v="K03 (Cold) - SA - DMM - Zuhur"/>
        <s v="K13 (Hot) - SA - RUH - Dahrat Laban"/>
        <s v="K22 (Hot) - SA - DMM - Rawda"/>
        <s v="K05 (Hot) - SA - RUH - Yasmin"/>
        <s v="K11 (Cold) - SA - RUH - Khaleej"/>
        <s v="K09 (Cold) - SA - DMM - Rawda"/>
        <s v="K23 (Hot) - SA - DMM - Rawda"/>
        <s v="K04 (Cold) - SA - RUH - Dahrat Laban"/>
        <s v="K12 (Hot) - SA - RUH - King Faisal"/>
        <s v="K36 (Cold) - SA - RUH - Khaleej"/>
        <s v="K03 (Cold) - SA - RUH - Sweidi"/>
        <s v="K12 (Hot) - SA - RUH - Malga 1"/>
        <s v="K06 (Hot) - SA - RUH - SWD2"/>
        <s v="K02 (Hot) - SA - RUH - SWD2"/>
        <s v="K04 (Hot) - SA - RUH - SWD2"/>
        <s v="K09 (Hot) - SA - RUH - SWD2"/>
        <s v="K10 (Hot) - SA - RUH - SWD2"/>
        <s v="K11 (Hot) - SA - RUH - SWD2"/>
        <s v="K11 (Hot) - SA - RUH - Sweidi"/>
        <s v="K17 (Cold)- KSA - AHS- Hofuf"/>
        <s v="K26 (Cold) - SA - RUH - Malga 2"/>
        <s v="K07 (Hot) - SA - RUH - King Fahd"/>
        <s v="K03 (Hot) - SA - KBR - Rakah"/>
        <s v="K10 (Hot) - SA - RUH - Narjis"/>
        <s v="K10 (Cold) - SA - RUH - Khaleej"/>
        <s v="K23 (Hot) - SA - RUH - King Faisal"/>
        <s v="K09 (Hot) - SA - KBR - Aqrabiya"/>
        <s v="K21 (Hot) - SA - DMM - Zuhur"/>
        <s v="K03 (Hot) - SA - RUH - King Faisal"/>
        <s v="K24 (Cold) - SA - DMM - Rawda"/>
        <s v="K13 (Hot) - BH - MAN - UAH"/>
        <s v="K03 (Cold) - SA - RUH - Narjis"/>
        <s v="K22 (Hot) - SA - RUH - King Fahd"/>
        <s v="K08 (Hot) - SA - RUH - King Faisal"/>
        <s v="K20 (Hot) - SA - RUH - Dahrat Laban"/>
        <s v="K17 (Hot) - BH - MAN - UAH"/>
        <s v="K02 (Hot) - SA - RUH - King Faisal"/>
        <s v="K14 (Hot) - SA - RUH - Jarir"/>
        <s v="K15 (Hot) - SA - RUH - Jarir"/>
        <s v="K21 (Hot) - BH - MAN - UAH"/>
        <s v="K02 (Hot) - SA - RUH - Jarir"/>
        <s v="K08 (Hot) - SA - RUH - Sweidi"/>
        <s v="K01 (Hot) - SA - DMM - Ghirnatah 2"/>
        <s v="K09 (Hot) - SA - RUH - Olaya"/>
        <s v="K11 (Cold) - SA - RUH - Yasmin"/>
        <s v="K01 (Hot) - SA - RUH - Wadi"/>
        <s v="K17 (Hot) - SA - RUH - Khaleej"/>
        <s v="K19 (Hot) - SA - RUH - Dahrat Laban"/>
        <s v="K21 (Hot) - SA - RUH - Arid (2)"/>
        <s v="K19 (Hot) - BH - MAN - UAH"/>
        <s v="K02 (Hot) - SA - RUH - Dahrat Laban"/>
        <s v="K04 (Hot)- KSA - AHS- Hofuf"/>
        <s v="K11 (Hot) - SA - RUH - Arid (2)"/>
        <s v="K08 (Hot) - SA - RUH - Salam"/>
        <s v="K06 (Hot) - SA - RUH - Wadi"/>
        <s v="K25 (Cold) - SA - KBR - Aqrabiya"/>
        <s v="K24 (Hot) - SA - RUH - Sulimaniyah"/>
        <s v="K22 (Cold) - SA - RUH - Sulimaniyah"/>
        <s v="K23 (Hot) - SA - RUH - Sulimaniyah"/>
        <s v="K17 (Hot) - SA - RUH - Sweidi"/>
        <s v="K05 (Hot) - SA - RUH - Aqiq"/>
        <s v="K04 (Hot) - SA - RUH - Jarir"/>
        <s v="K23 (Hot) SA - RUH - Qurtoba"/>
        <s v="K05 (Hot) - SA - RUH - SWD2"/>
        <s v="K07 (Hot) - SA - RUH - SWD2"/>
        <s v="K12 (Hot) - SA - RUH - SWD2"/>
        <s v="K08 (Hot) - SA - RUH - SWD2"/>
        <s v="K13 (Hot) - SA - RUH - SWD2"/>
        <s v="K03 (Hot) - SA - RUH - SWD2"/>
        <s v="K25 (Cold) - SA - RUH - King Fahd"/>
        <s v="K08 (Hot) - SA - RUH - Malga 2"/>
        <s v="K18 (Hot) - SA - RUH - Malga 2"/>
        <s v="K06 (Hot) - SA - RUH - Aqiq"/>
        <s v="K11 (Hot) - SA - RUH - Malga 2"/>
        <s v="K13 (Hot) - SA - RUH - Wadi"/>
        <s v="K16 (Hot) - SA - RUH - Wadi"/>
        <s v="K17 (Hot) - SA - RUH - Malga 2"/>
        <s v="K18 (Hot) - SA - RUH - Khaleej"/>
        <s v="K06 (Hot) - SA - RUH - Sulimaniyah"/>
        <s v="K02 (Hot) - SA - RUH - Wadi"/>
        <s v="K08 (Cold) - SA - RUH - Khaleej"/>
        <s v="K14 (Hot) - SA - DMM - Rawda"/>
        <s v="K03 (Hot) - SA - DMM - Ghirnatah 2"/>
        <s v="K12 (Hot) - SA - DMM - Ghirnatah 2"/>
        <s v="K05 (Hot) - SA - DMM - Ghirnatah 2"/>
        <s v="K07 (Hot) - SA - DMM - Ghirnatah 2"/>
        <s v="K02 (Hot) - SA - DMM - Ghirnatah 2"/>
        <s v="K04 (Hot) - SA - DMM - Ghirnatah 2"/>
        <s v="K08 (Hot) - SA - DMM - Ghirnatah 2"/>
        <s v="K14 (Hot) - SA - DMM - Ghirnatah 2"/>
        <s v="K06 (Hot) - SA - DMM - Ghirnatah 2"/>
        <s v="K09 (Hot) - SA - DMM - Ghirnatah 2"/>
        <s v="K10 (Hot) - SA - DMM - Ghirnatah 2"/>
        <s v="K11 (Hot) - SA - DMM - Ghirnatah 2"/>
        <s v="K13 (Hot) - SA - DMM - Ghirnatah 2"/>
        <s v="K06 (Cold) - SA - RUH - Wadi"/>
        <s v="K14 (Hot)- KSA - AHS- Hofuf"/>
        <s v="K14 (Hot) - SA - RUH - Dahrat Laban"/>
        <s v="K06 (Hot) - SA - RUH - Jarir"/>
        <s v="K01 (Cold) - SA - RUH - Sulimaniyah"/>
        <s v="K24 (Hot) - BH - MAN - UAH"/>
        <s v="K22 (Hot) - BH - MAN - UAH"/>
        <s v="K23 (Hot) - BH - MAN - UAH"/>
        <s v="K25 (Hot) - BH - MAN - UAH"/>
        <s v="K02 (Hot) - BH - MAN - UAH"/>
        <s v="K28 (Hot) - SA - RUH - Dahrat Laban"/>
        <s v="K23 (Hot) - SA - RUH - Salam"/>
        <s v="K06 (Cold) - SA - RUH - Dahrat Laban"/>
        <s v="K01 (CPU) - SA - RUH - QSM"/>
        <s v="K03 (Hot)- KSA - AHS- Hofuf"/>
        <s v="K16 (Hot) - SA - RUH - Arid (2)"/>
        <s v="K15 (Hot) - SA - RUH - Aqiq"/>
        <s v="K32 (Cold) - SA - RUH - Khaleej"/>
        <s v="K27 (Hot) - BH - MAN - UAH"/>
        <s v="K29 (Hot) - BH - MAN - UAH"/>
        <s v="K37 (Hot) - SA - RUH - Wadi"/>
        <s v="K26 (Hot) - BH - MAN - UAH"/>
        <s v="K28 (Hot) - BH - MAN - UAH"/>
        <s v="K18 (Hot) - BH - MAN - UAH"/>
        <s v="K18 (Hot) - SA - RUH - Dahrat Laban"/>
        <s v="K06 (Hot) - SA - RUH - Wurud"/>
        <s v="K10 (Hot) - SA - RUH - Wurud"/>
        <s v="K17 (Hot) - SA - RUH - Olaya"/>
        <s v="K08 (Hot) - SA - RUH - King Fahd"/>
        <s v="K20 (Hot) - SA - DMM - Rawda"/>
        <s v="K10 (Hot)- KSA - AHS- Hofuf"/>
        <s v="K09 (Hot) - SA - RUH - Salam"/>
        <s v="K21 (Hot) - SA - DMM - Rawda"/>
        <s v="K22 (Hot) - SA - RUH - Wadi"/>
        <s v="K46 (Hot) SA - RUH - Qurtoba"/>
        <s v="K11 (Hot) - SA - RUH - Jarir"/>
        <s v="K08 (Hot) - SA - RUH - Wadi"/>
        <s v="K22 (Hot) - SA - RUH - Salam"/>
        <s v="K05 (Cold) - SA - RUH - Jarir"/>
        <s v="K01 (Hot) - BAH - MAN-Issa Town"/>
        <s v="K15 (Hot) - SA - DMM - Rawda"/>
        <s v="K01 (Cold) - SA - RUH - Wadi"/>
        <s v="K07 (Cold) - SA - RUH - Dahrat Laban"/>
        <s v="K10 (Cold) - SA - RUH - King Faisal"/>
        <s v="K09 (Hot) - SA - RUH - King Faisal"/>
        <s v="K11 (Hot - SA - RUH - King Faisal"/>
        <s v="K10 (Hot) - SA - RUH - Aqiq"/>
        <s v="K10 (Hot) - SA - RUH - Sweidi"/>
        <s v="K19 (Hot) - SA - RUH - Wadi"/>
        <s v="K26 (Hot) - SA - RUH - King Fahd"/>
        <s v="K09 (Hot) - SA - RUH - Sweidi"/>
        <s v="K09 (Cold) - SA - RUH - Khaleej"/>
        <s v="K20 (Cold) - SA - RUH - Malga 1"/>
        <s v="K05 (Cold) - SA - RUH - Salam"/>
        <s v="K07 (Hot) - SA - RUH - King Faisal"/>
        <s v="K04 (Hot) - SA - RUH - Sweidi"/>
        <s v="K15 (Hot) - SA - RUH - Sweidi"/>
        <s v="K03 (Hot) - SA - RUH - King Fahd"/>
        <s v="K13 (Hot) - SA - RUH - King Fahd"/>
        <s v="K09 (Hot) - SA - RUH - QSM"/>
        <s v="K02 (Hot) - SA - RUH - Arid (2)"/>
        <s v="K01 (Hot) - SA - KBR - Rakah"/>
        <s v="K02 (Cold) - SA - RUH - Dahrat Laban"/>
        <s v="K11 (Hot) - SA - KBR - Aqrabiya"/>
        <s v="K07 (Hot) - SA - KBR - Rakah"/>
        <s v="K11 (Hot) - SA - RUH - Wadi"/>
        <s v="K10 (Hot) - SA - RUH - Jarir"/>
        <s v="K18 (Hot) - SA - RUH - King Faisal"/>
        <s v="K21 (Hot) - SA - RUH - King Faisal"/>
        <s v="K17 (Hot) - SA - RUH - King Faisal"/>
        <s v="K20 (Hot) - SA - RUH - King Faisal"/>
        <s v="K19 (Hot) - SA - RUH - King Faisal"/>
        <s v="K04 (Cold) - SA - RUH - Wadi"/>
        <s v="K17 (Hot) - SA - DMM - Rawda"/>
        <s v="K23 (Hot) - SA - RUH - Khaleej"/>
        <s v="K14 (Hot) - SA - RUH - Aqiq"/>
        <s v="K01 (Hot) - SA - DMM - Rawda"/>
        <s v="K02 (Hot) - SA - DMM - Zuhur"/>
        <s v="K13 (Hot) - SA - DMM - Rawda"/>
        <s v="K04 (Hot) - SA - DMM - Rawda"/>
        <s v="K17 (Hot) - SA - RUH - Jarir"/>
        <s v="K20 (Hot) - SA - RUH - Jarir"/>
        <s v="K22 (Hot) - SA - RUH - Jarir"/>
        <s v="K21 (Hot) - SA - RUH - Jarir"/>
        <s v="K11 (Hot) - SA - DMM - Rawda"/>
        <s v="K13 (Cold) - SA - DMM - Zuhur"/>
        <s v="K12 (Hot) SA - RUH - Qurtoba"/>
        <s v="K04 (Hot) - SA - RUH - Dahrat Laban"/>
        <s v="K18 (Hot) - SA - RUH - Arid (2)"/>
        <s v="K05 (Hot) - SA - RUH - King Faisal"/>
        <s v="K17 (Hot) - SA - RUH - QSM"/>
        <s v="K05 (Hot) - SA - RUH - Malga 2"/>
        <s v="K03 (Hot) - SA - RUH - Jarir"/>
        <s v="K01 (Hot) - SA - RUH - Arid (2)"/>
        <s v="K36 (Cold) - BH - MAN - UAH"/>
        <s v="K01 (Cold) - SA - RUH - Wurud"/>
        <s v="K04 (Hot) - SA - RUH - King Fahd"/>
        <s v="K23 (Hot) - SA - RUH - Dahrat Laban"/>
        <s v="K25 (Hot) SA - RUH - Qurtoba"/>
        <s v="K02 (Hot) - SA - KBR - Rakah"/>
        <s v="K12 (Hot) - SA - KBR - Rakah"/>
        <s v="K13 (Hot) - SA - KBR - Rakah"/>
        <s v="K03 (Hot) - SA - RUH - Salam"/>
        <s v="K16 (Hot) - SA - RUH - Wurud"/>
        <s v="K05 (Hot) - SA - RUH - Aqiq 2"/>
        <s v="K05 (Hot) - SA - RUH - Wadi"/>
        <s v="K04 (Hot) - SA - RUH - Malga 2"/>
        <s v="K10 (Hot) - SA - KBR - Rakah"/>
        <s v="K34 (Cold) - SA - RUH - Khaleej"/>
        <s v="K18 (Hot) - SA - RUH - Jarir"/>
        <s v="K15 (Hot) - SA - KBR - Rakah"/>
        <s v="K14 (Hot) - SA - KBR - Rakah"/>
        <s v="K37 (Cold) - BH - MAN - UAH"/>
        <s v="K16 (Hot) - SA - KBR - Rakah"/>
        <s v="K17 (Hot) - SA - KBR - Rakah"/>
        <s v="K12 (Hot) - SA - RUH - Jarir"/>
        <s v="K09 (Hot) - SA - RUH - Narjis"/>
        <s v="K01 (Hot) - SA - RUH - King Fahd"/>
        <s v="K23 (Hot) - SA - RUH - King Fahd"/>
        <s v="K06 (Hot) - SA - RUH - Olaya"/>
        <s v="K05 (Hot) - SA - RUH - Olaya"/>
        <s v="K12 (Hot) - SA - RUH - Olaya"/>
        <s v="K17 (Hot) - SA - RUH - Dahrat Laban"/>
        <s v="K10 (Hot) - SA - RUH - Olaya"/>
        <s v="K01 (Hot) - SA - RUH - Aqiq 2"/>
        <s v="K01 (Hot) - SA - RUH - Olaya"/>
        <s v="K15 (Hot) - SA - RUH - Olaya"/>
        <s v="K05 (Hot) - SA - RUH - Dahrat Laban"/>
        <s v="K03 (Cold) - SA - RUH - Olaya"/>
        <s v="K08 (Cold) - SA - RUH - Dahrat Laban"/>
        <s v="K14 (Hot) - SA - RUH - Olaya"/>
        <s v="K01 (Cold) - SA - RUH - Olaya"/>
        <s v="K06 (Hot) - SA - RUH - Sweidi"/>
        <s v="K13 (Hot) - SA - RUH - Olaya"/>
        <s v="K21 (Hot) - SA - RUH - Wadi"/>
        <s v="K20 (Hot) - SA - RUH - Wadi"/>
        <s v="K10 (Hot) - SA - RUH - Wadi"/>
        <s v="K42 (Hot) - SA - RUH - Wadi"/>
        <s v="K41 (Hot) - SA - RUH - Wadi"/>
        <s v="K33 (Hot) - SA - RUH - Wadi"/>
        <s v="K32 (Hot) - SA - RUH - Wadi"/>
        <s v="K29 (Hot) - SA - RUH - Wadi"/>
        <s v="K40 (Hot) - SA - RUH - Wadi"/>
        <s v="K04 (Hot) SA - RUH - Qurtoba"/>
        <s v="K36 (Hot) - SA - RUH - Wadi"/>
        <s v="K46 (Hot) - SA - RUH - Wadi"/>
        <s v="K44 (Hot) - SA - RUH - Wadi"/>
        <s v="K35 (Hot) - SA - RUH - Wadi"/>
        <s v="K34 (Hot) - SA - RUH - Wadi"/>
        <s v="K13 (Hot) SA - RUH - Qurtoba"/>
        <s v="K20 (Hot) SA - RUH - Qurtoba"/>
        <s v="K06 (Hot) - SA - RUH - Dahrat Laban"/>
        <s v="K21 (Hot) - SA - RUH - Dahrat Laban"/>
        <s v="K10 (Hot) - SA - RUH - Dahrat Laban"/>
        <s v="K16 (Hot) - SA - RUH - Sweidi"/>
        <s v="K27 (Hot) - SA - RUH - Dahrat Laban"/>
        <s v="K26 (Hot) - SA - RUH - Dahrat Laban"/>
        <s v="K24 (Hot) - SA - RUH - Dahrat Laban"/>
        <s v="K12 (Hot)- KSA - AHS- Hofuf"/>
        <s v="K13 (Hot)- KSA - AHS- Hofuf"/>
        <s v="K15 (Hot)- KSA - AHS- Hofuf"/>
        <s v="K16 (Hot)- KSA - AHS- Hofuf"/>
        <s v="K18 (Hot)- KSA - AHS- Hofuf"/>
        <s v="K02 (Hot)- KSA - AHS- Hofuf"/>
        <s v="K06 (Hot) - SA - RUH - Aqiq 2"/>
        <s v="K04 (Hot) - SA - RUH - Aqiq 2"/>
        <s v="K07 (Hot) - SA - RUH - Aqiq 2"/>
        <s v="K13 (Hot) - SA - RUH - Aqiq 2"/>
        <s v="K12 (Hot) - SA - RUH - Aqiq 2"/>
        <s v="K20 (CPU) - KSA - AHS- Hofuf"/>
        <s v="K09 (Hot) - SA - RUH - Aqiq 2"/>
        <s v="K11 (Hot) - SA - RUH - Aqiq 2"/>
        <s v="K10 (Hot) - SA - RUH - Aqiq 2"/>
        <s v="K08 (Hot) - SA - RUH - Aqiq 2"/>
        <s v="K16 (Hot) - BH - MAN - UAH"/>
        <s v="K12 (Hot) - BH - MAN - UAH"/>
        <s v="K02 (Hot) - SA - RUH - Aqiq 2"/>
        <s v="K03 (Hot) - SA - RUH - Aqiq 2"/>
        <s v="K15 (Hot) - SA - DMM - Zuhur"/>
        <s v="K19 (Hot) - SA - DMM - Zuhur"/>
        <s v="K24 (Hot) - SA - DMM - Zuhur"/>
        <s v="K11 (Hot) - SA - KBR - Rakah"/>
        <s v="K18 (Hot) - SA - DMM - Zuhur"/>
        <s v="K17 (Hot) - SA - DMM - Zuhur"/>
        <s v="K16 (Hot) - SA - DMM - Zuhur"/>
        <s v="K09 (Hot) - SA - KBR - Rakah"/>
        <s v="K08 (Hot) - SA - KBR - Rakah"/>
        <s v="K06 (Hot) - SA - KBR - Rakah"/>
        <s v="K04 (Hot) - SA - KBR - Rakah"/>
        <s v="K05 (Hot) - SA - KBR - Rakah"/>
        <s v="K33 (Cold) - SA - RUH - Khaleej"/>
        <s v="K18 (Hot) - SA - DMM - Jamiah (2)"/>
        <s v="K19 (Hot) - SA - DMM - Jamiah (2)"/>
        <s v="K24 (Hot) - SA - RUH - Khaleej"/>
        <s v="K08 (Hot) - SA - DMM - Jamiah (2)"/>
        <s v="K09 (Hot) - SA - DMM - Jamiah (2)"/>
        <s v="K08 (Cold) SA - RUH - Qurtoba"/>
        <s v="K06 (Hot) - SA - DMM - Jamiah (2)"/>
        <s v="K07 (Hot) - SA - DMM - Jamiah (2)"/>
        <s v="K04 (Hot) - SA - DMM - Jamiah (2)"/>
        <s v="K05 (Hot) - SA - DMM - Jamiah (2)"/>
        <s v="K02 (Hot) - SA - DMM - Jamiah (2)"/>
        <s v="K03 (Hot) - SA - DMM - Jamiah (2)"/>
        <s v="K16 (Hot) - SA - DMM - Jamiah (2)"/>
        <s v="K17 (Hot) - SA - DMM - Jamiah (2)"/>
        <s v="K14 (Hot) - SA - DMM - Jamiah (2)"/>
        <s v="K15 (Hot) - SA - DMM - Jamiah (2)"/>
        <s v="K12 (Hot) - SA - DMM - Jamiah (2)"/>
        <s v="K13 (Hot) - SA - DMM - Jamiah (2)"/>
        <s v="K10 (Hot) - SA - DMM - Jamiah (2)"/>
        <s v="K11 (Hot) - SA - DMM - Jamiah (2)"/>
        <s v="K01 (Hot) - SA - DMM - Jamiah (2)"/>
        <s v="K02 (Hot) - SA - RUH - Khaleej"/>
        <s v="K17 (CPU) - SA - RUH - Al Nazim"/>
        <s v="K13 (CPU) - SA - RUH - Al Nazim"/>
        <s v="K14 (CPU) - SA - RUH - Al Nazim"/>
        <s v="K16 (CPU) - SA - RUH - Al Nazim"/>
        <s v="K09 (CPU) - SA - RUH - Al Nazim"/>
        <s v="K11 (CPU) - SA - RUH - Al Nazim"/>
        <s v="K05 (CPU) - SA - RUH - Al Nazim"/>
        <s v="K06 (CPU) - SA - RUH - Al Nazim"/>
        <s v="K07 (CPU) - SA - RUH - Al Nazim"/>
        <s v="K02 (CPU) - SA - RUH - Al Nazim"/>
        <s v="K04 (CPU) - SA - RUH - Al Nazim"/>
        <s v="K01 (CPU) - SA - RUH - Al Nazim"/>
        <s v="K14 (Hot) - SA - RUH - Narjis"/>
        <s v="K11 (Cold) - SA - RUH - Narjis"/>
        <s v="K07 (Cold) - SA - RUH - Narjis"/>
        <s v="K16 (Hot) - SA - RUH - Narjis"/>
        <s v="K18 (Hot) - SA - KBR - Aqrabiya"/>
        <s v="K19 (Hot) - SA - KBR - Aqrabiya"/>
        <s v="K21 (Hot) - SA - KBR - Aqrabiya"/>
        <s v="K12 (Hot) - SA - KBR - Aqrabiya"/>
        <s v="K14 (Hot) - SA - KBR - Aqrabiya"/>
        <s v="K13 (Hot) - SA - KBR - Aqrabiya"/>
        <s v="K07 (Hot) - SA - KBR - Aqrabiya"/>
        <s v="K08 (Hot) - SA - KBR - Aqrabiya"/>
        <s v="K02 (Hot) - SA - KBR - Aqrabiya"/>
        <s v="K04 (Hot) - SA - KBR - Aqrabiya"/>
        <s v="K07 (Hot) - SA - RUH - Salam"/>
        <s v="K01 (Hot) - SA - RUH - Salam"/>
        <s v="K10 (Hot) - SA - RUH - Salam"/>
        <s v="K19 (Hot) SA - RUH - Qurtoba"/>
        <s v="K24 (Hot) SA - RUH - Qurtoba"/>
        <s v="K14 (Hot) SA - RUH - Qurtoba"/>
        <s v="K05 (Cold) SA - RUH - Qurtoba"/>
        <s v="K06 (Hot) - SA - RUH - Arid (2)"/>
        <s v="K06 (Hot) - SA - RUH - Yasmin"/>
        <s v="K32 (Cold) - BH - MAN - UAH"/>
        <s v="K31 (Cold) - BH - MAN - UAH"/>
        <s v="K35 (Cold) - BH - MAN - UAH"/>
        <s v="K34 (Cold) - BH - MAN - UAH"/>
        <s v="K12 (CPU) - SA - RUH - Al Nazim"/>
        <s v="K08 (CPU) - SA - RUH - Al Nazim"/>
        <s v="K03 (CPU) - SA - RUH - Al Nazim"/>
        <s v="K15 (CPU) - SA - RUH - Al Nazim"/>
        <s v="K10 (CPU) - SA - RUH - Al Nazim"/>
        <s v="K14 (Hot) - SA - RUH - Malga 1"/>
        <s v="K13 (Cold) - SA - RUH - Malga 1"/>
        <s v="K15 (Hot) - SA - RUH - Malga 1"/>
        <s v="K03 (Hot) - SA - DMM - Rawda"/>
        <s v="K20 (CPU) - SA - RUH - Al Nazim"/>
        <s v="K19 (CPU) - SA - RUH - Al Nazim"/>
        <s v="K21 (CPU) - SA - RUH - Al Nazim"/>
        <s v="K22 (CPU) - SA - RUH - Al Nazim"/>
        <s v="K18 (CPU) - SA - RUH - Al Nazim"/>
        <s v="K08 (Hot) - SA - RUH - Wurud"/>
        <s v="K09 (Hot) - SA - RUH - Wurud"/>
        <s v="K15 (Hot) - SA - RUH - Wurud"/>
        <s v="K13 (Hot) - SA - RUH - Wurud"/>
        <s v="K14 (Hot) - SA - RUH - Wurud"/>
        <s v="K11 (Hot) - SA - RUH - Wurud"/>
        <s v="K12 (Hot) - SA - RUH - Wurud"/>
        <s v="K19 (Hot) - SA - RUH - Wurud"/>
        <s v="K20 (Hot) - SA - RUH - Wurud"/>
        <s v="K17 (Hot) - SA - RUH - Wurud"/>
        <s v="K18 (Hot) - SA - RUH - Wurud"/>
        <s v="K07 (Hot) - SA - RUH - Wurud"/>
        <s v="K04 (Hot) - SA - RUH - Wurud"/>
        <s v="K05 (Hot) - SA - RUH - Wurud"/>
        <s v="K02 (Cold) - SA - RUH - Wurud"/>
        <s v="K03 (Hot) - SA - RUH - Wurud"/>
        <s v="K13 (Hot) - SA - RUH - King Faisal"/>
        <s v="K06 (Hot) - SA - RUH - King Faisal"/>
        <s v="K22 (Hot) - SA - RUH - Wurud"/>
        <s v="K21 (Hot) - SA - RUH - Wurud"/>
        <s v="K12 (Hot) - SA - RUH - King Fahd"/>
        <s v="K20 (Hot) - SA - RUH - King Fahd"/>
        <s v="K14 (Hot) - SA - RUH - King Fahd"/>
        <s v="K28 (Hot) - SA - RUH - Malga 2"/>
        <s v="K15 (Hot) - SA - RUH - King Fahd"/>
        <s v="K16 (Hot) - SA - RUH - King Fahd"/>
        <s v="K10 (Hot) - SA - RUH - King Fahd"/>
        <s v="K01 (Hot) - SA - RUH - Aqiq"/>
        <s v="K04 (Hot) - SA - RUH - Aqiq"/>
        <s v="K12 (Hot) - SA - RUH - Aqiq"/>
        <s v="K10 (Hot) - SA - RUH - QSM"/>
        <s v="K05 (Hot) - SA - RUH - QSM"/>
        <s v="K04 (Cold) - SA - RUH - QSM"/>
        <s v="K07 (Hot) - SA - RUH - Jarir"/>
        <s v="K08 (Hot) - SA - RUH - Jarir"/>
        <s v="K10 (Hot) - SA - RUH - Arid (2)"/>
        <s v="K15 (Hot) - SA - RUH - Arid (2)"/>
        <s v="K08 (Hot) - SA - RUH - Arid (2)"/>
        <s v="K14 (Hot) - SA - RUH - Arid (2)"/>
        <s v="K12 (Hot) - SA - RUH - Arid (2)"/>
        <s v="K16 (Hot) - SA - RUH - QSM"/>
        <s v="K14 (Hot) - SA - RUH - QSM"/>
        <s v="K11 (Hot) - SA - RUH - QSM"/>
        <s v="K08 (Hot) - SA - RUH - QSM"/>
        <s v="K15 (Hot) - SA - RUH - QSM"/>
        <s v="K07 (Hot) - SA - RUH - QSM"/>
        <s v="K03 (CPU) - SA - RUH - QSM"/>
        <m/>
      </sharedItems>
    </cacheField>
    <cacheField name="Status" numFmtId="0">
      <sharedItems containsBlank="1">
        <m/>
        <s v="Churning"/>
        <s v="Occupied"/>
        <s v="Sold"/>
        <s v="Vacant"/>
        <s v="Blocked"/>
      </sharedItems>
    </cacheField>
    <cacheField name="Kitchen Size (Sq. Meters)" numFmtId="0">
      <sharedItems containsString="0" containsBlank="1" containsNumber="1">
        <m/>
        <n v="10.62"/>
        <n v="9.12"/>
        <n v="15.03"/>
        <n v="15.04"/>
        <n v="17.06"/>
        <n v="15.15"/>
        <n v="19.04"/>
        <n v="19.15"/>
        <n v="11.9"/>
        <n v="16.9"/>
        <n v="16.0"/>
        <n v="11.3"/>
        <n v="21.06"/>
        <n v="14.78"/>
        <n v="11.97"/>
        <n v="18.1"/>
        <n v="20.8"/>
        <n v="14.54"/>
        <n v="24.71"/>
        <n v="19.55"/>
        <n v="15.43"/>
        <n v="15.67"/>
        <n v="18.31"/>
        <n v="22.0"/>
        <n v="17.0"/>
        <n v="11.0"/>
        <n v="14.04"/>
        <n v="12.04"/>
        <n v="18.84"/>
        <n v="10.4"/>
        <n v="10.6"/>
        <n v="15.44"/>
        <n v="22.69"/>
        <n v="10.13"/>
        <n v="18.46"/>
        <n v="18.15"/>
        <n v="16.38"/>
        <n v="15.6"/>
        <n v="10.22"/>
        <n v="11.75"/>
        <n v="18.68"/>
        <n v="13.5"/>
        <n v="14.0"/>
        <n v="22.2"/>
        <n v="9.0"/>
        <n v="10.3"/>
        <n v="9.3"/>
        <n v="16.2"/>
        <n v="16.4"/>
        <n v="18.64"/>
        <n v="21.9"/>
        <n v="28.95"/>
        <n v="10.44"/>
        <n v="20.03"/>
        <n v="17.44"/>
        <n v="10.09"/>
        <n v="13.04"/>
        <n v="19.46"/>
        <n v="8.66"/>
        <n v="17.19"/>
        <n v="9.63"/>
        <n v="22.9"/>
        <n v="20.7"/>
        <n v="15.0"/>
        <n v="19.6"/>
        <n v="62.84"/>
        <n v="17.6"/>
        <n v="23.57"/>
        <n v="22.54"/>
        <n v="22.59"/>
        <n v="18.81"/>
        <n v="19.3"/>
        <n v="9.22"/>
        <n v="17.2"/>
        <n v="9.95"/>
        <n v="23.06"/>
        <n v="10.55"/>
        <n v="18.24"/>
        <n v="45.97"/>
        <n v="14.49"/>
        <n v="14.15"/>
        <n v="29.9"/>
        <n v="8.38"/>
        <n v="13.8"/>
        <n v="20.6"/>
        <n v="16.7"/>
        <n v="8.54"/>
        <n v="19.29"/>
        <n v="60.1"/>
        <n v="8.63"/>
        <n v="16.5"/>
        <n v="9.85"/>
        <n v="49.88"/>
        <n v="24.12"/>
        <n v="17.01"/>
        <n v="17.24"/>
        <n v="15.02"/>
        <n v="14.56"/>
        <n v="11.5"/>
        <n v="20.86"/>
        <n v="17.02"/>
        <n v="16.01"/>
        <n v="16.51"/>
        <n v="14.74"/>
        <n v="19.97"/>
        <n v="16.28"/>
        <n v="18.85"/>
        <n v="20.69"/>
        <n v="17.04"/>
        <n v="19.72"/>
        <n v="19.41"/>
        <n v="13.73"/>
        <n v="58.22"/>
        <n v="14.57"/>
        <n v="45.02"/>
        <n v="15.63"/>
        <n v="19.65"/>
        <n v="18.8"/>
        <n v="8.65"/>
        <n v="50.77"/>
        <n v="24.98"/>
        <n v="18.3"/>
        <n v="25.37"/>
        <n v="9.53"/>
        <n v="12.65"/>
        <n v="21.21"/>
        <n v="11.03"/>
        <n v="12.78"/>
        <n v="11.13"/>
        <n v="16.52"/>
        <n v="21.69"/>
        <n v="16.27"/>
        <n v="10.74"/>
        <n v="19.12"/>
        <n v="17.17"/>
        <n v="11.29"/>
        <n v="13.93"/>
        <n v="12.01"/>
        <n v="12.21"/>
        <n v="16.54"/>
        <n v="18.98"/>
        <n v="12.06"/>
        <n v="14.21"/>
        <n v="15.84"/>
        <n v="18.53"/>
        <n v="12.38"/>
        <n v="12.51"/>
        <n v="12.22"/>
        <n v="14.72"/>
        <n v="14.9"/>
        <n v="12.54"/>
        <n v="16.88"/>
        <n v="16.75"/>
        <n v="26.23"/>
        <n v="51.42"/>
        <n v="20.0"/>
        <n v="10.2"/>
        <n v="58.82"/>
        <n v="20.4"/>
        <n v="10.21"/>
        <n v="16.66"/>
        <n v="18.93"/>
        <n v="10.57"/>
        <n v="13.88"/>
        <n v="18.74"/>
        <n v="15.65"/>
        <n v="15.96"/>
        <n v="19.81"/>
        <n v="12.52"/>
        <n v="14.84"/>
        <n v="11.7"/>
        <n v="20.36"/>
        <n v="8.19"/>
        <n v="9.35"/>
        <n v="13.54"/>
        <n v="18.76"/>
        <n v="14.02"/>
        <n v="14.24"/>
        <n v="15.05"/>
        <n v="20.95"/>
        <n v="18.11"/>
        <n v="7.0"/>
        <n v="17.7"/>
        <n v="21.32"/>
        <n v="19.26"/>
        <n v="10.26"/>
        <n v="14.71"/>
        <n v="12.2"/>
        <n v="13.0"/>
        <n v="8.94"/>
        <n v="23.3"/>
        <n v="9.05"/>
        <n v="10.01"/>
        <n v="7.67"/>
        <n v="17.54"/>
        <n v="18.58"/>
        <n v="14.16"/>
        <n v="11.61"/>
        <n v="20.1"/>
        <n v="12.7"/>
        <n v="17.89"/>
        <n v="23.93"/>
        <n v="15.47"/>
        <n v="14.55"/>
        <n v="18.39"/>
        <n v="27.89"/>
        <n v="12.92"/>
        <n v="21.27"/>
        <n v="16.41"/>
        <n v="9.51"/>
        <n v="13.07"/>
        <n v="16.44"/>
        <n v="15.5"/>
        <n v="15.21"/>
        <n v="23.29"/>
        <n v="13.52"/>
        <n v="16.29"/>
        <n v="20.02"/>
        <n v="23.33"/>
        <n v="17.4"/>
        <n v="8.88"/>
        <n v="11.52"/>
        <n v="16.12"/>
        <n v="22.83"/>
        <n v="23.98"/>
        <n v="10.76"/>
        <n v="16.76"/>
        <n v="7.1"/>
        <n v="22.06"/>
        <n v="10.66"/>
        <n v="8.45"/>
        <n v="19.84"/>
        <n v="10.0"/>
        <n v="7.98"/>
        <n v="12.02"/>
        <n v="20.46"/>
        <n v="12.98"/>
        <n v="17.05"/>
        <n v="13.03"/>
        <n v="14.73"/>
        <n v="12.05"/>
        <n v="16.71"/>
        <n v="11.28"/>
        <n v="17.1"/>
        <n v="25.3"/>
        <n v="22.01"/>
        <n v="20.49"/>
        <n v="14.67"/>
        <n v="18.26"/>
        <n v="46.17"/>
        <n v="13.7"/>
        <n v="22.68"/>
        <n v="44.88"/>
        <n v="22.77"/>
        <n v="13.4"/>
        <n v="9.99"/>
        <n v="9.2"/>
        <n v="15.36"/>
        <n v="18.0"/>
        <n v="9.88"/>
        <n v="8.8"/>
        <n v="9.32"/>
        <n v="12.48"/>
        <n v="12.28"/>
        <n v="16.31"/>
        <n v="16.98"/>
        <n v="17.58"/>
        <n v="18.51"/>
        <n v="19.17"/>
        <n v="23.05"/>
        <n v="8.0"/>
        <n v="18.08"/>
        <n v="10.92"/>
        <n v="20.32"/>
        <n v="21.94"/>
        <n v="18.91"/>
        <n v="15.4"/>
        <n v="15.1"/>
        <n v="17.8"/>
        <n v="18.96"/>
        <n v="15.3"/>
        <n v="37.4"/>
        <n v="10.15"/>
        <n v="13.56"/>
        <n v="22.1"/>
        <n v="17.93"/>
        <n v="15.35"/>
        <n v="11.26"/>
        <n v="19.08"/>
        <n v="8.47"/>
        <n v="10.41"/>
        <n v="10.46"/>
        <n v="24.65"/>
        <n v="17.92"/>
        <n v="15.59"/>
        <n v="26.91"/>
        <n v="15.88"/>
        <n v="15.64"/>
        <n v="15.19"/>
        <n v="11.21"/>
        <n v="16.36"/>
        <n v="15.97"/>
        <n v="10.28"/>
        <n v="26.07"/>
        <n v="16.08"/>
        <n v="42.41"/>
        <n v="19.18"/>
        <n v="9.33"/>
        <n v="11.81"/>
        <n v="13.72"/>
        <n v="14.38"/>
        <n v="19.92"/>
        <n v="15.62"/>
        <n v="25.87"/>
        <n v="21.0"/>
        <n v="23.22"/>
        <n v="23.01"/>
        <n v="52.23"/>
        <n v="16.05"/>
        <n v="41.59"/>
        <n v="13.53"/>
        <n v="10.23"/>
        <n v="18.79"/>
        <n v="9.23"/>
        <n v="10.96"/>
        <n v="13.42"/>
        <n v="19.77"/>
        <n v="14.5"/>
        <n v="34.12"/>
        <n v="25.48"/>
        <n v="40.31"/>
        <n v="40.65"/>
        <n v="34.13"/>
        <n v="45.93"/>
        <n v="10.93"/>
        <n v="8.39"/>
        <n v="20.59"/>
        <n v="15.07"/>
        <n v="22.86"/>
        <n v="9.21"/>
        <n v="58.23"/>
        <n v="9.57"/>
        <n v="23.4"/>
        <n v="14.58"/>
        <n v="11.16"/>
        <n v="18.21"/>
        <n v="23.65"/>
        <n v="18.27"/>
        <n v="22.16"/>
        <n v="22.91"/>
        <n v="19.25"/>
        <n v="17.9"/>
        <n v="22.02"/>
        <n v="29.4"/>
        <n v="43.9"/>
        <n v="19.38"/>
        <n v="13.64"/>
        <n v="14.91"/>
        <n v="11.04"/>
        <n v="13.02"/>
        <n v="16.6"/>
        <n v="17.91"/>
        <n v="26.17"/>
        <n v="21.45"/>
        <n v="29.28"/>
        <n v="20.93"/>
        <n v="42.02"/>
        <n v="11.1"/>
        <n v="9.94"/>
        <n v="11.89"/>
        <n v="16.07"/>
        <n v="21.6"/>
        <n v="11.98"/>
        <n v="14.85"/>
        <n v="13.34"/>
        <n v="15.57"/>
        <n v="15.29"/>
        <n v="35.04"/>
        <n v="35.88"/>
        <n v="15.01"/>
        <n v="48.02"/>
        <n v="20.18"/>
        <n v="14.68"/>
        <n v="11.47"/>
        <n v="19.71"/>
        <n v="47.05"/>
        <n v="16.18"/>
        <n v="19.39"/>
        <n v="15.66"/>
        <n v="18.75"/>
        <n v="11.92"/>
        <n v="22.76"/>
        <n v="13.19"/>
        <n v="16.03"/>
        <n v="21.7"/>
        <n v="88.9"/>
        <n v="25.68"/>
        <n v="13.13"/>
        <n v="10.05"/>
        <n v="16.45"/>
        <n v="10.71"/>
        <n v="15.53"/>
        <n v="12.41"/>
        <n v="8.85"/>
        <n v="18.02"/>
        <n v="17.72"/>
        <n v="22.44"/>
        <n v="27.03"/>
        <n v="7.4"/>
        <n v="21.44"/>
        <n v="15.99"/>
        <n v="17.14"/>
        <n v="15.83"/>
        <n v="49.0"/>
        <n v="49.2"/>
        <n v="45.73"/>
        <n v="16.09"/>
        <n v="19.62"/>
        <n v="13.05"/>
        <n v="21.29"/>
        <n v="24.53"/>
        <n v="12.59"/>
        <n v="22.04"/>
        <n v="14.08"/>
        <n v="17.08"/>
        <n v="19.53"/>
        <n v="12.4"/>
        <n v="10.38"/>
        <n v="13.41"/>
        <n v="22.12"/>
        <n v="17.12"/>
        <n v="10.65"/>
        <n v="27.2"/>
        <n v="21.2"/>
        <n v="19.54"/>
        <n v="21.25"/>
        <n v="22.07"/>
        <n v="17.5"/>
        <n v="11.84"/>
        <n v="17.37"/>
        <n v="19.31"/>
        <n v="22.26"/>
        <n v="25.32"/>
        <n v="23.49"/>
        <n v="17.59"/>
        <n v="19.8"/>
        <n v="17.3"/>
        <n v="15.9"/>
        <n v="6.5"/>
        <n v="7.2"/>
        <n v="19.4"/>
        <n v="19.5"/>
        <n v="28.54"/>
        <n v="19.7"/>
        <n v="12.9"/>
        <n v="14.52"/>
        <n v="18.12"/>
        <n v="13.75"/>
        <n v="16.35"/>
        <n v="16.21"/>
        <n v="14.82"/>
        <n v="22.33"/>
        <n v="17.22"/>
        <n v="60.33"/>
        <n v="22.08"/>
        <n v="19.06"/>
        <n v="15.18"/>
        <n v="17.39"/>
        <n v="20.78"/>
        <n v="21.52"/>
        <n v="13.32"/>
        <n v="21.51"/>
        <n v="19.16"/>
        <n v="14.19"/>
        <n v="13.15"/>
        <n v="15.13"/>
        <n v="19.87"/>
        <n v="20.41"/>
        <n v="19.42"/>
        <n v="20.24"/>
        <n v="26.0"/>
        <n v="20.16"/>
        <n v="14.92"/>
        <n v="22.28"/>
        <n v="22.13"/>
        <n v="14.22"/>
        <n v="52.93"/>
        <n v="49.94"/>
        <n v="49.77"/>
        <n v="52.88"/>
        <n v="52.68"/>
        <n v="51.32"/>
        <n v="51.56"/>
        <n v="49.81"/>
        <n v="49.75"/>
        <n v="51.29"/>
        <n v="19.11"/>
        <n v="10.67"/>
        <n v="8.7"/>
        <n v="21.13"/>
        <n v="8.99"/>
        <n v="23.41"/>
        <n v="14.99"/>
        <n v="16.13"/>
        <n v="15.34"/>
        <n v="14.33"/>
        <n v="13.83"/>
        <n v="19.74"/>
        <n v="49.89"/>
        <n v="51.34"/>
        <n v="18.33"/>
        <n v="52.0"/>
        <n v="52.96"/>
        <n v="52.72"/>
        <n v="20.45"/>
        <n v="13.17"/>
        <n v="16.23"/>
        <n v="15.16"/>
        <n v="19.76"/>
        <n v="18.92"/>
        <n v="8.72"/>
        <n v="15.38"/>
        <n v="15.37"/>
        <n v="13.21"/>
        <n v="12.3"/>
        <n v="16.95"/>
        <n v="19.21"/>
        <n v="14.46"/>
        <n v="12.39"/>
        <n v="14.66"/>
        <n v="19.28"/>
        <n v="9.42"/>
        <n v="15.08"/>
        <n v="17.03"/>
        <n v="19.36"/>
        <n v="15.12"/>
        <n v="10.69"/>
        <n v="15.27"/>
        <n v="45.37"/>
      </sharedItems>
    </cacheField>
    <cacheField name="Hood Size" numFmtId="0">
      <sharedItems containsBlank="1">
        <s v="NA"/>
        <s v="Cold"/>
        <s v="2.4m"/>
        <s v="2.4m Hood"/>
        <s v="3.0m Hood"/>
        <s v="2.0m"/>
        <s v="3.0m"/>
        <s v="4.0m"/>
        <s v="N/A"/>
        <s v="4.0m hood"/>
        <s v="4.0 m hood"/>
        <m/>
        <s v="3m"/>
        <s v="4m"/>
        <s v="2.4 m"/>
      </sharedItems>
    </cacheField>
    <cacheField name="Floor Price" numFmtId="0">
      <sharedItems containsString="0" containsBlank="1" containsNumber="1">
        <n v="1666.66"/>
        <n v="5100.0"/>
        <n v="3551.0"/>
        <n v="6400.0"/>
        <n v="6430.0"/>
        <n v="6861.0"/>
        <n v="7300.0"/>
        <n v="5148.0"/>
        <n v="6437.0"/>
        <n v="6008.0"/>
        <n v="3229.0"/>
        <n v="2975.44"/>
        <n v="2482.0"/>
        <n v="8592.0"/>
        <n v="7096.0"/>
        <n v="7514.0"/>
        <n v="4799.0"/>
        <n v="4666.0"/>
        <n v="4750.0"/>
        <n v="3944.0"/>
        <n v="4250.0"/>
        <n v="4990.0"/>
        <n v="6090.0"/>
        <n v="5731.0"/>
        <n v="3580.0"/>
        <n v="6000.0"/>
        <n v="3900.0"/>
        <n v="6200.0"/>
        <n v="3257.0"/>
        <n v="3150.0"/>
        <n v="4150.0"/>
        <n v="1900.0"/>
        <n v="3500.0"/>
        <n v="6250.0"/>
        <n v="3563.0"/>
        <n v="5494.0"/>
        <n v="4173.0"/>
        <n v="4684.0"/>
        <n v="6230.0"/>
        <n v="4650.0"/>
        <n v="8349.0"/>
        <n v="3100.0"/>
        <n v="1652.0"/>
        <n v="5700.0"/>
        <n v="6345.0"/>
        <n v="4973.0"/>
        <n v="2542.0"/>
        <n v="6499.0"/>
        <n v="2490.0"/>
        <n v="3113.0"/>
        <n v="6648.0"/>
        <n v="2885.0"/>
        <n v="3194.0"/>
        <n v="6867.0"/>
        <n v="5150.0"/>
        <n v="7150.0"/>
        <n v="5490.0"/>
        <n v="4000.0"/>
        <n v="5600.0"/>
        <n v="3400.0"/>
        <n v="5516.0"/>
        <n v="2838.0"/>
        <n v="8300.0"/>
        <n v="1822.08"/>
        <n v="4500.0"/>
        <n v="4851.0"/>
        <n v="10857.0"/>
        <n v="5091.0"/>
        <n v="5436.0"/>
        <n v="6500.0"/>
        <n v="5323.0"/>
        <n v="1995.0"/>
        <n v="2160.0"/>
        <n v="2142.0"/>
        <n v="5542.5"/>
        <n v="8000.0"/>
        <n v="4350.0"/>
        <n v="3750.0"/>
        <n v="4038.0"/>
        <n v="4359.0"/>
        <n v="2125.0"/>
        <n v="3188.0"/>
        <n v="4463.0"/>
        <n v="2100.0"/>
        <n v="7250.0"/>
        <n v="1488.0"/>
        <n v="3392.0"/>
        <n v="3612.0"/>
        <n v="3825.0"/>
        <n v="2974.0"/>
        <n v="2763.0"/>
        <n v="3950.0"/>
        <n v="4215.0"/>
        <n v="9022.0"/>
        <n v="7320.0"/>
        <n v="6600.0"/>
        <n v="2600.0"/>
        <n v="6900.0"/>
        <n v="4900.0"/>
        <n v="5285.0"/>
        <n v="4188.0"/>
        <n v="6771.0"/>
        <n v="6445.0"/>
        <n v="7200.0"/>
        <n v="3529.0"/>
        <n v="550.0"/>
        <n v="5680.0"/>
        <n v="5250.0"/>
        <n v="5900.0"/>
        <n v="6700.0"/>
        <n v="450.0"/>
        <n v="2000.0"/>
        <n v="5350.0"/>
        <n v="600.0"/>
        <n v="500.0"/>
        <n v="400.0"/>
        <n v="6949.0"/>
        <n v="4171.0"/>
        <n v="2376.0"/>
        <n v="1892.0"/>
        <n v="4039.0"/>
        <n v="4275.0"/>
        <n v="3086.0"/>
        <n v="1500.0"/>
        <n v="4575.0"/>
        <n v="2921.0"/>
        <n v="4988.0"/>
        <n v="4489.0"/>
        <n v="1999.0"/>
        <n v="6678.0"/>
        <n v="2800.0"/>
        <n v="5767.0"/>
        <n v="1990.0"/>
        <n v="4563.0"/>
        <n v="3600.0"/>
        <n v="5096.0"/>
        <n v="7700.0"/>
        <n v="10800.0"/>
        <n v="6601.0"/>
        <n v="3199.0"/>
        <n v="4667.0"/>
        <n v="6563.0"/>
        <n v="5578.0"/>
        <n v="6938.0"/>
        <n v="3700.0"/>
        <n v="7800.0"/>
        <n v="2990.0"/>
        <n v="4511.0"/>
        <n v="513.0"/>
        <n v="4125.0"/>
        <n v="4001.0"/>
        <n v="433.0"/>
        <n v="4118.4"/>
        <n v="5850.0"/>
        <n v="4576.0"/>
        <n v="5408.0"/>
        <n v="3050.0"/>
        <n v="3799.0"/>
        <n v="3049.0"/>
        <n v="4913.0"/>
        <n v="3401.0"/>
        <n v="6454.0"/>
        <n v="3888.56"/>
        <n v="6800.0"/>
        <n v="7900.0"/>
        <n v="10000.0"/>
        <n v="6050.0"/>
        <n v="1706.0"/>
        <n v="3323.0"/>
        <n v="245.0"/>
        <n v="4700.0"/>
        <n v="4200.0"/>
        <n v="9500.0"/>
        <n v="9000.0"/>
        <n v="4242.0"/>
        <n v="4348.5"/>
        <n v="8400.0"/>
        <n v="5765.76"/>
        <n v="7400.0"/>
        <n v="5000.0"/>
        <n v="4400.0"/>
        <n v="5300.0"/>
        <n v="4760.0"/>
        <n v="7000.0"/>
        <n v="2948.0"/>
        <n v="2753.0"/>
        <m/>
      </sharedItems>
    </cacheField>
    <cacheField name="List Price" numFmtId="0">
      <sharedItems containsString="0" containsBlank="1" containsNumber="1" containsInteger="1">
        <n v="2250.0"/>
        <n v="6150.0"/>
        <n v="4100.0"/>
        <n v="7700.0"/>
        <n v="6450.0"/>
        <n v="6900.0"/>
        <n v="7300.0"/>
        <n v="7250.0"/>
        <n v="9050.0"/>
        <n v="8450.0"/>
        <n v="2750.0"/>
        <n v="2400.0"/>
        <n v="3600.0"/>
        <n v="9500.0"/>
        <n v="7100.0"/>
        <n v="7550.0"/>
        <n v="6750.0"/>
        <n v="4700.0"/>
        <n v="5700.0"/>
        <n v="5750.0"/>
        <n v="4900.0"/>
        <n v="8550.0"/>
        <n v="8050.0"/>
        <n v="5050.0"/>
        <n v="7200.0"/>
        <n v="5100.0"/>
        <n v="8100.0"/>
        <n v="4600.0"/>
        <n v="3800.0"/>
        <n v="5000.0"/>
        <n v="2300.0"/>
        <n v="4200.0"/>
        <n v="8150.0"/>
        <n v="4300.0"/>
        <n v="5850.0"/>
        <n v="6600.0"/>
        <n v="5400.0"/>
        <n v="6050.0"/>
        <n v="8350.0"/>
        <n v="4050.0"/>
        <n v="7450.0"/>
        <n v="8900.0"/>
        <n v="2550.0"/>
        <n v="7800.0"/>
        <n v="2900.0"/>
        <n v="4550.0"/>
        <n v="9000.0"/>
        <n v="3900.0"/>
        <n v="4500.0"/>
        <n v="9650.0"/>
        <n v="6700.0"/>
        <n v="8600.0"/>
        <n v="6350.0"/>
        <n v="4800.0"/>
        <n v="5600.0"/>
        <n v="5550.0"/>
        <n v="3450.0"/>
        <n v="9550.0"/>
        <n v="1500.0"/>
        <n v="3850.0"/>
        <n v="10900.0"/>
        <n v="7350.0"/>
        <n v="7500.0"/>
        <n v="1700.0"/>
        <n v="4450.0"/>
        <n v="10400.0"/>
        <n v="5250.0"/>
        <n v="2350.0"/>
        <n v="3550.0"/>
        <n v="5650.0"/>
        <n v="4950.0"/>
        <n v="2100.0"/>
        <n v="9450.0"/>
        <n v="1650.0"/>
        <n v="3750.0"/>
        <n v="4000.0"/>
        <n v="4250.0"/>
        <n v="3300.0"/>
        <n v="3050.0"/>
        <n v="4750.0"/>
        <n v="4650.0"/>
        <n v="9950.0"/>
        <n v="3250.0"/>
        <n v="6650.0"/>
        <n v="8650.0"/>
        <n v="5150.0"/>
        <n v="440.0"/>
        <n v="6550.0"/>
        <n v="6850.0"/>
        <n v="8750.0"/>
        <n v="360.0"/>
        <n v="2000.0"/>
        <n v="6200.0"/>
        <n v="480.0"/>
        <n v="400.0"/>
        <n v="320.0"/>
        <n v="2050.0"/>
        <n v="4850.0"/>
        <n v="1800.0"/>
        <n v="5500.0"/>
        <n v="3400.0"/>
        <n v="7000.0"/>
        <n v="6950.0"/>
        <n v="3700.0"/>
        <n v="9250.0"/>
        <n v="13000.0"/>
        <n v="3150.0"/>
        <n v="7850.0"/>
        <n v="10150.0"/>
        <n v="5450.0"/>
        <n v="415.0"/>
        <m/>
        <n v="350.0"/>
        <n v="8200.0"/>
        <n v="7900.0"/>
        <n v="14000.0"/>
        <n v="2850.0"/>
        <n v="200.0"/>
        <n v="4400.0"/>
        <n v="7150.0"/>
        <n v="10450.0"/>
        <n v="9900.0"/>
        <n v="3500.0"/>
        <n v="8700.0"/>
        <n v="7400.0"/>
        <n v="6500.0"/>
        <n v="4150.0"/>
      </sharedItems>
    </cacheField>
    <cacheField name="Activation Fee" numFmtId="0">
      <sharedItems containsString="0" containsBlank="1" containsNumber="1" containsInteger="1">
        <m/>
        <n v="4350.0"/>
        <n v="6200.0"/>
        <n v="7750.0"/>
        <n v="7300.0"/>
        <n v="3900.0"/>
        <n v="3500.0"/>
        <n v="3000.0"/>
        <n v="10350.0"/>
        <n v="8550.0"/>
        <n v="9100.0"/>
        <n v="5800.0"/>
        <n v="5650.0"/>
        <n v="5700.0"/>
        <n v="4750.0"/>
        <n v="5100.0"/>
        <n v="6000.0"/>
        <n v="7350.0"/>
        <n v="6900.0"/>
        <n v="4000.0"/>
        <n v="3700.0"/>
        <n v="4800.0"/>
        <n v="2300.0"/>
        <n v="4100.0"/>
        <n v="7500.0"/>
        <n v="4450.0"/>
        <n v="6600.0"/>
        <n v="5050.0"/>
        <n v="5400.0"/>
        <n v="10050.0"/>
        <n v="3600.0"/>
        <n v="2050.0"/>
        <n v="7650.0"/>
        <n v="3100.0"/>
        <n v="7800.0"/>
        <n v="3800.0"/>
        <n v="8000.0"/>
        <n v="3850.0"/>
        <n v="8300.0"/>
        <n v="8600.0"/>
        <n v="6500.0"/>
        <n v="6700.0"/>
        <n v="3450.0"/>
        <n v="10000.0"/>
        <n v="5900.0"/>
        <n v="13100.0"/>
        <n v="6150.0"/>
        <n v="6550.0"/>
        <n v="6450.0"/>
        <n v="3550.0"/>
        <n v="7200.0"/>
        <n v="4900.0"/>
        <n v="5300.0"/>
        <n v="2600.0"/>
        <n v="2400.0"/>
        <n v="4500.0"/>
        <n v="8700.0"/>
        <n v="1800.0"/>
        <n v="4400.0"/>
        <n v="4650.0"/>
        <n v="3400.0"/>
        <n v="4600.0"/>
        <n v="10900.0"/>
        <n v="10400.0"/>
        <n v="8200.0"/>
        <n v="4300.0"/>
        <n v="6850.0"/>
        <n v="6300.0"/>
        <n v="7100.0"/>
        <n v="8050.0"/>
        <n v="3750.0"/>
        <n v="8850.0"/>
        <n v="5200.0"/>
        <n v="3250.0"/>
        <n v="7000.0"/>
        <n v="6750.0"/>
        <n v="2200.0"/>
        <n v="5500.0"/>
        <n v="5950.0"/>
        <n v="7050.0"/>
        <n v="5000.0"/>
        <n v="2700.0"/>
        <n v="4200.0"/>
        <n v="3300.0"/>
      </sharedItems>
    </cacheField>
    <cacheField name="Opportunity ID 18" numFmtId="0">
      <sharedItems containsBlank="1">
        <m/>
        <s v="006VO00000TRgP3YAL"/>
        <s v="006VO00000dcowbYAA"/>
        <s v="006VO00000eOAaHYAW"/>
        <s v="0065G00000aCkVTQA0"/>
        <s v="0065G00000aCkVdQAK"/>
        <s v="0065G00000dMtwTQAS"/>
        <s v="0065G00000dOim7QAC"/>
        <s v="0065G00000dOswMQAS"/>
        <s v="0065G00000j3SK4QAM"/>
        <s v="0065G00000j4E5KQAU"/>
        <s v="0065G00000j6v2FQAQ"/>
        <s v="0065G00000mU6CvQAK"/>
        <s v="0065G00000nbKblQAE"/>
        <s v="0066T00001844JJQAY"/>
        <s v="0066T0000184tJ4QAI"/>
        <s v="0066T000018b7rkQAA"/>
        <s v="0066T000018bDNxQAM"/>
        <s v="0066T000018bs7UQAQ"/>
        <s v="0066T000019ERjEQAW"/>
        <s v="0066T000019FA3mQAG"/>
        <s v="0066T000019GB3vQAG"/>
        <s v="0066T000019HDVhQAO"/>
        <s v="0066T00001A4pZpQAJ"/>
        <s v="0066T00001A5klCQAR"/>
        <s v="0066T00001AsHoJQAV"/>
        <s v="0066T00001AsrQ5QAJ"/>
        <s v="0066T00001AuxztQAB"/>
        <s v="0066T00001BPrRZQA1"/>
        <s v="0066T00001BSjcOQAT"/>
        <s v="0066T00001BT9j8QAD"/>
        <s v="0066T00001BTUCuQAP"/>
        <s v="0066T00001Be6onQAB"/>
        <s v="0066T00001Be6p2QAB"/>
        <s v="0066T00001BfcSZQAZ"/>
        <s v="0066T00001BfcU6QAJ"/>
        <s v="0066T00001Bz180QAB"/>
        <s v="0066T00001BzizMQAR"/>
        <s v="0066T00001CHTH7QAP"/>
        <s v="0066T00001CHXrEQAX"/>
        <s v="0066T00001CsjWgQAJ"/>
        <s v="0066T00001Ct91EQAR"/>
        <s v="0066T00001CtK2vQAF"/>
        <s v="0066T00001CtaGGQAZ"/>
        <s v="0066T00001CtbF1QAJ"/>
        <s v="0066T00001D6yzEQAR"/>
        <s v="0066T00001D6z16QAB"/>
        <s v="0066T00001EOEjNQAX"/>
        <s v="0066T00001EOEkaQAH"/>
        <s v="0066T00001EOEkpQAH"/>
        <s v="0066T00001EPCEIQA5"/>
        <s v="0066T00001EPCHCQA5"/>
        <s v="0066T00001EPOodQAH"/>
        <s v="006VO000001PmaLYAS"/>
        <s v="006VO000001TBZ1YAO"/>
        <s v="006VO000001W04MYAS"/>
        <s v="006VO000001ifmsYAA"/>
        <s v="006VO000002IsQcYAK"/>
        <s v="006VO000002JXTlYAO"/>
        <s v="006VO000002ZwBGYA0"/>
        <s v="006VO000002cMfvYAE"/>
        <s v="006VO000003GDSdYAO"/>
        <s v="006VO000003nvrUYAQ"/>
        <s v="006VO000003q0jlYAA"/>
        <s v="006VO0000040d78YAA"/>
        <s v="006VO0000041JMWYA2"/>
        <s v="006VO0000041PQJYA2"/>
        <s v="006VO0000041ROtYAM"/>
        <s v="006VO0000041UF0YAM"/>
        <s v="006VO0000041Wd5YAE"/>
        <s v="006VO0000041WtCYAU"/>
        <s v="006VO0000041YqTYAU"/>
        <s v="006VO0000041aFaYAI"/>
        <s v="006VO0000041dcxYAA"/>
        <s v="006VO0000041deYYAQ"/>
        <s v="006VO0000041fhxYAA"/>
        <s v="006VO0000041fjZYAQ"/>
        <s v="006VO0000041fmnYAA"/>
        <s v="006VO0000041frdYAA"/>
        <s v="006VO0000041furYAA"/>
        <s v="006VO0000041fy5YAA"/>
        <s v="006VO0000041g2vYAA"/>
        <s v="006VO0000041g7lYAA"/>
        <s v="006VO0000041gAzYAI"/>
        <s v="006VO0000041gKfYAI"/>
        <s v="006VO0000041gNtYAI"/>
        <s v="006VO000004BOl0YAG"/>
        <s v="006VO000004IMmAYAW"/>
        <s v="006VO000004TtutYAC"/>
        <s v="006VO000004WcHZYA0"/>
        <s v="006VO000004h42rYAA"/>
        <s v="006VO000005n9YjYAI"/>
        <s v="006VO000005vzdNYAQ"/>
        <s v="006VO000005xIcLYAU"/>
        <s v="006VO0000067D9zYAE"/>
        <s v="006VO000006amkEYAQ"/>
        <s v="006VO0000081wDRYAY"/>
        <s v="006VO0000089DUVYA2"/>
        <s v="006VO000008DeHbYAK"/>
        <s v="006VO000008JNfRYAW"/>
        <s v="006VO000008NrqEYAS"/>
        <s v="006VO000008jEzuYAE"/>
        <s v="006VO000008v7RaYAI"/>
        <s v="006VO000008v90MYAQ"/>
        <s v="006VO000008vBWpYAM"/>
        <s v="006VO000008vCHZYA2"/>
        <s v="006VO000008vD2RYAU"/>
        <s v="006VO000008vE1eYAE"/>
        <s v="006VO000008vFTyYAM"/>
        <s v="006VO000008vFfGYAU"/>
        <s v="006VO000008vG1qYAE"/>
        <s v="006VO000008vGD7YAM"/>
        <s v="006VO000008vGHyYAM"/>
        <s v="006VO000008vGQ1YAM"/>
        <s v="006VO000008vGWTYA2"/>
        <s v="006VO000008vGhlYAE"/>
        <s v="006VO000008vGrRYAU"/>
        <s v="006VO000008vGufYAE"/>
        <s v="006VO000008vH17YAE"/>
        <s v="006VO000008vH2jYAE"/>
        <s v="006VO000008vH7aYAE"/>
        <s v="006VO000008vHAnYAM"/>
        <s v="006VO000008vHFdYAM"/>
        <s v="006VO0000090ZgYYAU"/>
        <s v="006VO0000093fcXYAQ"/>
        <s v="006VO0000096TAFYA2"/>
        <s v="006VO000009IM06YAG"/>
        <s v="006VO000009LDTLYA4"/>
        <s v="006VO000009Yss2YAC"/>
        <s v="006VO000009ckHZYAY"/>
        <s v="006VO00000A2zWIYAZ"/>
        <s v="006VO00000A7jfNYAR"/>
        <s v="006VO00000ANGmHYAX"/>
        <s v="006VO00000AmfuNYAR"/>
        <s v="006VO00000Amo9dYAB"/>
        <s v="006VO00000Ar2h3YAB"/>
        <s v="006VO00000AuOI1YAN"/>
        <s v="006VO00000BCVRWYA5"/>
        <s v="006VO00000BnMPGYA3"/>
        <s v="006VO00000C1saZYAR"/>
        <s v="006VO00000CIPIyYAP"/>
        <s v="006VO00000CISdFYAX"/>
        <s v="006VO00000CJyj7YAD"/>
        <s v="006VO00000CJypeYAD"/>
        <s v="006VO00000CKC2yYAH"/>
        <s v="006VO00000CKEO5YAP"/>
        <s v="006VO00000CKEvxYAH"/>
        <s v="006VO00000CKFyVYAX"/>
        <s v="006VO00000CKGPtYAP"/>
        <s v="006VO00000CKGRVYA5"/>
        <s v="006VO00000CKGcnYAH"/>
        <s v="006VO00000CKd4jYAD"/>
        <s v="006VO00000CKdPhYAL"/>
        <s v="006VO00000CNtRVYA1"/>
        <s v="006VO00000CNySoYAL"/>
        <s v="006VO00000CO0BFYA1"/>
        <s v="006VO00000CO54TYAT"/>
        <s v="006VO00000CO5VtYAL"/>
        <s v="006VO00000CONmBYAX"/>
        <s v="006VO00000COO5XYAX"/>
        <s v="006VO00000CReFNYA1"/>
        <s v="006VO00000CWJILYA5"/>
        <s v="006VO00000DO6RNYA1"/>
        <s v="006VO00000EBq6VYAT"/>
        <s v="006VO00000EjkUrYAJ"/>
        <s v="006VO00000EnQu9YAF"/>
        <s v="006VO00000Erz3hYAB"/>
        <s v="006VO00000EvYJRYA3"/>
        <s v="006VO00000Eyu5hYAB"/>
        <s v="006VO00000F7hArYAJ"/>
        <s v="006VO00000F7l9dYAB"/>
        <s v="006VO00000FD8ITYA1"/>
        <s v="006VO00000FDQk2YAH"/>
        <s v="006VO00000FWVMcYAP"/>
        <s v="006VO00000FZkLvYAL"/>
        <s v="006VO00000FaDnhYAF"/>
        <s v="006VO00000FtXynYAF"/>
        <s v="006VO00000Fws4FYAR"/>
        <s v="006VO00000FwsNaYAJ"/>
        <s v="006VO00000Fwwm9YAB"/>
        <s v="006VO00000FwwsbYAB"/>
        <s v="006VO00000FwwuDYAR"/>
        <s v="006VO00000FwwxRYAR"/>
        <s v="006VO00000Fwx0fYAB"/>
        <s v="006VO00000FxGJRYA3"/>
        <s v="006VO00000FxT70YAF"/>
        <s v="006VO00000GnwmPYAR"/>
        <s v="006VO00000H32I1YAJ"/>
        <s v="006VO00000H6RgTYAV"/>
        <s v="006VO00000HAz0QYAT"/>
        <s v="006VO00000Hh97tYAB"/>
        <s v="006VO00000HiYx3YAF"/>
        <s v="006VO00000Ht8CsYAJ"/>
        <s v="006VO00000I1cVWYAZ"/>
        <s v="006VO00000IClIZYA1"/>
        <s v="006VO00000IDriUYAT"/>
        <s v="006VO00000IOQmzYAH"/>
        <s v="006VO00000ISF3NYAX"/>
        <s v="006VO00000ISZrhYAH"/>
        <s v="006VO00000IWi6nYAD"/>
        <s v="006VO00000IacSbYAJ"/>
        <s v="006VO00000Ik4B8YAJ"/>
        <s v="006VO00000Ik5okYAB"/>
        <s v="006VO00000Ik6KzYAJ"/>
        <s v="006VO00000Ik6MbYAJ"/>
        <s v="006VO00000Ik6RRYAZ"/>
        <s v="006VO00000Ik6T3YAJ"/>
        <s v="006VO00000Ik6WHYAZ"/>
        <s v="006VO00000Ik6fxYAB"/>
        <s v="006VO00000Ik72XYAR"/>
        <s v="006VO00000Ik75lYAB"/>
        <s v="006VO00000Ik7AbYAJ"/>
        <s v="006VO00000Ik7P7YAJ"/>
        <s v="006VO00000IkAGXYA3"/>
        <s v="006VO00000IlgO2YAJ"/>
        <s v="006VO00000Imo9pYAB"/>
        <s v="006VO00000Iq4WbYAJ"/>
        <s v="006VO00000Iq4nIYAR"/>
        <s v="006VO00000JC1yHYAT"/>
        <s v="006VO00000JCAofYAH"/>
        <s v="006VO00000JCCGzYAP"/>
        <s v="006VO00000JCEPIYA5"/>
        <s v="006VO00000JFBxuYAH"/>
        <s v="006VO00000JNWicYAH"/>
        <s v="006VO00000JNhirYAD"/>
        <s v="006VO00000JNhnhYAD"/>
        <s v="006VO00000JT1sXYAT"/>
        <s v="006VO00000JYHTxYAP"/>
        <s v="006VO00000JiV5BYAV"/>
        <s v="006VO00000Jiy7CYAR"/>
        <s v="006VO00000JoFH3YAN"/>
        <s v="006VO00000KBi77YAD"/>
        <s v="006VO00000KEeA9YAL"/>
        <s v="006VO00000KIerXYAT"/>
        <s v="006VO00000KN305YAD"/>
        <s v="006VO00000KWTg6YAH"/>
        <s v="006VO00000KYKjzYAH"/>
        <s v="006VO00000KdLlqYAF"/>
        <s v="006VO00000Kxqf0YAB"/>
        <s v="006VO00000LKcZhYAL"/>
        <s v="006VO00000LMCrGYAX"/>
        <s v="006VO00000LMKJsYAP"/>
        <s v="006VO00000LMMPCYA5"/>
        <s v="006VO00000LMMSQYA5"/>
        <s v="006VO00000LMOR0YAP"/>
        <s v="006VO00000LMP8XYAX"/>
        <s v="006VO00000LMQCfYAP"/>
        <s v="006VO00000LMQUPYA5"/>
        <s v="006VO00000LMQfhYAH"/>
        <s v="006VO00000LQ9A2YAL"/>
        <s v="006VO00000LhtgIYAR"/>
        <s v="006VO00000LhycjYAB"/>
        <s v="006VO00000LjR6RYAV"/>
        <s v="006VO00000LkvlZYAR"/>
        <s v="006VO00000LnO0IYAV"/>
        <s v="006VO00000Lnn8LYAR"/>
        <s v="006VO00000LwaIMYAZ"/>
        <s v="006VO00000M5GHBYA3"/>
        <s v="006VO00000MAEY5YAP"/>
        <s v="006VO00000MAqa9YAD"/>
        <s v="006VO00000MEF8zYAH"/>
        <s v="006VO00000MRS3aYAH"/>
        <s v="006VO00000MRZLBYA5"/>
        <s v="006VO00000MoUawYAF"/>
        <s v="006VO00000MpuzbYAB"/>
        <s v="006VO00000Mq5mvYAB"/>
        <s v="006VO00000MvNOEYA3"/>
        <s v="006VO00000N4157YAB"/>
        <s v="006VO00000NBQy1YAH"/>
        <s v="006VO00000NK3KfYAL"/>
        <s v="006VO00000NLUxAYAX"/>
        <s v="006VO00000NPpIGYA1"/>
        <s v="006VO00000NQBYrYAP"/>
        <s v="006VO00000NQDCTYA5"/>
        <s v="006VO00000NQOuFYAX"/>
        <s v="006VO00000NQi6XYAT"/>
        <s v="006VO00000NQj4HYAT"/>
        <s v="006VO00000NQqtlYAD"/>
        <s v="006VO00000NR53BYAT"/>
        <s v="006VO00000NR8YvYAL"/>
        <s v="006VO00000NRARrYAP"/>
        <s v="006VO00000Nae8AYAR"/>
        <s v="006VO00000Oc545YAB"/>
        <s v="006VO00000OdYFJYA3"/>
        <s v="006VO00000OhS9hYAF"/>
        <s v="006VO00000OlNZeYAN"/>
        <s v="006VO00000PBQyTYAX"/>
        <s v="006VO00000PBREbYAP"/>
        <s v="006VO00000PBRL3YAP"/>
        <s v="006VO00000PBRbBYAX"/>
        <s v="006VO00000PBRkrYAH"/>
        <s v="006VO00000PBVoVYAX"/>
        <s v="006VO00000PBdR3YAL"/>
        <s v="006VO00000PBdm1YAD"/>
        <s v="006VO00000PBkNhYAL"/>
        <s v="006VO00000PIhswYAD"/>
        <s v="006VO00000PIkHKYA1"/>
        <s v="006VO00000PInDZYA1"/>
        <s v="006VO00000PInIPYA1"/>
        <s v="006VO00000PInQTYA1"/>
        <s v="006VO00000PInWvYAL"/>
        <s v="006VO00000PInblYAD"/>
        <s v="006VO00000PIrdmYAD"/>
        <s v="006VO00000PJ1reYAD"/>
        <s v="006VO00000PKPrtYAH"/>
        <s v="006VO00000PKac3YAD"/>
        <s v="006VO00000PRr9uYAD"/>
        <s v="006VO00000PRrrRYAT"/>
        <s v="006VO00000PS8VhYAL"/>
        <s v="006VO00000PebQhYAJ"/>
        <s v="006VO00000PekFSYAZ"/>
        <s v="006VO00000PemNhYAJ"/>
        <s v="006VO00000PoKd3YAF"/>
        <s v="006VO00000PoNizYAF"/>
        <s v="006VO00000Poat7YAB"/>
        <s v="006VO00000Pob1BYAR"/>
        <s v="006VO00000PsBBNYA3"/>
        <s v="006VO00000Q0EP0YAN"/>
        <s v="006VO00000Q0hXSYAZ"/>
        <s v="006VO00000QOIL0YAP"/>
        <s v="006VO00000QieAsYAJ"/>
        <s v="006VO00000QjmeDYAR"/>
        <s v="006VO00000QjoD0YAJ"/>
        <s v="006VO00000QlBKRYA3"/>
        <s v="006VO00000Qm34lYAB"/>
        <s v="006VO00000QtkHlYAJ"/>
        <s v="006VO00000R6TNxYAN"/>
        <s v="006VO00000R6ThJYAV"/>
        <s v="006VO00000RAjQvYAL"/>
        <s v="006VO00000RF6FFYA1"/>
        <s v="006VO00000RJjJdYAL"/>
        <s v="006VO00000RSma2YAD"/>
        <s v="006VO00000RT5rDYAT"/>
        <s v="006VO00000RT60xYAD"/>
        <s v="006VO00000RT84HYAT"/>
        <s v="006VO00000RTAvhYAH"/>
        <s v="006VO00000RdTyfYAF"/>
        <s v="006VO00000RwqoHYAR"/>
        <s v="006VO00000SdyNaYAJ"/>
        <s v="006VO00000SptvBYAR"/>
        <s v="006VO00000SzijxYAB"/>
        <s v="006VO00000SzjGDYAZ"/>
        <s v="006VO00000SzkCHYAZ"/>
        <s v="006VO00000T02xBYAR"/>
        <s v="006VO00000T1eIrYAJ"/>
        <s v="006VO00000T1fq1YAB"/>
        <s v="006VO00000T68WtYAJ"/>
        <s v="006VO00000TDnqDYAT"/>
        <s v="006VO00000TEGc7YAH"/>
        <s v="006VO00000TWDizYAH"/>
        <s v="006VO00000TjYMbYAN"/>
        <s v="006VO00000TjgaHYAR"/>
        <s v="006VO00000TjjRhYAJ"/>
        <s v="006VO00000TlZuTYAV"/>
        <s v="006VO00000Tle7lYAB"/>
        <s v="006VO00000TpbxjYAB"/>
        <s v="006VO00000Tpv0MYAR"/>
        <s v="006VO00000TuDEnYAN"/>
        <s v="006VO00000TuDbNYAV"/>
        <s v="006VO00000TxX0wYAF"/>
        <s v="006VO00000Ty5SMYAZ"/>
        <s v="006VO00000TyCf7YAF"/>
        <s v="006VO00000TyW5xYAF"/>
        <s v="006VO00000U7gZ7YAJ"/>
        <s v="006VO00000U9nLBYAZ"/>
        <s v="006VO00000UHtJlYAL"/>
        <s v="006VO00000UI4n3YAD"/>
        <s v="006VO00000UMD6zYAH"/>
        <s v="006VO00000UfUSIYA3"/>
        <s v="006VO00000UfXJhYAN"/>
        <s v="006VO00000UkLGHYA3"/>
        <s v="006VO00000UkNTNYA3"/>
        <s v="006VO00000UkZcdYAF"/>
        <s v="006VO00000UkicfYAB"/>
        <s v="006VO00000UuUDRYA3"/>
        <s v="006VO00000V5VirYAF"/>
        <s v="006VO00000VKOiiYAH"/>
        <s v="006VO00000VNwzAYAT"/>
        <s v="006VO00000VTIVyYAP"/>
        <s v="006VO00000Vi2STYAZ"/>
        <s v="006VO00000Vjm54YAB"/>
        <s v="006VO00000VngCMYAZ"/>
        <s v="006VO00000Vnr1JYAR"/>
        <s v="006VO00000Vs3ogYAB"/>
        <s v="006VO00000VwQDBYA3"/>
        <s v="006VO00000VwR1BYAV"/>
        <s v="006VO00000Vwa9JYAR"/>
        <s v="006VO00000W7njRYAR"/>
        <s v="006VO00000W7xc1YAB"/>
        <s v="006VO00000W7xk5YAB"/>
        <s v="006VO00000W7xs9YAB"/>
        <s v="006VO00000W7y1pYAB"/>
        <s v="006VO00000W7y6fYAB"/>
        <s v="006VO00000W8DdZYAV"/>
        <s v="006VO00000W8c7LYAR"/>
        <s v="006VO00000WHIxNYAX"/>
        <s v="006VO00000WKzBNYA1"/>
        <s v="006VO00000WLSJpYAP"/>
        <s v="006VO00000WYde1YAD"/>
        <s v="006VO00000WbTrpYAF"/>
        <s v="006VO00000Wbe7JYAR"/>
        <s v="006VO00000WhAhfYAF"/>
        <s v="006VO00000Wun5GYAR"/>
        <s v="006VO00000Wv3d3YAB"/>
        <s v="006VO00000X1mHJYAZ"/>
        <s v="006VO00000X6qIfYAJ"/>
        <s v="006VO00000XC1BqYAL"/>
        <s v="006VO00000XKeHfYAL"/>
        <s v="006VO00000XQdvZYAT"/>
        <s v="006VO00000XV9s1YAD"/>
        <s v="006VO00000XpSorYAF"/>
        <s v="006VO00000XtN12YAF"/>
        <s v="006VO00000XtS77YAF"/>
        <s v="006VO00000XtSGnYAN"/>
        <s v="006VO00000XxOksYAF"/>
        <s v="006VO00000Y7z3BYAR"/>
        <s v="006VO00000Y9s8sYAB"/>
        <s v="006VO00000YA9JNYA1"/>
        <s v="006VO00000YADmpYAH"/>
        <s v="006VO00000YEPnlYAH"/>
        <s v="006VO00000YEcjNYAT"/>
        <s v="006VO00000YHmhPYAT"/>
        <s v="006VO00000YIvdmYAD"/>
        <s v="006VO00000YJ2c1YAD"/>
        <s v="006VO00000YMlgJYAT"/>
        <s v="006VO00000YN6vaYAD"/>
        <s v="006VO00000YXWfDYAX"/>
        <s v="006VO00000YXmYXYA1"/>
        <s v="006VO00000YYCXqYAP"/>
        <s v="006VO00000YZcBhYAL"/>
        <s v="006VO00000YZd6AYAT"/>
        <s v="006VO00000YhcBLYAZ"/>
        <s v="006VO00000YhwupYAB"/>
        <s v="006VO00000Yi6voYAB"/>
        <s v="006VO00000YjOU2YAN"/>
        <s v="006VO00000YyKzcYAF"/>
        <s v="006VO00000YyidhYAB"/>
        <s v="006VO00000Yyik9YAB"/>
        <s v="006VO00000Yyxw6YAB"/>
        <s v="006VO00000YyyAbYAJ"/>
        <s v="006VO00000Yz2FsYAJ"/>
        <s v="006VO00000YzDWEYA3"/>
        <s v="006VO00000YzEKDYA3"/>
        <s v="006VO00000YzGU5YAN"/>
        <s v="006VO00000YzH5BYAV"/>
        <s v="006VO00000Z3G2VYAV"/>
        <s v="006VO00000ZCM0cYAH"/>
        <s v="006VO00000ZMir5YAD"/>
        <s v="006VO00000ZMiz7YAD"/>
        <s v="006VO00000ZMrG1YAL"/>
        <s v="006VO00000ZORW0YAP"/>
        <s v="006VO00000ZOW4DYAX"/>
        <s v="006VO00000ZOqUMYA1"/>
        <s v="006VO00000ZSm2LYAT"/>
        <s v="006VO00000ZWjXKYA1"/>
        <s v="006VO00000Zj0CcYAJ"/>
        <s v="006VO00000ZkjnaYAB"/>
        <s v="006VO00000ZmVOkYAN"/>
        <s v="006VO00000ZmYssYAF"/>
        <s v="006VO00000ZmiH8YAJ"/>
        <s v="006VO00000Zmk7eYAB"/>
        <s v="006VO00000ZmmcTYAR"/>
        <s v="006VO00000ZmmqzYAB"/>
        <s v="006VO00000Zmmz4YAB"/>
        <s v="006VO00000ZmnLeYAJ"/>
        <s v="006VO00000ZmnofYAB"/>
        <s v="006VO00000ZmoBFYAZ"/>
        <s v="006VO00000ZmoMXYAZ"/>
        <s v="006VO00000ZmoPlYAJ"/>
        <s v="006VO00000ZmoftYAB"/>
        <s v="006VO00000ZvuAzYAJ"/>
        <s v="006VO00000Zzk3OYAR"/>
        <s v="006VO00000aG1g9YAC"/>
        <s v="006VO00000aJe6fYAC"/>
        <s v="006VO00000aLERRYA4"/>
        <s v="006VO00000aRoQcYAK"/>
        <s v="006VO00000aS2TZYA0"/>
        <s v="006VO00000aS2oXYAS"/>
        <s v="006VO00000aS2rlYAC"/>
        <s v="006VO00000aXSK9YAO"/>
        <s v="006VO00000aZ87dYAC"/>
        <s v="006VO00000aZARBYA4"/>
        <s v="006VO00000adhlBYAQ"/>
        <s v="006VO00000ai7cAYAQ"/>
        <s v="006VO00000aiDhZYAU"/>
        <s v="006VO00000alpqLYAQ"/>
        <s v="006VO00000awuujYAA"/>
        <s v="006VO00000axbzjYAA"/>
        <s v="006VO00000b3H0cYAE"/>
        <s v="006VO00000b3L95YAE"/>
        <s v="006VO00000b3OLRYA2"/>
        <s v="006VO00000b3QgbYAE"/>
        <s v="006VO00000b3Qn3YAE"/>
        <s v="006VO00000b7BflYAE"/>
        <s v="006VO00000bLFupYAG"/>
        <s v="006VO00000bNC81YAG"/>
        <s v="006VO00000bNCG5YAO"/>
        <s v="006VO00000bNGpxYAG"/>
        <s v="006VO00000bNXdtYAG"/>
        <s v="006VO00000bVgqTYAS"/>
        <s v="006VO00000bVhBRYA0"/>
        <s v="006VO00000boc6PYAQ"/>
        <s v="006VO00000bogI6YAI"/>
        <s v="006VO00000bsnEXYAY"/>
        <s v="006VO00000bx6YjYAI"/>
        <s v="006VO00000cD1RpYAK"/>
        <s v="006VO00000cDCGnYAO"/>
        <s v="006VO00000cH9LyYAK"/>
        <s v="006VO00000cVHWXYA4"/>
        <s v="006VO00000cVZBiYAO"/>
        <s v="006VO00000ckXmJYAU"/>
        <s v="006VO00000ctiovYAA"/>
        <s v="006VO00000ctlLNYAY"/>
        <s v="006VO00000cv59zYAA"/>
        <s v="006VO00000cvI5ZYAU"/>
        <s v="006VO00000czUBNYA2"/>
        <s v="006VO00000czYAAYA2"/>
        <s v="006VO00000d33nhYAA"/>
        <s v="006VO00000dC9XKYA0"/>
        <s v="006VO00000dC9ibYAC"/>
        <s v="006VO00000dCCdFYAW"/>
        <s v="006VO00000dI1dWYAS"/>
        <s v="006VO00000dI2w9YAC"/>
        <s v="006VO00000dI8n3YAC"/>
        <s v="006VO00000dLljqYAC"/>
        <s v="006VO00000dP9CvYAK"/>
        <s v="006VO00000dti5BYAQ"/>
        <s v="006VO00000dvQH7YAM"/>
        <s v="006VO00000dvffuYAA"/>
        <s v="006VO00000dvj1yYAA"/>
        <s v="006VO00000dy7xsYAA"/>
        <s v="006VO00000eOGpNYAW"/>
        <s v="006VO00000eOPnpYAG"/>
        <s v="006VO00000eOriTYAS"/>
        <s v="006VO00000ecVyDYAU"/>
        <s v="006VO00000esb6oYAA"/>
        <s v="006VO00000fTCKjYAO"/>
        <s v="006VO00000SP18rYAD"/>
        <s v="006VO00000T5bFzYAJ"/>
        <s v="006VO00000T5eowYAB"/>
        <s v="006VO00000T5fRfYAJ"/>
        <s v="006VO00000T5hurYAB"/>
        <s v="006VO00000Ulb2rYAB"/>
        <s v="006VO00000bCIWvYAO"/>
        <s v="006VO00000biAPmYAM"/>
        <s v="006VO00000cVjEHYA0"/>
        <s v="006VO00000ckJY1YAM"/>
        <s v="006VO00000ckJeTYAU"/>
        <s v="006VO00000ctYO9YAM"/>
        <s v="006VO00000d5OXuYAM"/>
        <s v="006VO00000dcfrlYAA"/>
        <s v="006VO00000eXEhwYAG"/>
        <s v="006VO00000eXMtxYAG"/>
        <s v="006VO00000eXNI9YAO"/>
        <s v="006VO00000eXWlFYAW"/>
        <s v="006VO00000eXWy9YAG"/>
        <s v="006VO00000eopMtYAI"/>
        <s v="006VO00000eozKbYAI"/>
        <s v="006VO00000epHe5YAE"/>
        <s v="006VO00000f1sy1YAA"/>
        <s v="006VO00000fNQOnYAO"/>
        <s v="006VO00000fObObYAK"/>
        <s v="006VO00000fTCfhYAG"/>
        <s v="006VO00000fYpN3YAK"/>
        <s v="006VO00000QaaE9YAJ"/>
        <s v="006VO00000XjPosYAF"/>
        <s v="006VO00000ZTBojYAH"/>
        <s v="006VO00000bVfPlYAK"/>
        <s v="006VO00000biYtXYAU"/>
        <s v="006VO00000bkg3lYAA"/>
        <s v="006VO00000btDFRYA2"/>
        <s v="006VO00000btDYnYAM"/>
        <s v="006VO00000c9B1ZYAU"/>
        <s v="006VO00000cHAgEYAW"/>
        <s v="006VO00000cHQHxYAO"/>
        <s v="006VO00000ckPvCYAU"/>
        <s v="006VO00000cvJMbYAM"/>
        <s v="006VO00000dMB6PYAW"/>
        <s v="006VO00000dgVXGYA2"/>
        <s v="006VO00000dy3r0YAA"/>
        <s v="006VO00000e4AJVYA2"/>
        <s v="006VO00000eLya2YAC"/>
        <s v="006VO00000eMFxRYAW"/>
        <s v="006VO00000eOSAbYAO"/>
        <s v="006VO00000ePeRRYA0"/>
        <s v="006VO00000eSIhJYAW"/>
        <s v="006VO00000epGTVYA2"/>
        <s v="006VO00000fMlbnYAC"/>
        <s v="006VO00000fPeU5YAK"/>
        <s v="006VO00000fqKXiYAM"/>
      </sharedItems>
    </cacheField>
    <cacheField name="Opportunity Name" numFmtId="0">
      <sharedItems containsBlank="1">
        <m/>
        <s v="Samoli Ep"/>
        <s v="Nukhba al Wasal hofouf"/>
        <s v="Al Normani Khaleej"/>
        <s v="Logimat Mama Noura KSA - 4"/>
        <s v="Logimat Mama Noura KSA - 5"/>
        <s v="Burger King SA"/>
        <s v="Eat ha"/>
        <s v="Quizno's Sub - Malga"/>
        <s v="Cookies n Cream Khaleej"/>
        <s v="Cosmo Cafe - Olaya - KSA"/>
        <s v="Section-B"/>
        <s v="TAO"/>
        <s v="TAO - KLG"/>
        <s v="Eat ha - Dahrat Laban - KSA"/>
        <s v="TAO - King Fahad"/>
        <s v="TAO - SWD"/>
        <s v="Mol10 KSA (Member Transfer)"/>
        <s v="Diplomat - KHL"/>
        <s v="Cosmo Cafe - Khaleej - KSA"/>
        <s v="Raed Startup"/>
        <s v="Muneera Aabdullah Startup"/>
        <s v="BIRD (MEMBER TRANSFER)"/>
        <s v="Crunch Bakery Malga 2"/>
        <s v="TAO - Malga (MEMBER TRANSFER)"/>
        <s v="Section-B (Member Transfer)"/>
        <s v="Dar Al Raeda- Sweidi"/>
        <s v="Lolivo - Aqiq KSA"/>
        <s v="Arabian Food - Zohor 2"/>
        <s v="Hamam Abdoh Grills - K7 - malga 1 - KSA"/>
        <s v="Hamam Abdoh Grills - K4 - malga 1 - KSA"/>
        <s v="TAO - Aqrabiya"/>
        <s v="Tao (DMM RWD)"/>
        <s v="TAO - jarir"/>
        <s v="Molten - Member Transfer"/>
        <s v="Indian Palace - Indian Island - Samakatee"/>
        <s v="Soft Spot Desserts SA-"/>
        <s v="Indian Island"/>
        <s v="Cref cookies"/>
        <s v="Eye Wink Donut - KSA - KHALEEJ"/>
        <s v="avon cake"/>
        <s v="TAO - Qassim 1"/>
        <s v="Arabian Food Co. Dahrat Laban K17"/>
        <s v="Arabian Food Co - Swidi"/>
        <s v="TAO (KFD)"/>
        <s v="The Bakery &amp; Company - Member Transfer"/>
        <s v="TacoMania"/>
        <s v="Restaurant Franchise Co. for Trading (Give Me Five, Kantaka, Carton Mashwi)"/>
        <s v="TAO - DL Member Transfer - Member Transfer"/>
        <s v="First Friday"/>
        <s v="Grill it"/>
        <s v="Arabian Food Co Olaya"/>
        <s v="Hot Kunafa"/>
        <s v="Chicken Chops Sulaimania"/>
        <s v="Yogi"/>
        <s v="Abdullah start up - Member Transfer - Member Transfer"/>
        <s v="OverJar (Member Transfer) - Delayed Transfer Aqrabiya - Member Transfer"/>
        <s v="Avon Cake - Member Transfer - Delayed Transfer"/>
        <s v="TAO - Member Transfer"/>
        <s v="Kcal KSA - Arid - K21 (Cold)"/>
        <s v="Kcal KSA - Arid - K01 (Hot)"/>
        <s v="Kcal KSA - Arid - K15 (Hot)"/>
        <s v="Kcal KSA - Arid - K16 (Hot)"/>
        <s v="Kcal KSA - Arid - K07 (Hot)"/>
        <s v="Kcal KSA - Arid - K03 (Hot)"/>
        <s v="Kcal KSA - Arid - K18 (Hot)"/>
        <s v="Kcal KSA - Arid - K06 (Hot)"/>
        <s v="Kcal KSA - Arid - K13 (Hot)"/>
        <s v="Kcal KSA - Arid - K02 (Hot)"/>
        <s v="Kcal KSA - Arid - K04 (Hot)"/>
        <s v="Kcal KSA - Arid - K05 (Hot)"/>
        <s v="Kcal KSA - Arid - K08 (Hot)"/>
        <s v="Kcal KSA - Arid - K09 (Hot)"/>
        <s v="Kcal KSA - Arid - K10 (Hot)"/>
        <s v="Kcal KSA - Arid - K11 (Hot)"/>
        <s v="Kcal KSA - Arid - K12 (Hot)"/>
        <s v="Kcal KSA - Arid - K14 (Hot)"/>
        <s v="Kcal KSA - Arid - K17 (Hot)"/>
        <s v="Kcal KSA - Arid - K19 (Hot)"/>
        <s v="Kcal KSA - Arid - K20 (Cold)"/>
        <s v="Arabian Food Co - Delayed Transfer Delayed Transfer"/>
        <s v="Mol10 KSA - Member Transfer"/>
        <s v="Remosa Delights SA"/>
        <s v="Juice Item"/>
        <s v="Smox - Rosso - Member Transfer"/>
        <s v="Taj Holding - Member Transfer"/>
        <s v="Ganache"/>
        <s v="Framboise &amp; Olive"/>
        <s v="Fish and chips - KSA"/>
        <s v="Meats &amp;Cuts - Twice - SA"/>
        <s v="Over Jar - DMM (Rawda)"/>
        <s v="Am Qassem - Uncle Qassem"/>
        <s v="Joyn Bakery"/>
        <s v="Chocomelt Malga 2"/>
        <s v="Food Line Holding (FLH) - K01"/>
        <s v="Juice Item - Khaleej - Member Transfer"/>
        <s v="Food Line Holding (FLH) - K16"/>
        <s v="Food Line Holding (FLH) - K18"/>
        <s v="Food Line Holding (FLH) - K09"/>
        <s v="Sushi Yoshi - Aqiq - Member Transfer"/>
        <s v="Food Line Holding (FLH) - K20"/>
        <s v="Food Line Holding (FLH) - K08"/>
        <s v="Food Line Holding (FLH) - K06"/>
        <s v="Food Line Holding (FLH) - K19"/>
        <s v="Food Line Holding (FLH) - K05"/>
        <s v="Food Line Holding (FLH) - K02"/>
        <s v="Food Line Holding (FLH) - K11"/>
        <s v="Food Line Holding (FLH) - K03"/>
        <s v="Food Line Holding (FLH) - K04"/>
        <s v="Food Line Holding (FLH) - K07"/>
        <s v="Food Line Holding (FLH) - K10"/>
        <s v="Food Line Holding (FLH) - K12"/>
        <s v="Food Line Holding (FLH) - K13"/>
        <s v="Food Line Holding (FLH) - K14"/>
        <s v="Food Line Holding (FLH) - K21"/>
        <s v="Food Line Holding (FLH) - K15"/>
        <s v="Food Line Holding (FLH) - K17"/>
        <s v="Indian Palace - Indian Island - Samakatee - Member Transfer"/>
        <s v="Coffee Plus"/>
        <s v="Mahmaset Ard Al Sanawbar - Khaleej"/>
        <s v="Alrafden Grill (AQR)"/>
        <s v="Fish Face - Member Transfer"/>
        <s v="Taj Holding - (SUL)"/>
        <s v="TAO - Rawada - Delayed Transfer"/>
        <s v="Multaqa Alzad For Tourism ( Leila Min Lebnen - Omaimati - Greenbox )"/>
        <s v="TAO - Malga 1 - Delayed Transfer - Delayed Transfer"/>
        <s v="TAO - Qurtoba - Delayed Transfer - Delayed Transfer"/>
        <s v="Deboned KSA (Aqrabia)  - Delayed Transfer"/>
        <s v="TAO - Qurtoba K8 - Delayed Transfer"/>
        <s v="Dolce Ragusa Qurtoba - Member Transfer"/>
        <s v="Juice Items Malga - Member Transfer - Member Transfer"/>
        <s v="Banders Potato Yasmin"/>
        <s v="Stampa - KSA"/>
        <s v="Toga Rashi - KSA"/>
        <s v="Numou - KSA - TWG - K02"/>
        <s v="Numou - KSA - TWG - K14"/>
        <s v="Numou - KSA - TWG - K05"/>
        <s v="Numou - KSA - TWG - K15"/>
        <s v="Numou - KSA - TWG - K08"/>
        <s v="Numou - KSA - TWG - K16"/>
        <s v="Numou - KSA - TWG - K18"/>
        <s v="Numou - KSA - TWG - K10"/>
        <s v="Numou - KSA - TWG - K11"/>
        <s v="Numou - KSA - TWG - K04"/>
        <s v="Numou - KSA - TWG - K07"/>
        <s v="Numou - KSA - TWG - K17 COLD"/>
        <s v="Numou - KSA - TWG - K03"/>
        <s v="Numou - KSA - TWG - K06"/>
        <s v="Numou - KSA - TWG - K01"/>
        <s v="Numou - KSA - TWG - K09"/>
        <s v="Numou - KSA - TWG - K13"/>
        <s v="Numou - KSA - TWG - K12"/>
        <s v="Latifa Startup - ksa - Delayed Transfer - Delayed Transfer"/>
        <s v="Tofareya"/>
        <s v="BACO"/>
        <s v="Masami sushi - Dahrat Laban - Member Transfer"/>
        <s v="Chocomelt Olaya"/>
        <s v="Consulta Hospitality Experts (MAQSAF - BRE'ED - TRU BOWL), K18 Olaya"/>
        <s v="Sandwitch - Burger &amp; Me"/>
        <s v="Nafeeseh Sweets - Member Transfer"/>
        <s v="Namq Cafe SA"/>
        <s v="L'olivo Sanwiches- - Member Transfer - Delayed Transfer - Member Transfer"/>
        <s v="Susler - KSA"/>
        <s v="Ganache Qurtoba - Member Transfer - Member Transfer"/>
        <s v="Nawaf Alharbi  Startup - KSA-"/>
        <s v="ND Bakery - KSA"/>
        <s v="Feels"/>
        <s v="Tao Salam K20"/>
        <s v="Tao Salam K14"/>
        <s v="Tao Salam K13"/>
        <s v="Tao Salam K15"/>
        <s v="Tao Salam K17"/>
        <s v="Tao Salam K18"/>
        <s v="Tao Salam K19"/>
        <s v="Premium Food Company (Baytoti - Maki House)"/>
        <s v="Lasagna Box"/>
        <s v="Masgouf London"/>
        <s v="WK Burger"/>
        <s v="Krooz Almasiyah Co. - Member Transfer - Member Transfer"/>
        <s v="Crispish"/>
        <s v="Shawarma House, Narjis, K19"/>
        <s v="SNIM - The Butter Knife"/>
        <s v="Mshltt Alhaga"/>
        <s v="Premium Food Company (Baytoti - Wok -Maki House - Podo Moro - Zoud)"/>
        <s v="Keto care"/>
        <s v="Dyar Bakery, Khaleej"/>
        <s v="GNJ Group (UAH K1)"/>
        <s v="La creperie"/>
        <s v="Marble Cuisine SA"/>
        <s v="Shawarma House, Narjis, K27"/>
        <s v="Shawarma House, Narjis, K26"/>
        <s v="Shawarma House, Narjis, K20"/>
        <s v="Shawarma House, Narjis, K21"/>
        <s v="Shawarma House, Narjis, K22"/>
        <s v="Shawarma House, Narjis, K23"/>
        <s v="Shawarma House, Narjis, K25"/>
        <s v="Shawarma House, Narjis, K24"/>
        <s v="Shawarma House, Sulimaniah, K14"/>
        <s v="Shawarma House, Sulimaniah, K16"/>
        <s v="Shawarma House, Sulimaniah, K17"/>
        <s v="Shawarma House, Sulimaniah, K19"/>
        <s v="Gastronomica Wadi"/>
        <s v="Cref Cookies Dahrat Laban"/>
        <s v="Happiness Cookies"/>
        <s v="Signature Salam"/>
        <s v="Shawarma House, Sulimaniah, K13"/>
        <s v="Jedo Shaker Yasmin"/>
        <s v="La Creperie - KSA - Member Transfer"/>
        <s v="Aziz 88 (K3 UAH)"/>
        <s v="Shawarma House, Sulimaniah, K15"/>
        <s v="Cref Cookies Olaya"/>
        <s v="Shawarma House, Sulimaniah, K12"/>
        <s v="Shawarma House, Sulimaniah, K11"/>
        <s v="Delluci Cake - KSA"/>
        <s v="Shawarma House, Narjis, K13"/>
        <s v="Cref Cookies Salam"/>
        <s v="Raghad Start Up"/>
        <s v="Imran SU"/>
        <s v="Shawarma House, Sulimaniah, CPU"/>
        <s v="Shawarma House, Sulimaniah, K08"/>
        <s v="Shawarma House, Narjis, K06"/>
        <s v="Dip N Dip KSA"/>
        <s v="Smoothies Aqiq"/>
        <s v="Shawarma House, Narjis, K04"/>
        <s v="Baskin Robbins - K01 - KSA"/>
        <s v="mahmaset ard Al Sanawbar"/>
        <s v="Fermented Friends (K03 Isa) - Delayed Transfer"/>
        <s v="U.L.D. Trading Company (K16)"/>
        <s v="U.L.D. Trading Company (K05)"/>
        <s v="U.L.D. Trading Company (K14)"/>
        <s v="U.L.D. Trading Company (K13)"/>
        <s v="U.L.D. Trading Company (K04)"/>
        <s v="U.L.D. Trading Company (K15)"/>
        <s v="U.L.D. Trading Company (K12)"/>
        <s v="U.L.D. Trading Company (K11)"/>
        <s v="Right Calories King Faisal k15"/>
        <s v="Clever Juices - Beesket Juices"/>
        <s v="Healthy nation"/>
        <s v="BAKA - Member Transfer - Member Transfer"/>
        <s v="Neska Company (Biga Burger, Krnsh , Rosella , Shawarma Allawi, Bo Kees , Bakkar, Koshka, Varo), Khaleej"/>
        <s v="Suwairs Cold Kitchen - Wadi - Member Transfer"/>
        <s v="Chocomelt Aqrabiya"/>
        <s v="Shawarma House, Narjis, K17"/>
        <s v="Jo Drinks, Malga2"/>
        <s v="Shawarma House, Sulimaniah, K18"/>
        <s v="Godiva Chocolatier"/>
        <s v="Des Lis Delices (K11 UAH)"/>
        <s v="Petiole Foods (K14 UAH)"/>
        <s v="Soma's Kitchen Laban - Member Transfer"/>
        <s v="Almaris - Smarf Burger - Missimiss Fottor - Balla Chappati - Sizzle &amp; Smoke Grills - Ammiji.D Biryani"/>
        <s v="Candied riyadh SA - RUH - Qurtoba"/>
        <s v="Marta's Cake - KSA- - Member Transfer"/>
        <s v="Adyaf Gulf (Madeleine ) - SA - RUH - Qurtoba - Member Transfer"/>
        <s v="Sushi Demure"/>
        <s v="Baskin Robbins - K04 - KSA"/>
        <s v="Baskin Robbins - K05 - KSA"/>
        <s v="Baskin Robbins - K09 - KSA"/>
        <s v="Baskin Robbins - K08 - KSA"/>
        <s v="Baskin Robbins - K07 - KSA"/>
        <s v="Baskin Robbins - K06 - KSA"/>
        <s v="Baskin Robbins - K10 - KSA"/>
        <s v="Baskin Robbins - K11 - KSA"/>
        <s v="Baskin Robbins - K12 - KSA"/>
        <s v="Baskin Robbins - K25 - KSA"/>
        <s v="Munch bakery - Member Transfer"/>
        <s v="Fames burger"/>
        <s v="Boga Super Foods"/>
        <s v="Shawarma House, Qurtoba, K26"/>
        <s v="Shawarma House, Narjis, K18"/>
        <s v="Shawarma House, Narjis, CPU"/>
        <s v="Shawarma House, Sulimaniah, K09"/>
        <s v="Shawarma House, Sulimaniah, K21"/>
        <s v="Shawarma House, Qurtoba, K32"/>
        <s v="Shawarma House, Qurtoba, K28"/>
        <s v="Shawarma House, Qurtoba, K29"/>
        <s v="Shawarma House, Qurtoba, K33"/>
        <s v="Shawarma House, Qurtoba, K37"/>
        <s v="Shawarma House, Qurtoba, K41"/>
        <s v="Shawarma House, Qurtoba, K34"/>
        <s v="Shawarma House, Qurtoba, K35"/>
        <s v="Shawarma House, Qurtoba, K36"/>
        <s v="Shawarma House, Qurtoba, K39"/>
        <s v="Shawarma House, Qurtoba, K40"/>
        <s v="Feels KFD"/>
        <s v="Shawarma House, Qurtoba, K43"/>
        <s v="Anwar Bakery - SU"/>
        <s v="Roma company Kebab hub - Well done"/>
        <s v="Shawarma House, Qurtoba, K31"/>
        <s v="Shawarma House, Qurtoba, K42"/>
        <s v="Shawarma House, Qurtoba, K30"/>
        <s v="Shawarma House, Qurtoba, K45 (CPU)"/>
        <s v="Shawarma House, Qurtoba, K07"/>
        <s v="Shawarma House, Qurtoba, K44"/>
        <s v="Dar Al Raeda- Olaya - Member Transfer - Member Transfer - Member Transfer"/>
        <s v="Seedling Salad"/>
        <s v="Shawarma House, Qurtoba, K27"/>
        <s v="Shawarma House, Qurtoba, K38"/>
        <s v="Eat Ha - Member Transfer - Member Transfer"/>
        <s v="Copo"/>
        <s v="Applebee's"/>
        <s v="FireFly Burger - KSA - Kiwi"/>
        <s v="CoJo Cafe-"/>
        <s v="Manga Al Zaeem For Juices"/>
        <s v="Juice Item - Member Transfer"/>
        <s v="Petiole Foods (K15 UAH)"/>
        <s v="Abdulaziz Al Ahmari"/>
        <s v="Fruit Art"/>
        <s v="Cut Crush Company -KSA-"/>
        <s v="Shawarma House, Narjis, K15"/>
        <s v="Marta's Cake"/>
        <s v="Juice Item SA - Member Transfer"/>
        <s v="Half Tree (Al Malga)"/>
        <s v="Half Tree (Aqrabiya)"/>
        <s v="Half Tree (Hofuf)"/>
        <s v="Half Tree (Al Wadi)"/>
        <s v="Half Tree (Sweidi)"/>
        <s v="Kcal - KSA - Jarir"/>
        <s v="V60 Coffee Bar -KSA- - Member Transfer"/>
        <s v="Pret A Manger Saudi Arabia k1"/>
        <s v="Suwairs Cold Kitchen - Khaleej - Member Transfer - Member Transfer"/>
        <s v="Al Hamra Bukhari Restaurant - SA - RUH - Dahrat Laban - Delayed Transfer"/>
        <s v="Chocomelt Laban - Member Transfer - Member Transfer"/>
        <s v="Ganache - Member Transfer - Member Transfer"/>
        <s v="Maqloba - KSA"/>
        <s v="Quttna KSA"/>
        <s v="Al Hamra Bukhari Restaurant - SA - RUH"/>
        <s v="ISFC International Specialized Food Co- (Diet World - Madqoud Alsadra - Kiwi grill) Aqiq"/>
        <s v="The delicous"/>
        <s v="Hayat Alnokbaah company"/>
        <s v="Etoile Aqrabiya"/>
        <s v="ISFC International Specialized Food Co- (Diet World - Madqoud Alsadra - Kiwi grill) Sulimaniyah"/>
        <s v="Crisper"/>
        <s v="Fames burger Khaleej"/>
        <s v="Fames burger Sweidi 1"/>
        <s v="Etoile King Fahad"/>
        <s v="Etoile King Faisal"/>
        <s v="Etoile - Jarir"/>
        <s v="Shawaya House, Arid2"/>
        <s v="GOFA, Rakah"/>
        <s v="Hala Batta"/>
        <s v="Alreef Broasted"/>
        <s v="Cref Cookies Sweidi"/>
        <s v="Shawarma House, Sulimaniah, K07"/>
        <s v="Alreef Broastedx"/>
        <s v="Hajeen Roasters"/>
        <s v="Mashael SU"/>
        <s v="Ganache - Member Transfer"/>
        <s v="Al Ghalia Company - CAFÉ LILOU - RWD"/>
        <s v="Lolivo Yasmin"/>
        <s v="Haqwa Coffee"/>
        <s v="Loleta Sweets Rawdah - Member Transfer"/>
        <s v="Fullah"/>
        <s v="Sugarize"/>
        <s v="Biox - The Health Bar by RAW King Faisal"/>
        <s v="Al Ghalia Company - CAFÉ LILOU - KHJ"/>
        <s v="Al Ghalia Company - CAFÉ LILOU - SWD"/>
        <s v="Al Ghalia Company - CAFÉ LILOU - Malga"/>
        <s v="Pret A Manger Saudi Arabia K6"/>
        <s v="Pret A Manger Saudi Arabia K2"/>
        <s v="Pret A Manger Saudi Arabia K4"/>
        <s v="Pret A Manger Saudi Arabia K9"/>
        <s v="Pret A Manger Saudi Arabia K10"/>
        <s v="Pret A Manger Saudi Arabia K11"/>
        <s v="ISFC International Specialized Food Co- (Diet World - Madqoud Alsadra - Kiwi grill) Sweidi - Member Transfer"/>
        <s v="Chocomelt Rawda - Member Transfer"/>
        <s v="Etoile - Malga 2 - Member Transfer"/>
        <s v="Nakhati - Member Transfer"/>
        <s v="Strawberry and cheese - KSA-"/>
        <s v="Souffle Altahliyah-"/>
        <s v="Calo - RUH - King Faisal - KSA"/>
        <s v="Abdulrahman Alamer Start Up"/>
        <s v="Juice Item - Member Transfer - Member Transfer - Member Transfer"/>
        <s v="Paella Pan King Faisal"/>
        <s v="Cold Summer"/>
        <s v="The Fancy Fork (K13 UAH)"/>
        <s v="Misslawh - KSA- - Member Transfer"/>
        <s v="Lolivo King Fahad"/>
        <s v="Choply Salad"/>
        <s v="Copo laban"/>
        <s v="Sheffas Shack- K17 UAH"/>
        <s v="FASSCO international - K21 UAH"/>
        <s v="Seedling Salad - Member Transfer - Member Transfer"/>
        <s v="Gecat plastic factory - 1"/>
        <s v="Biox - The Health Bar by RAW Sulimaniyah - Delayed Transfer"/>
        <s v="Toby's Estate"/>
        <s v="Almaris - Smarf Burger - Missimiss Fottor - Balla Chappati - Sizzle &amp; Smoke Grills - Ammiji.D Biryani - Member Transfer"/>
        <s v="Wissam Su"/>
        <s v="Copo laban K19"/>
        <s v="Petiole Foods (K19 UAH)"/>
        <s v="Shawaya House, DHL - Member Transfer"/>
        <s v="Sushi Demure - Member Transfer"/>
        <s v="TAO Arid 2"/>
        <s v="Sushi do"/>
        <s v="Diet Center"/>
        <s v="Hak group"/>
        <s v="K24, Shawarma House, Sulimaniah"/>
        <s v="CK22, Shawarma House, Sulimaniah"/>
        <s v="K23, Shawarma House, Sulimaniah"/>
        <s v="Neska (Biga Burger, Krnsh , Rosella , Shawarma Allawi, Bo Kees , Bakkar, Koshka, Varo), Sweidi"/>
        <s v="Kcal - KSA - Aqiq"/>
        <s v="ALNahdi Catering  - KSA-"/>
        <s v="Kcal - KSA - Qurtoba"/>
        <s v="Pret A Manger Saudi Arabia K 05"/>
        <s v="Pret A Manger Saudi Arabia K7"/>
        <s v="Pret A Manger Saudi Arabia K 12"/>
        <s v="Pret A Manger Saudi Arabia K 08"/>
        <s v="Pret A Manger Saudi Arabia K 13"/>
        <s v="Pret A Manger Saudi Arabia K 03"/>
        <s v="Cocoli Cafe KFD"/>
        <s v="Cleanse and Glow - KSA"/>
        <s v="Meld"/>
        <s v="breakin bun"/>
        <s v="Big Matt"/>
        <s v="Nadoush Su"/>
        <s v="Meld - Member Transfer"/>
        <s v="REI Chocolate - KSA- Member Transfer"/>
        <s v="Maher  JAM - KSA- - Churn Transfer - Delayed Transfer - Member Transfer"/>
        <s v="Melted-"/>
        <s v="Protein plus - Olive Branches - yughamish zaman - KSA-"/>
        <s v="Gecat plastic factory - 3"/>
        <s v="Gecat plastic factory - 12"/>
        <s v="Gecat plastic factory - 5"/>
        <s v="Gecat plastic factory - 7"/>
        <s v="Gecat plastic factory - 2"/>
        <s v="Gecat plastic factory - 4"/>
        <s v="Gecat plastic factory - 8"/>
        <s v="Gecat plastic factory - 14"/>
        <s v="Gecat plastic factory - 6"/>
        <s v="Gecat plastic factory - 9"/>
        <s v="Gecat plastic factory - 10"/>
        <s v="Gecat plastic factory - 11"/>
        <s v="Gecat plastic factory - 13"/>
        <s v="Etoile - Arid 2 - Member Transfer"/>
        <s v="Al Ghalia Company - CAFÉ LILOU - HOF"/>
        <s v="Dr.Kabsa"/>
        <s v="ALNahdi Catering  - KSA"/>
        <s v="Dolce Ragusa Sulimaniya"/>
        <s v="FASSCO international - K24 UAH"/>
        <s v="FASSCO international - K22 UAH"/>
        <s v="FASSCO international - K23 UAH"/>
        <s v="FASSCO international - K25 UAH"/>
        <s v="Savory Dishes Restaurant- UAH K02"/>
        <s v="Success Creators Laban"/>
        <s v="Nahj Alghitha Company Salam K23"/>
        <s v="Nolia- KSA"/>
        <s v="Success Creators Arid - Member Transfer"/>
        <s v="Douven"/>
        <s v="Fresh House - KHL"/>
        <s v="FASSCO international - K27 UAH"/>
        <s v="FASSCO international - K29 UAH"/>
        <s v="Sandwitch - Burger &amp; Me - Member Transfer"/>
        <s v="FASSCO international - K26 UAH"/>
        <s v="FASSCO international - K28UAH"/>
        <s v="Sweet Evolution - BAH (18 UMH)"/>
        <s v="Mahboob"/>
        <s v="Dip N Dip KSA - Member Transfer"/>
        <s v="Tochka"/>
        <s v="Luqaimat W Sauce - Member Transfer"/>
        <s v="Protein plus - ALAhsaa K10"/>
        <s v="Noho Deli Salam"/>
        <s v="Shawayet Hasan  -KSA"/>
        <s v="Shawarma House, Qurtoba, K46"/>
        <s v="Premium Foods Company - Gulf Eye Co (We Burger - Wahed Falafel - We Bakery - LAROSE), HK8"/>
        <s v="Nahj Alghitha Company Salam K22"/>
        <s v="Keto Sar"/>
        <s v="IONIC KITCHEN"/>
        <s v="Bassam Burger Start Up - Member Transfer"/>
        <s v="Premium Foods Company - Gulf Eye Co (We Burger - Wahed Falafel - We Bakery - LAROSE), CK1"/>
        <s v="Chocomelt Jarir - Member Transfer - Member Transfer"/>
        <s v="Regal King Faisal K10 (Cold)"/>
        <s v="Regal King Faisal K09 (Hot)"/>
        <s v="Ez Bakery ( Khalia Aziz ) - Member Transfer - Member Transfer"/>
        <s v="Khush Muskhan"/>
        <s v="Saqyah - KSA"/>
        <s v="TBO - Hoba"/>
        <s v="German Doner Kebab"/>
        <s v="PLENTY SLD’S, Earth made, catcha."/>
        <s v="Donut Time Khaleej"/>
        <s v="Donut Time Malga"/>
        <s v="Donut Time Salam"/>
        <s v="Kcal - KSA  - Member Transfer"/>
        <s v="Somas Kitchen  - Member Transfer"/>
        <s v="NOURISHEFZ -KSA - Member Transfer"/>
        <s v="Najla's Cuisine - Member Transfer"/>
        <s v="Shawaya House, King Fahad"/>
        <s v="Nukhba al Wasal - Member Transfer"/>
        <s v="Usta Asim - KSA - Arid 2 - K02"/>
        <s v="Shawaya House, Rakah - Member Transfer"/>
        <s v="mahmaset ard Al Sanawbar - Member Transfer"/>
        <s v="Fantasy Recipe - Member Transfer"/>
        <s v="Hazim Aldahiree Start Up - Member Transfer"/>
        <s v="AL Amer Trading -KSA-"/>
        <s v="Yogi - Member Transfer - Member Transfer"/>
        <s v="Donuttery - K18 KSA-"/>
        <s v="Donuttery -  K21 KSA-"/>
        <s v="Donuttery -  K17 KSA-"/>
        <s v="Donuttery -  K20 KSA-"/>
        <s v="Donuttery - K19 KSA-"/>
        <s v="Donut Time Wadi"/>
        <s v="Sweet Evolution SA - RWD"/>
        <s v="chickin worx"/>
        <s v="Fat Bun"/>
        <s v="I'M Hungry Rawda"/>
        <s v="I'M Hungry Zuhur"/>
        <s v="Abdulaziz Alqarni Start Up"/>
        <s v="AlYasmen Company - Member Transfer"/>
        <s v="Healthy Style - KSA - Jarir - K17"/>
        <s v="Healthy Style - KSA - Jarir - K20"/>
        <s v="Healthy Style - KSA - Jarir - K22"/>
        <s v="Healthy Style - KSA - Jarir - K21"/>
        <s v="Etoile - Rawda Dmm"/>
        <s v="Etoile - Zuhor Dmm"/>
        <s v="Bait el kil Qurtuba"/>
        <s v="Biox - The Health Bar by RAW Laban - Delayed Transfer"/>
        <s v="Bait el kil Arid"/>
        <s v="Opa sweet"/>
        <s v="Rustic Grill"/>
        <s v="Shawaya House, Malga2 - Member Transfer"/>
        <s v="Ibrahim Melhem  SU - KSA - Member Transfer"/>
        <s v="Big Matt - Member Transfer"/>
        <s v="DN Gulf (UAH K36)"/>
        <s v="Glaze-"/>
        <s v="Wahib Start Up"/>
        <s v="Neska (Biga Burger, Krnsh , Rosella , Shawarma Allawi, Bo Kees , Bakkar, Koshka, Varo), Dahrat Laban"/>
        <s v="Alarrab Restaurant"/>
        <s v="National Catering Company - Rakah - 1"/>
        <s v="National Catering Company - Rakah - 2"/>
        <s v="National Catering Company - Rakah - 3"/>
        <s v="Neska (Biga Burger, Krnsh , Rosella , Shawarma Allawi, Bo Kees , Bakkar, Koshka, Varo), Salam"/>
        <s v="Pizza di Rocco - KSA - WUR - K16"/>
        <s v="Pizza di Rocco - KSA - Aqiq 2 - K05"/>
        <s v="D'PEARL CAFÉ HOUSE OF BOBA-"/>
        <s v="Canela Wadi"/>
        <s v="XY Noodles Malga 2"/>
        <s v="Meal Box KSA-"/>
        <s v="Food Axis - KSA - Khaleej - K34"/>
        <s v="Bread Loaf - KSA - Jarir - K34"/>
        <s v="National Catering Company - Rakah - 5"/>
        <s v="National Catering Company - Rakah - 4"/>
        <s v="Petiole Foods (K37 UAH)z"/>
        <s v="National Catering Company - Rakah - 6"/>
        <s v="National Catering Company - Rakah - 7"/>
        <s v="Ahmed AlBazar"/>
        <s v="Shawarma House, Narjis, K09"/>
        <s v="Al Hayat Restaurant / Tikka Mood"/>
        <s v="Calo - On Demand - RUH - King Fahad - K23 - KSA"/>
      </sharedItems>
    </cacheField>
    <cacheField name="Opportunity Owner: Full Name" numFmtId="0">
      <sharedItems containsBlank="1">
        <m/>
        <s v="Riyad Ali"/>
        <s v="Shiraz Ali"/>
        <s v="Omar Joumaa"/>
        <s v="Osama Eliewa"/>
        <s v="Ahmed Alghamdi"/>
        <s v="Jad Hajjar"/>
        <s v="Mohammed Alotaibi"/>
        <s v="Mohammed Alalyani"/>
        <s v="Ihab Ghoussainy"/>
        <s v="Abir Salame"/>
        <s v="Ahmad Abdulkareem"/>
        <s v="Mussad Al-battah"/>
        <s v="Yousif Almohammedali"/>
        <s v="Hamed Alrehaili"/>
        <s v="Ahmad El-Basst"/>
        <s v="Abrar Aldawoud"/>
        <s v="Mark Grehan"/>
        <s v="Anas Ahtiwash"/>
        <s v="Mohammad Farasha"/>
        <s v="Mohammad Majzoub"/>
        <s v="Nadim Kiwan"/>
        <s v="Mohammad Khair Bezzi"/>
        <s v="May Alayesh"/>
        <s v="Sara Alabbasi"/>
        <s v="Gadah Saud"/>
        <s v="Moayad Sami Abedalqader Yassin"/>
        <s v="Micheal Fahmy"/>
        <s v="Mohammad Masri"/>
        <s v="Abdelrahman Matar"/>
        <s v="Faisal Alajmah"/>
      </sharedItems>
    </cacheField>
    <cacheField name="Floor" numFmtId="0">
      <sharedItems containsBlank="1">
        <s v="GF"/>
        <s v="1st"/>
        <s v="2nd"/>
        <s v="1st Floor"/>
        <s v="G"/>
        <s v="Mez"/>
        <s v="2nd Floor"/>
        <s v="3rd"/>
        <s v="Roof"/>
        <m/>
        <s v="FF"/>
        <s v="Annex"/>
      </sharedItems>
    </cacheField>
    <cacheField name="County" numFmtId="0">
      <sharedItems containsBlank="1">
        <s v="North West"/>
        <s v="North"/>
        <s v="Center"/>
        <m/>
        <s v="East"/>
        <s v="North East"/>
        <s v="South West"/>
        <s v="South"/>
        <s v="South East"/>
      </sharedItems>
    </cacheField>
    <cacheField name="Churn Date">
      <sharedItems containsDate="1" containsMixedTypes="1">
        <s v=""/>
        <d v="2026-02-25T00:00:00Z"/>
        <d v="2026-02-12T00:00:00Z"/>
        <d v="2026-03-01T00:00:00Z"/>
        <d v="2026-02-28T00:00:00Z"/>
        <d v="2026-02-15T00:00:00Z"/>
        <d v="2026-04-15T00:00:00Z"/>
        <d v="2026-04-18T00:00:00Z"/>
        <d v="2026-02-20T00:00:00Z"/>
        <d v="2026-03-31T00:00:00Z"/>
        <d v="2026-03-04T00:00:00Z"/>
        <d v="2026-04-30T00:00:00Z"/>
        <d v="2026-03-10T00:00:00Z"/>
        <d v="2026-03-11T00:00:00Z"/>
        <d v="2026-03-29T00:00:00Z"/>
        <d v="2026-04-12T00:00:00Z"/>
        <d v="2026-02-11T00:00:00Z"/>
        <d v="2026-03-21T00:00:00Z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728" sheet="SF Kitchen Data"/>
  </cacheSource>
  <cacheFields>
    <cacheField name="Account Name" numFmtId="0">
      <sharedItems>
        <s v="SA - RUH - Aqiq"/>
        <s v="SA - RUH - Arid (2)"/>
        <s v="SA - RUH - Narjis"/>
        <s v="SA - RUH - Mursalat"/>
        <s v="SA - RUH - Malga (1)"/>
        <s v="SA - QSM - Al Bishr"/>
        <s v="SA - AHS - Hofuf"/>
        <s v="SA - RUH - Khaleej"/>
        <s v="SA - RUH - Olaya"/>
        <s v="SA - RUH - Wadi"/>
        <s v="SA - RUH - Qurtoba"/>
        <s v="SA - RUH - Dahrat Laban"/>
        <s v="SA - DMM - Zuhur"/>
        <s v="SA - KBR - Aqrabiya"/>
        <s v="SA - RUH - Yasmin"/>
        <s v="SA - DMM - Rawda"/>
        <s v="SA - RUH - Sulimaniyah"/>
        <s v="SA - RUH - Malga (2)"/>
        <s v="SA - RUH - Sweidi"/>
        <s v="SA - RUH - King Fahd"/>
        <s v="SA - RUH - Jarir"/>
        <s v="SA - RUH - Arid (1)"/>
        <s v="SA - RUH - Rawda"/>
        <s v="SA - RUH - Tuwaiq"/>
        <s v="SA - RUH - Salam"/>
        <s v="BH - MAN - Umm al Hassam"/>
        <s v="BH - MAN - Isa Town"/>
        <s v="SA - RUH - King Faisal"/>
        <s v="SA - RUH - Sweidi (2)"/>
        <s v="SA - KBR - Rakah"/>
        <s v="SA - DMM - Ghirnatah (2)"/>
        <s v="SA - RUH - Wurud"/>
        <s v="SA - RUH - Aqiq (2)"/>
        <s v="SA - DMM - Jamiah (2)"/>
      </sharedItems>
    </cacheField>
    <cacheField name="Type" numFmtId="0">
      <sharedItems containsBlank="1">
        <s v="CPU"/>
        <s v="Hot"/>
        <s v="Cold"/>
        <s v="Hot Kitchen"/>
        <m/>
      </sharedItems>
    </cacheField>
    <cacheField name="Category" numFmtId="0">
      <sharedItems containsBlank="1">
        <s v="X"/>
        <s v="Cold"/>
        <s v="C"/>
        <s v="D"/>
        <s v="E"/>
        <s v="A"/>
        <s v="B"/>
        <s v="G"/>
        <s v="F"/>
        <s v="H"/>
        <m/>
        <s v="Retail Space"/>
        <s v="J"/>
        <s v="I"/>
        <s v="K"/>
      </sharedItems>
    </cacheField>
    <cacheField name="Kitchen Number ID 18" numFmtId="0">
      <sharedItems>
        <s v="a1LVO000003qvTV2AY"/>
        <s v="a1LVO000004E6w52AC"/>
        <s v="a1L6T00000iJA28UAG"/>
        <s v="a1LVO000004E7H32AK"/>
        <s v="a1LVO000002yMFp2AM"/>
        <s v="a1LVO000002yMHR2A2"/>
        <s v="a1LVO000002yMJ32AM"/>
        <s v="a1LVO000002yMAz2AM"/>
        <s v="a1LVO000002yMCb2AM"/>
        <s v="a1LVO000002yMED2A2"/>
        <s v="a1LVO000002yM9N2AU"/>
        <s v="a1LVO000002yM7l2AE"/>
        <s v="a1LVO000002yMfd2AE"/>
        <s v="a1LVO000002yMhF2AU"/>
        <s v="a1LVO000002yMcP2AU"/>
        <s v="a1LVO000002yMe12AE"/>
        <s v="a1LVO000002yMan2AE"/>
        <s v="a1LVO000002yMVx2AM"/>
        <s v="a1LVO000002yMXZ2A2"/>
        <s v="a1LVO000002yMZB2A2"/>
        <s v="a1LVO000002yMSj2AM"/>
        <s v="a1LVO000002yMUL2A2"/>
        <s v="a1LVO000002yMNt2AM"/>
        <s v="a1LVO000002yMPV2A2"/>
        <s v="a1LVO000002yMR72AM"/>
        <s v="a1LVO000002yMKf2AM"/>
        <s v="a1LVO000002yMMH2A2"/>
        <s v="a1L5G000004NKhtUAG"/>
        <s v="a1L5G000004NKhvUAG"/>
        <s v="a1L5G000004NKhwUAG"/>
        <s v="a1L5G000004NKhlUAG"/>
        <s v="a1L6T00000d2MvuUAE"/>
        <s v="a1L6T00000iJLZdUAO"/>
        <s v="a1L5G000004NSiDUAW"/>
        <s v="a1L5G000004Tzj8UAC"/>
        <s v="a1L5G000004TzoXUAS"/>
        <s v="a1L5G000004TzpbUAC"/>
        <s v="a1L5G000004TzsPUAS"/>
        <s v="a1L5G000004TzmgUAC"/>
        <s v="a1L5G000004TzoIUAS"/>
        <s v="a1L5G000004NecqUAC"/>
        <s v="a1L5G000004NSi3UAG"/>
        <s v="a1L5G000004NYIEUA4"/>
        <s v="a1L5G000004NYIDUA4"/>
        <s v="a1L5G000004NYI4UAO"/>
        <s v="a1L5G000004TzstUAC"/>
        <s v="a1L5G000004TzsoUAC"/>
        <s v="a1L5G000004TzsjUAC"/>
        <s v="a1L5G000004TztDUAS"/>
        <s v="a1L5G000004TzuuUAC"/>
        <s v="a1LVO000004E9Nh2AK"/>
        <s v="a1L6T00000iJdvcUAC"/>
        <s v="a1L6T00000iJdvVUAS"/>
        <s v="a1L5G000004NKhmUAG"/>
        <s v="a1L5G000004NKhoUAG"/>
        <s v="a1L6T00000iJ1ELUA0"/>
        <s v="a1L6T00000iJ1EPUA0"/>
        <s v="a1L6T00000iJ1EJUA0"/>
        <s v="a1L6T00000iJ1E9UAK"/>
        <s v="a1L6T00000iJBZYUA4"/>
        <s v="a1L6T00000kcQBPUA2"/>
        <s v="a1L5G000004OE0RUAW"/>
        <s v="a1L5G000004OE0WUAW"/>
        <s v="a1L5G000004OE0LUAW"/>
        <s v="a1L5G000004NsYWUA0"/>
        <s v="a1L5G000004Tzk1UAC"/>
        <s v="a1L5G000004TzkBUAS"/>
        <s v="a1L5G000004TzpfUAC"/>
        <s v="a1L5G000004TzlTUAS"/>
        <s v="a1L5G000004NSfYUAW"/>
        <s v="a1L5G000004NShrUAG"/>
        <s v="a1L5G000004TzjmUAC"/>
        <s v="a1L5G000004TzijUAC"/>
        <s v="a1L5G000004OE0KUAW"/>
        <s v="a1L5G000004TzpkUAC"/>
        <s v="a1L5G000004TzqjUAC"/>
        <s v="a1L5G000004NSi8UAG"/>
        <s v="a1L5G000004Nx5eUAC"/>
        <s v="a1L5G000004NtRYUA0"/>
        <s v="a1L5G000004TzjcUAC"/>
        <s v="a1L5G000004NYILUA4"/>
        <s v="a1L5G000004NSi6UAG"/>
        <s v="a1L5G000004NSiEUAW"/>
        <s v="a1L5G000004NsYcUAK"/>
        <s v="a1L5G000004NsYTUA0"/>
        <s v="a1L5G000004OE0PUAW"/>
        <s v="a1L5G000004OE0ZUAW"/>
        <s v="a1L5G000004NKhiUAG"/>
        <s v="a1L5G000004NtPNUA0"/>
        <s v="a1L5G000004TzkkUAC"/>
        <s v="a1L5G000004NsYnUAK"/>
        <s v="a1L5G000004NechUAC"/>
        <s v="a1L5G000004TzpGUAS"/>
        <s v="a1L5G000004NKhkUAG"/>
        <s v="a1L5G000004NKhhUAG"/>
        <s v="a1L5G000004NYHzUAO"/>
        <s v="a1L6T00000iJ1EGUA0"/>
        <s v="a1L6T00000jr3nTUAQ"/>
        <s v="a1L6T00000iJ1E7UAK"/>
        <s v="a1L5G000004NKhnUAG"/>
        <s v="a1L5G000004NsYRUA0"/>
        <s v="a1L5G000004Tzm7UAC"/>
        <s v="a1L5G000004NtPXUA0"/>
        <s v="a1L6T00000iIryFUAS"/>
        <s v="a1L6T00000iJA2IUAW"/>
        <s v="a1L6T00000iJLZfUAO"/>
        <s v="a1L5G000004NShzUAG"/>
        <s v="a1L6T00000d2NFLUA2"/>
        <s v="a1L5G000004TzlxUAC"/>
        <s v="a1L5G000004TzlEUAS"/>
        <s v="a1L5G000004NtPxUAK"/>
        <s v="a1L5G000004Tzq4UAC"/>
        <s v="a1L5G000004NsYhUAK"/>
        <s v="a1L5G000004TzmHUAS"/>
        <s v="a1L5G000004Tzm2UAC"/>
        <s v="a1L5G000004NsYHUA0"/>
        <s v="a1L5G000004NKhgUAG"/>
        <s v="a1L5G000004Tzi5UAC"/>
        <s v="a1L5G000004OE0EUAW"/>
        <s v="a1L6T00000iJBZOUA4"/>
        <s v="a1L5G000004OE0SUAW"/>
        <s v="a1L5G000004NtQkUAK"/>
        <s v="a1L6T00000jT5yFUAS"/>
        <s v="a1L6T00000d2MvpUAE"/>
        <s v="a1L5G000004TziUUAS"/>
        <s v="a1L5G000004OE0IUAW"/>
        <s v="a1L6T00000nGqU5UAK"/>
        <s v="a1L6T00000nGqTlUAK"/>
        <s v="a1L6T00000nGqTzUAK"/>
        <s v="a1L6T00000nGqU0UAK"/>
        <s v="a1L6T00000nGqTrUAK"/>
        <s v="a1L6T00000nGqTnUAK"/>
        <s v="a1L6T00000nGqU2UAK"/>
        <s v="a1L6T00000nGqTqUAK"/>
        <s v="a1L6T00000nGqTxUAK"/>
        <s v="a1L6T00000nGqTmUAK"/>
        <s v="a1L6T00000nGqToUAK"/>
        <s v="a1L6T00000nGqTpUAK"/>
        <s v="a1L6T00000nGqTsUAK"/>
        <s v="a1L6T00000nGqTtUAK"/>
        <s v="a1L6T00000nGqTuUAK"/>
        <s v="a1L6T00000nGqTvUAK"/>
        <s v="a1L6T00000nGqTwUAK"/>
        <s v="a1L6T00000nGqTyUAK"/>
        <s v="a1L6T00000nGqU1UAK"/>
        <s v="a1L6T00000nGqU3UAK"/>
        <s v="a1L6T00000nGqU4UAK"/>
        <s v="a1L6T00000mlijWUAQ"/>
        <s v="a1L6T00000iJLZeUAO"/>
        <s v="a1L6T00000iJdvTUAS"/>
        <s v="a1L6T00000jT5yGUAS"/>
        <s v="a1L5G000004NtPhUAK"/>
        <s v="a1L5G000004NsYIUA0"/>
        <s v="a1L5G000004Tzl4UAC"/>
        <s v="a1L5G000004OE0NUAW"/>
        <s v="a1L6T00000iJdvhUAC"/>
        <s v="a1L6T00000iJdvkUAC"/>
        <s v="a1L6T00000iJ1EKUA0"/>
        <s v="a1L5G000004TzmbUAC"/>
        <s v="a1L6T00000iJdvbUAC"/>
        <s v="a1L5G000004OE0GUAW"/>
        <s v="a1L6T00000jqjwmUAA"/>
        <s v="a1L5G000004NSi0UAG"/>
        <s v="a1L6T00000jqjwxUAA"/>
        <s v="a1L6T00000jqjwsUAA"/>
        <s v="a1L6T00000jqjwoUAA"/>
        <s v="a1L5G000004NsYSUA0"/>
        <s v="a1L6T00000jqjwtUAA"/>
        <s v="a1L6T00000jqjx2UAA"/>
        <s v="a1L6T00000jqjwpUAA"/>
        <s v="a1L6T00000jqjwvUAA"/>
        <s v="a1L6T00000jqjwkUAA"/>
        <s v="a1L6T00000jqjwiUAA"/>
        <s v="a1L6T00000jqjwuUAA"/>
        <s v="a1L6T00000jqjwwUAA"/>
        <s v="a1L6T00000jqjwlUAA"/>
        <s v="a1L6T00000jqjwjUAA"/>
        <s v="a1L6T00000jqjx1UAA"/>
        <s v="a1L6T00000jqjwnUAA"/>
        <s v="a1L6T00000jqjwqUAA"/>
        <s v="a1L6T00000jqjwzUAA"/>
        <s v="a1L6T00000jqjx0UAA"/>
        <s v="a1L6T00000jqjwrUAA"/>
        <s v="a1L6T00000jqjwyUAA"/>
        <s v="a1L5G000004TzrRUAS"/>
        <s v="a1L6T00000jr3nhUAA"/>
        <s v="a1L5G000004NYIPUA4"/>
        <s v="a1L6T00000iJLZcUAO"/>
        <s v="a1L5G000004NSiMUAW"/>
        <s v="a1L5G000004NYIFUA4"/>
        <s v="a1L5G000004TzlJUAS"/>
        <s v="a1L6T00000iJBYLUA4"/>
        <s v="a1L6T00000iJdvjUAC"/>
        <s v="a1L5G000004TzqEUAS"/>
        <s v="a1L5G000004NKhjUAG"/>
        <s v="a1L5G000004TzsAUAS"/>
        <s v="a1L6T00000jT5yHUAS"/>
        <s v="a1L5G000004TzsFUAS"/>
        <s v="a1L5G000004TzuzUAC"/>
        <s v="a1L5G000004NKhuUAG"/>
        <s v="a1L6T00000iJdvlUAC"/>
        <s v="a1L5G000004TzppUAC"/>
        <s v="a1L5G000004TzqJUAS"/>
        <s v="a1L6T00000jqyJCUAY"/>
        <s v="a1L6T00000jqyJGUAY"/>
        <s v="a1L6T00000jqyJEUAY"/>
        <s v="a1L6T00000jqyJFUAY"/>
        <s v="a1L6T00000jqyJDUAY"/>
        <s v="a1L6T00000jqyJKUAY"/>
        <s v="a1L6T00000jqyJJUAY"/>
        <s v="a1L6T00000jqyJHUAY"/>
        <s v="a1L6T00000jqyJIUAY"/>
        <s v="a1L6T00000jqyJ7UAI"/>
        <s v="a1L6T00000jqyJ8UAI"/>
        <s v="a1L6T00000jqyJLUAY"/>
        <s v="a1L6T00000jqyJ9UAI"/>
        <s v="a1L6T00000jqyJAUAY"/>
        <s v="a1L6T00000jqyJ5UAI"/>
        <s v="a1L6T00000jqyJ6UAI"/>
        <s v="a1L6T00000jqyJBUAY"/>
        <s v="a1L6T00000jqyJMUAY"/>
        <s v="a1L6T00000iJLZYUA4"/>
        <s v="a1L5G000004NShwUAG"/>
        <s v="a1L5G000004OE0QUAW"/>
        <s v="a1L6T00000iJ1ERUA0"/>
        <s v="a1L5G000004TziVUAS"/>
        <s v="a1L5G000004TzjXUAS"/>
        <s v="a1L5G000004TzjIUAS"/>
        <s v="a1L6T00000iJA2NUAW"/>
        <s v="a1L6T00000iJdveUAC"/>
        <s v="a1L6T00000jqkpKUAQ"/>
        <s v="a1L6T00000jqkpDUAQ"/>
        <s v="a1L5G000004TzsKUAS"/>
        <s v="a1L5G000004NSfdUAG"/>
        <s v="a1L5G000004TzvEUAS"/>
        <s v="a1L6T00000iJA2DUAW"/>
        <s v="a1L5G000004TzpuUAC"/>
        <s v="a1L6T00000iJdvZUAS"/>
        <s v="a1L6T00000jqkp4UAA"/>
        <s v="a1L6T00000jqkp7UAA"/>
        <s v="a1L6T00000jqkp6UAA"/>
        <s v="a1L6T00000jqkp1UAA"/>
        <s v="a1L6T00000jqkpJUAQ"/>
        <s v="a1L6T00000jqkpIUAQ"/>
        <s v="a1L6T00000jqkpLUAQ"/>
        <s v="a1L5G000004TzkaUAC"/>
        <s v="a1L5G000004NtPSUA0"/>
        <s v="a1L6T00000iJdvmUAC"/>
        <s v="a1L5G000004TzkfUAC"/>
        <s v="a1L5G000004NSi9UAG"/>
        <s v="a1L5G000004TzrqUAC"/>
        <s v="a1L5G000004OE0XUAW"/>
        <s v="a1L6T00000iJA2GUAW"/>
        <s v="a1L5G000004OE0JUAW"/>
        <s v="a1L6T00000iJdvfUAC"/>
        <s v="a1L5G000004NShoUAG"/>
        <s v="a1L5G000004NtREUA0"/>
        <s v="a1LVO000004E7Ab2AK"/>
        <s v="a1L5G000004NShxUAG"/>
        <s v="a1L6T00000mlk8DUAQ"/>
        <s v="a1L5G000004OE0MUAW"/>
        <s v="a1L6T00000iJA2EUAW"/>
        <s v="a1L6T00000d2QHyUAM"/>
        <s v="a1L6T00000d2QHxUAM"/>
        <s v="a1L6T00000iJA2JUAW"/>
        <s v="a1L6T00000iJA2TUAW"/>
        <s v="a1L6T00000iJA2QUAW"/>
        <s v="a1L6T00000iJA2SUAW"/>
        <s v="a1L6T00000iJA2RUAW"/>
        <s v="a1L6T00000iJA2PUAW"/>
        <s v="a1L6T00000iJBZ4UAO"/>
        <s v="a1L6T00000iJBZ9UAO"/>
        <s v="a1L6T00000iJBYZUA4"/>
        <s v="a1L6T00000iJBZNUA4"/>
        <s v="a1L5G000004TzrgUAC"/>
        <s v="a1L5G000004TzowUAC"/>
        <s v="a1L5G000004TzneUAC"/>
        <s v="a1L5G000004NSiHUAW"/>
        <s v="a1L6T00000jqkpHUAQ"/>
        <s v="a1L6T00000iJBZ3UAO"/>
        <s v="a1L6T00000iJdvgUAC"/>
        <s v="a1L6T00000iJBYVUA4"/>
        <s v="a1L6T00000mlk8FUAQ"/>
        <s v="a1L6T00000iJBZ8UAO"/>
        <s v="a1L5G000004TzjwUAC"/>
        <s v="a1L6T00000iJBYzUAO"/>
        <s v="a1L6T00000iJBYyUAO"/>
        <s v="a1L5G000004OE0DUAW"/>
        <s v="a1L6T00000iJA2OUAW"/>
        <s v="a1L5G000004TzkbUAC"/>
        <s v="a1L6T00000jqkp3UAA"/>
        <s v="a1L5G000004OE0FUAW"/>
        <s v="a1LVO000004AxED2A0"/>
        <s v="a1LVO000004H3aH2AS"/>
        <s v="a1L6T00000iJBYuUAO"/>
        <s v="a1L6T00000iJA2FUAW"/>
        <s v="a1L5G000004Tzo8UAC"/>
        <s v="a1L5G000004NsYiUAK"/>
        <s v="a1L6T00000iJA2KUAW"/>
        <s v="a1L5G000004NeciUAC"/>
        <s v="a1L6T00000iJdvUUAS"/>
        <s v="a1L6T00000nGqVLUA0"/>
        <s v="a1L6T00000nGqVOUA0"/>
        <s v="a1L6T00000nGqVJUA0"/>
        <s v="a1L6T00000nGqVQUA0"/>
        <s v="a1L6T00000nGqVRUA0"/>
        <s v="a1L6T00000nGqVKUA0"/>
        <s v="a1L6T00000nGqVPUA0"/>
        <s v="a1L6T00000nGqVSUA0"/>
        <s v="a1L6T00000nGqVTUA0"/>
        <s v="a1LVO000004WfKH2A0"/>
        <s v="a1L6T00000mllwzUAA"/>
        <s v="a1L6T00000jr77EUAQ"/>
        <s v="a1L5G000004NYIMUA4"/>
        <s v="a1LVO000001aKVt2AM"/>
        <s v="a1L5G000004NSiFUAW"/>
        <s v="a1L6T00000mllx4UAA"/>
        <s v="a1L5G000004NYIKUA4"/>
        <s v="a1L6T00000iJA2HUAW"/>
        <s v="a1L6T00000jr77DUAQ"/>
        <s v="a1L6T00000iJBYaUAO"/>
        <s v="a1L5G000004NrUZUA0"/>
        <s v="a1L6T00000mlk8OUAQ"/>
        <s v="a1L6T00000mlk8LUAQ"/>
        <s v="a1L5G000004Tzi0UAC"/>
        <s v="a1L6T00000mllx9UAA"/>
        <s v="a1L5G000004TzrWUAS"/>
        <s v="a1L5G000004NtPcUAK"/>
        <s v="a1L5G000004NWeKUAW"/>
        <s v="a1L5G000004NsYlUAK"/>
        <s v="a1L5G000004TzqFUAS"/>
        <s v="a1L6T00000d2MvLUAU"/>
        <s v="a1L5G000004Tzl9UAC"/>
        <s v="a1L5G000004Ned8UAC"/>
        <s v="a1L5G000004NecjUAC"/>
        <s v="a1L5G000004NeczUAC"/>
        <s v="a1L5G000004NectUAC"/>
        <s v="a1L5G000004NecgUAC"/>
        <s v="a1L5G000004NecmUAC"/>
        <s v="a1L5G000004NeceUAC"/>
        <s v="a1L5G000004Ned6UAC"/>
        <s v="a1L5G000004NecfUAC"/>
        <s v="a1LVO000004MBVZ2A4"/>
        <s v="a1L5G000004TznyUAC"/>
        <s v="a1L5G000004NShyUAG"/>
        <s v="a1L5G000004NtPmUAK"/>
        <s v="a1L5G000004TziAUAS"/>
        <s v="a1L5G000004TztXUAS"/>
        <s v="a1L6T00000iJA2BUAW"/>
        <s v="a1LVO000004X0IH2A0"/>
        <s v="a1L6T00000iJBYUUA4"/>
        <s v="a1L6T00000iJBZSUA4"/>
        <s v="a1L5G000004TztwUAC"/>
        <s v="a1L5G000004TzthUAC"/>
        <s v="a1L5G000004TztrUAC"/>
        <s v="a1L5G000004Tzu1UAC"/>
        <s v="a1L5G000004TzibUAC"/>
        <s v="a1L5G000004Tzs1UAC"/>
        <s v="a1L5G000004Tzu6UAC"/>
        <s v="a1L5G000004TzuBUAS"/>
        <s v="a1L5G000004TzuGUAS"/>
        <s v="a1L5G000004TzuQUAS"/>
        <s v="a1L5G000004TzuVUAS"/>
        <s v="a1L5G000004NtQ1UAK"/>
        <s v="a1L5G000004TzufUAC"/>
        <s v="a1L5G000004Tzq0UAC"/>
        <s v="a1L6T00000iJdvWUAS"/>
        <s v="a1L5G000004TztmUAC"/>
        <s v="a1L5G000004TzuaUAC"/>
        <s v="a1L5G000004TznuUAC"/>
        <s v="a1LVO000004X0II2A0"/>
        <s v="a1L5G000004TzvJUAS"/>
        <s v="a1L5G000004TzukUAC"/>
        <s v="a1L5G000004Tzt8UAC"/>
        <s v="a1LVO000004Wf7N2AS"/>
        <s v="a1L5G000004TztcUAC"/>
        <s v="a1L5G000004TzuLUAS"/>
        <s v="a1L6T00000jr3nRUAQ"/>
        <s v="a1L5G000004TziaUAC"/>
        <s v="a1L6T00000iJ1E8UAK"/>
        <s v="a1L5G000004TzpBUAS"/>
        <s v="a1L5G000004NGZNUA4"/>
        <s v="a1L6T00000mllxEUAQ"/>
        <s v="a1L5G000004TzmMUAS"/>
        <s v="a1L6T00000mlk8KUAQ"/>
        <s v="a1L5G000004TzrlUAC"/>
        <s v="a1L6T00000iJdviUAC"/>
        <s v="a1L5G000004Tzv4UAC"/>
        <s v="a1L6T00000iJA2VUAW"/>
        <s v="a1L5G000004OE0UUAW"/>
        <s v="a1L5G000004NtQLUA0"/>
        <s v="a1L5G000004TzjEUAS"/>
        <s v="a1L5G000004NSfiUAG"/>
        <s v="a1L5G000004NYIOUA4"/>
        <s v="a1L6T00000iJLZgUAO"/>
        <s v="a1L5G000004NLfoUAG"/>
        <s v="a1L5G000004TzliUAC"/>
        <s v="a1L6T00000iJLZiUAO"/>
        <s v="a1L6T00000jr3nMUAQ"/>
        <s v="a1LVO000004WfH42AK"/>
        <s v="a1LVO000002JcLN2A0"/>
        <s v="a1L5G000004NShsUAG"/>
        <s v="a1L5G000004TznFUAS"/>
        <s v="a1L5G000004TznZUAS"/>
        <s v="a1L6T00000jqkp5UAA"/>
        <s v="a1L6T00000iJ1E5UAK"/>
        <s v="a1L5G000004NYI3UAO"/>
        <s v="a1LVO000004E7492AC"/>
        <s v="a1L5G000004NYI8UAO"/>
        <s v="a1L6T00000iJBYKUA4"/>
        <s v="a1L5G000004NsYXUA0"/>
        <s v="a1LVO000004E7Lt2AK"/>
        <s v="a1LVO000004E70v2AC"/>
        <s v="a1L5G000004NSiGUAW"/>
        <s v="a1L5G000004TzohUAC"/>
        <s v="a1L5G000004NYIIUA4"/>
        <s v="a1L6T00000iJBYGUA4"/>
        <s v="a1L6T00000jr77CUAQ"/>
        <s v="a1L5G000004NSiCUAW"/>
        <s v="a1L5G000004TzjNUAS"/>
        <s v="a1L5G000004NtR4UAK"/>
        <s v="a1LVO000004Wf902AC"/>
        <s v="a1L6T00000jr3nnUAA"/>
        <s v="a1LVO000004E7KH2A0"/>
        <s v="a1L5G000004NYI1UAO"/>
        <s v="a1L5G000004NSiIUAW"/>
        <s v="a1L5G000004TzrvUAC"/>
        <s v="a1L5G000004TzldUAC"/>
        <s v="a1L6T00000iJBYtUAO"/>
        <s v="a1L6T00000iJdvaUAC"/>
        <s v="a1L5G000004TziKUAS"/>
        <s v="a1L5G000004TzlYUAS"/>
        <s v="a1LVO000004WfKI2A0"/>
        <s v="a1L5G000004Tzs5UAC"/>
        <s v="a1L6T00000jqkpAUAQ"/>
        <s v="a1LVO000004WfNW2A0"/>
        <s v="a1L5G000004Ned7UAC"/>
        <s v="a1L5G000004TzmRUAS"/>
        <s v="a1L6T00000iJ1EQUA0"/>
        <s v="a1L6T00000iJdvXUAS"/>
        <s v="a1L5G000004NShqUAG"/>
        <s v="a1L6T00000iJ1E6UAK"/>
        <s v="a1L6T00000iJ1EHUA0"/>
        <s v="a1L5G000004TznoUAC"/>
        <s v="a1LVO000004WfFS2A0"/>
        <s v="a1L5G000004NSiNUAW"/>
        <s v="a1L5G000004TzlOUAS"/>
        <s v="a1L5G000004NKhpUAG"/>
        <s v="a1LVO000002JcTR2A0"/>
        <s v="a1LVO000002JcMz2AK"/>
        <s v="a1LVO000002JcQD2A0"/>
        <s v="a1LVO000002JcYH2A0"/>
        <s v="a1LVO0000049DLV2A2"/>
        <s v="a1LVO0000049DLW2A2"/>
        <s v="a1L5G000004TzkVUAS"/>
        <s v="a1L6T00000iJLZoUAO"/>
        <s v="a1L5G000004OE0TUAW"/>
        <s v="a1L5G000004NtQQUA0"/>
        <s v="a1LVO000004RAqd2AG"/>
        <s v="a1L6T00000iJA2LUAW"/>
        <s v="a1L5G000004NShpUAG"/>
        <s v="a1LVO000004WfP72AK"/>
        <s v="a1L5G000004NYI7UAO"/>
        <s v="a1L5G000004NecrUAC"/>
        <s v="a1LVO000004Wf8z2AC"/>
        <s v="a1L6T00000iJ1EEUA0"/>
        <s v="a1L6T00000mlk8MUAQ"/>
        <s v="a1L6T00000iJA27UAG"/>
        <s v="a1L5G000004NtQ6UAK"/>
        <s v="a1LVO000004WfCE2A0"/>
        <s v="a1L5G000004TzmvUAC"/>
        <s v="a1L6T00000mlk8IUAQ"/>
        <s v="a1LVO000004Wf7O2AS"/>
        <s v="a1L6T00000jr3nVUAQ"/>
        <s v="a1L6T00000jr3nXUAQ"/>
        <s v="a1L6T00000mlk8XUAQ"/>
        <s v="a1L6T00000jr3naUAA"/>
        <s v="a1L5G000004TzkGUAS"/>
        <s v="a1LVO0000056Lq52AE"/>
        <s v="a1L5G000004TziZUAS"/>
        <s v="a1L6T00000iJdvdUAC"/>
        <s v="a1L5G000004TzntUAC"/>
        <s v="a1L5G000004NSi4UAG"/>
        <s v="a1L5G000004TzmqUAC"/>
        <s v="a1LVO000004E7NV2A0"/>
        <s v="a1L6T00000mlk8GUAQ"/>
        <s v="a1L5G000004TzjiUAC"/>
        <s v="a1L6T00000iJLZbUAO"/>
        <s v="a1LVO000004E77N2AS"/>
        <s v="a1L6T00000jqkpBUAQ"/>
        <s v="a1L5G000004TzoSUAS"/>
        <s v="a1L5G000004NYINUA4"/>
        <s v="a1L6T00000iJBZDUA4"/>
        <s v="a1L6T00000iJBZTUA4"/>
        <s v="a1L6T00000iJBZXUA4"/>
        <s v="a1L5G000004TzkzUAC"/>
        <s v="a1L5G000004NsYmUAK"/>
        <s v="a1L6T00000jr3ngUAA"/>
        <s v="a1L5G000004TztIUAS"/>
        <s v="a1LVO000002JcRp2AK"/>
        <s v="a1LVO000002JcV32AK"/>
        <s v="a1LVO0000049DLX2A2"/>
        <s v="a1LVO000002JcWf2AK"/>
        <s v="a1LVO0000049DLY2A2"/>
        <s v="a1LVO000002JcOb2AK"/>
        <s v="a1L5G000004NtPrUAK"/>
        <s v="a1L5G000004OE0HUAW"/>
        <s v="a1L5G000004OE0aUAG"/>
        <s v="a1L5G000004NsYdUAK"/>
        <s v="a1L5G000004OE0YUAW"/>
        <s v="a1L5G000004Tzp1UAC"/>
        <s v="a1L5G000004Tzp6UAC"/>
        <s v="a1L5G000004OE0OUAW"/>
        <s v="a1L5G000004NSi5UAG"/>
        <s v="a1L6T00000iJBYQUA4"/>
        <s v="a1L5G000004Tzo3UAC"/>
        <s v="a1L5G000004NSi1UAG"/>
        <s v="a1L6T00000iJ1ENUA0"/>
        <s v="a1LVO0000056Lq72AE"/>
        <s v="a1LVO0000056LqG2AU"/>
        <s v="a1LVO0000056Lq92AE"/>
        <s v="a1LVO0000056LqB2AU"/>
        <s v="a1LVO0000056Lq62AE"/>
        <s v="a1LVO0000056Lq82AE"/>
        <s v="a1LVO0000056LqC2AU"/>
        <s v="a1LVO0000056LqI2AU"/>
        <s v="a1LVO0000056LqA2AU"/>
        <s v="a1LVO0000056LqD2AU"/>
        <s v="a1LVO0000056LqE2AU"/>
        <s v="a1LVO0000056LqF2AU"/>
        <s v="a1LVO0000056LqH2AU"/>
        <s v="a1L5G000004NLftUAG"/>
        <s v="a1L6T00000iJLZlUAO"/>
        <s v="a1L5G000004TzmWUAS"/>
        <s v="a1L6T00000jr3nkUAA"/>
        <s v="a1L6T00000iJBYFUA4"/>
        <s v="a1L6T00000mlk8UUAQ"/>
        <s v="a1L6T00000mlk8WUAQ"/>
        <s v="a1L6T00000mlk8VUAQ"/>
        <s v="a1L6T00000mlk8TUAQ"/>
        <s v="a1L6T00000mlk8EUAQ"/>
        <s v="a1L5G000004TznUUAS"/>
        <s v="a1L6T00000jqkpFUAQ"/>
        <s v="a1L5G000004TznGUAS"/>
        <s v="a1L6T00000d2NFGUA2"/>
        <s v="a1L6T00000iJLZaUAO"/>
        <s v="a1LVO000004E9XN2A0"/>
        <s v="a1L5G000004NsYrUAK"/>
        <s v="a1L5G000004NSiJUAW"/>
        <s v="a1L6T00000mlk8RUAQ"/>
        <s v="a1L6T00000mlk8PUAQ"/>
        <s v="a1L5G000004TzqnUAC"/>
        <s v="a1L6T00000mlk8SUAQ"/>
        <s v="a1L6T00000mlk8QUAQ"/>
        <s v="a1L6T00000mlk8HUAQ"/>
        <s v="a1L5G000004TzmlUAC"/>
        <s v="a1LVO0000052kK62AI"/>
        <s v="a1LVO0000052kKA2AY"/>
        <s v="a1L5G000004TzjDUAS"/>
        <s v="a1L5G000004NtQaUAK"/>
        <s v="a1L6T00000iJ1ESUA0"/>
        <s v="a1L6T00000iJLZhUAO"/>
        <s v="a1L6T00000jqkpEUAQ"/>
        <s v="a1L6T00000iJ1ETUA0"/>
        <s v="a1L5G000004TzpaUAC"/>
        <s v="a1LVO000005MsV72AK"/>
        <s v="a1L6T00000jr3nQUAQ"/>
        <s v="a1L5G000004TzocUAC"/>
        <s v="a1L6T00000jqkp9UAA"/>
        <s v="a1L6T00000jr3nOUAQ"/>
        <s v="a1L6T00000nGqVNUA0"/>
        <s v="a1L6T00000iJ1ECUA0"/>
        <s v="a1L5G000004TzrbUAC"/>
        <s v="a1L5G000004TzoDUAS"/>
        <s v="a1LVO000004WfDq2AK"/>
        <s v="a1LVO000004WfDp2AK"/>
        <s v="a1LVO000004WfFR2A0"/>
        <s v="a1L5G000004NsYJUA0"/>
        <s v="a1L5G000004TzkQUAS"/>
        <s v="a1L5G000004TzpLUAS"/>
        <s v="a1L5G000004NtQGUA0"/>
        <s v="a1L5G000004TzkLUAS"/>
        <s v="a1L5G000004NSi2UAG"/>
        <s v="a1L5G000004NSfTUAW"/>
        <s v="a1L6T00000jqkp2UAA"/>
        <s v="a1LVO000004WfCD2A0"/>
        <s v="a1L5G000004TzjrUAC"/>
        <s v="a1L5G000004TzkpUAC"/>
        <s v="a1L5G000004NtROUA0"/>
        <s v="a1L5G000004NtQzUAK"/>
        <s v="a1L6T00000d2MvaUAE"/>
        <s v="a1LVO000004E6sr2AC"/>
        <s v="a1LVO000004RAqb2AG"/>
        <s v="a1L5G000004TznjUAC"/>
        <s v="a1L5G000004NYI9UAO"/>
        <s v="a1LVO000004RAsE2AW"/>
        <s v="a1L5G000004TzorUAC"/>
        <s v="a1L6T00000jr3nWUAQ"/>
        <s v="a1LVO000004WfIg2AK"/>
        <s v="a1LVO000004WfNV2A0"/>
        <s v="a1LVO000004WfIf2AK"/>
        <s v="a1LVO000004WfLu2AK"/>
        <s v="a1LVO000004WfLt2AK"/>
        <s v="a1L5G000004NGZOUA4"/>
        <s v="a1L6T00000iJ1EDUA0"/>
        <s v="a1L5G000004NSiAUAW"/>
        <s v="a1L5G000004NsYMUA0"/>
        <s v="a1L6T00000iJ1EAUA0"/>
        <s v="a1L6T00000kcQBKUA2"/>
        <s v="a1L6T00000iJ1EMUA0"/>
        <s v="a1L6T00000iJ1EBUA0"/>
        <s v="a1L6T00000jr3nYUAQ"/>
        <s v="a1L6T00000jr3nZUAQ"/>
        <s v="a1L6T00000jr3njUAA"/>
        <s v="a1L6T00000jr3ndUAA"/>
        <s v="a1L6T00000iJ1EIUA0"/>
        <s v="a1L5G000004NeclUAC"/>
        <s v="a1L5G000004TzsUUAS"/>
        <s v="a1L5G000004TzlnUAC"/>
        <s v="a1LVO000004E7If2AK"/>
        <s v="a1LVO000004WfAb2AK"/>
        <s v="a1LVO000000Z6XB2A0"/>
        <s v="a1L5G000004OE0CUAW"/>
        <s v="a1L6T00000jr3nLUAQ"/>
        <s v="a1LVO000004E6rF2AS"/>
        <s v="a1LVO000004Kx6T2AS"/>
        <s v="a1LVO0000052kK12AI"/>
        <s v="a1L5G000004NtRdUAK"/>
        <s v="a1L5G000004Tzn5UAC"/>
        <s v="a1L5G000004TztSUAS"/>
        <s v="a1LVO000004RAqc2AG"/>
        <s v="a1LVO000004RAtq2AG"/>
        <s v="a1LVO000004RAtr2AG"/>
        <s v="a1L6T00000jqkpMUAQ"/>
        <s v="a1LVO0000052kKG2AY"/>
        <s v="a1LVO000004OIO52AO"/>
        <s v="a1L5G000004TzoNUAS"/>
        <s v="a1L5G000004OE0BUAW"/>
        <s v="a1LVO000004RAsH2AW"/>
        <s v="a1L5G000004NSiLUAW"/>
        <s v="a1L6T00000jr3nNUAQ"/>
        <s v="a1LVO000004RAtt2AG"/>
        <s v="a1LVO000004RAts2AG"/>
        <s v="a1LVO000004Kx4r2AC"/>
        <s v="a1LVO000004RAvR2AW"/>
        <s v="a1LVO000004RAvS2AW"/>
        <s v="a1L6T00000jr3nSUAQ"/>
        <s v="a1L6T00000iJA2CUAW"/>
        <s v="a1L5G000004NtRTUA0"/>
        <s v="a1L5G000004NtR9UAK"/>
        <s v="a1L5G000004TziPUAS"/>
        <s v="a1L5G000004TziFUAS"/>
        <s v="a1L5G000004TzioUAC"/>
        <s v="a1L5G000004TzipUAC"/>
        <s v="a1L5G000004TzieUAC"/>
        <s v="a1LVO000004OIG12AO"/>
        <s v="a1L5G000004TzhvUAC"/>
        <s v="a1L5G000004Tzj3UAC"/>
        <s v="a1L5G000004TzkHUAS"/>
        <s v="a1L5G000004TzjhUAC"/>
        <s v="a1L5G000004TzkIUAS"/>
        <s v="a1L5G000004TziyUAC"/>
        <s v="a1L5G000004TzjSUAS"/>
        <s v="a1L5G000004Tzk6UAC"/>
        <s v="a1L5G000004TzitUAC"/>
        <s v="a1L5G000004TzpVUAS"/>
        <s v="a1L5G000004TzpQUAS"/>
        <s v="a1L5G000004TzomUAC"/>
        <s v="a1L5G000004Tzr7UAC"/>
        <s v="a1L5G000004Tzr2UAC"/>
        <s v="a1L5G000004TzqTUAS"/>
        <s v="a1L5G000004TzqOUAS"/>
        <s v="a1L5G000004Tzq9UAC"/>
        <s v="a1L5G000004TzqxUAC"/>
        <s v="a1L5G000004Tzs0UAC"/>
        <s v="a1L5G000004TzqiUAC"/>
        <s v="a1L5G000004TzrMUAS"/>
        <s v="a1L5G000004TzrHUAS"/>
        <s v="a1L5G000004TzqdUAC"/>
        <s v="a1L5G000004TzqYUAS"/>
        <s v="a1L5G000004TzsZUAS"/>
        <s v="a1L5G000004Tzt3UAC"/>
        <s v="a1L5G000004TzlsUAC"/>
        <s v="a1L5G000004Tzn0UAC"/>
        <s v="a1L5G000004TzmCUAS"/>
        <s v="a1L5G000004TzkuUAC"/>
        <s v="a1L5G000004TznPUAS"/>
        <s v="a1L5G000004TznKUAS"/>
        <s v="a1L5G000004TznAUAS"/>
        <s v="a1L6T00000iJLZjUAO"/>
        <s v="a1L6T00000iJLZkUAO"/>
        <s v="a1L6T00000iJLZmUAO"/>
        <s v="a1L6T00000iJLZnUAO"/>
        <s v="a1L6T00000iJLZpUAO"/>
        <s v="a1L6T00000iJLZZUA4"/>
        <s v="a1LVO000004OIeD2AW"/>
        <s v="a1LVO000004OIcb2AG"/>
        <s v="a1LVO000004OIfp2AG"/>
        <s v="a1LVO000004OIaz2AG"/>
        <s v="a1LVO000004OIZN2A4"/>
        <s v="a1L6T00000mlijXUAQ"/>
        <s v="a1LVO000004OISv2AO"/>
        <s v="a1LVO000004OIW92AO"/>
        <s v="a1LVO000004OIUX2A4"/>
        <s v="a1LVO000004OIRJ2A4"/>
        <s v="a1L6T00000mlk8JUAQ"/>
        <s v="a1L6T00000mlk8NUAQ"/>
        <s v="a1LVO000004OIJF2A4"/>
        <s v="a1LVO000004OIHd2AO"/>
        <s v="a1L5G000004Ned4UAC"/>
        <s v="a1L5G000004Ned5UAC"/>
        <s v="a1L5G000004Ned2UAC"/>
        <s v="a1LVO000004RAtp2AG"/>
        <s v="a1L5G000004NeckUAC"/>
        <s v="a1L5G000004NecnUAC"/>
        <s v="a1L5G000004NecdUAC"/>
        <s v="a1LVO000004RAsG2AW"/>
        <s v="a1LVO000004RAsF2AW"/>
        <s v="a1LVO000004RAsD2AW"/>
        <s v="a1LVO000004RAqe2AG"/>
        <s v="a1LVO000004RAqf2AG"/>
        <s v="a1L5G000004NSiKUAW"/>
        <s v="a1LVO000005Telq2AC"/>
        <s v="a1LVO000005Telr2AC"/>
        <s v="a1L5G000004NSiBUAW"/>
        <s v="a1LVO000005Telg2AC"/>
      </sharedItems>
    </cacheField>
    <cacheField name="Kitchen Number Name" numFmtId="0">
      <sharedItems>
        <s v="K22 (CPU) - SA - RUH - Aqiq"/>
        <s v="K04 (Cold) - SA - RUH - Arid (2)"/>
        <s v="K01 (Cold) - SA - RUH - Narjis"/>
        <s v="K17 (Hot) - SA - RUH - Arid (2)"/>
        <s v="K06 (Hot) - SA - MUR"/>
        <s v="K07 (Hot) - SA - MUR"/>
        <s v="K08 (Hot) - SA - MUR"/>
        <s v="K03 (Hot) - SA - MUR"/>
        <s v="K04 (Hot) - SA - MUR"/>
        <s v="K05 (Hot) - SA - MUR"/>
        <s v="K02 (Hot) - SA - MUR"/>
        <s v="K01 (Hot) - SA - MUR"/>
        <s v="K23 (Hot) - SA - MUR"/>
        <s v="K22 (Hot) - SA - MUR"/>
        <s v="K21 (Hot) - SA - MUR"/>
        <s v="K20 (Hot) - SA - MUR"/>
        <s v="K18 (Hot) - SA - MUR"/>
        <s v="K16 (Hot) - SA - MUR"/>
        <s v="K17 (Hot) - SA - MUR"/>
        <s v="K19 (Hot) - SA - MUR"/>
        <s v="K14 (Hot) - SA - MUR"/>
        <s v="K15 (Hot) - SA - MUR"/>
        <s v="K11 (Hot) - SA - MUR"/>
        <s v="K12 (Hot) - SA - MUR"/>
        <s v="K13 (Hot) - SA - MUR"/>
        <s v="K09 (Hot) - SA - MUR"/>
        <s v="K10 (Hot) - SA - MUR"/>
        <s v="K16 (Hot) - SA - RUH - Malga 1"/>
        <s v="K18 (Hot) - SA - RUH - Malga 1"/>
        <s v="K19 (Hot) - SA - RUH - Malga 1"/>
        <s v="K08 (Hot) - SA - RUH - Malga 1"/>
        <s v="K13 (Hot) - SA - RUH - QSM"/>
        <s v="K06 (Hot)- KSA - AHS- Hofuf"/>
        <s v="K26 (Hot) - SA - RUH - Khaleej"/>
        <s v="K16 (Hot) - SA - RUH - Olaya"/>
        <s v="K07 (Hot) - SA - RUH - Wadi"/>
        <s v="K45 (Hot) - SA - RUH - Wadi"/>
        <s v="K10 (Hot) SA - RUH - Qurtoba"/>
        <s v="K16 (Hot) - SA - RUH - Dahrat Laban"/>
        <s v="K04 (Hot) - SA - RUH - Wadi"/>
        <s v="K22 (Hot) - SA - DMM - Zuhur"/>
        <s v="K16 (Hot) - SA - RUH - Khaleej"/>
        <s v="K16 (Hot) - SA - KBR - Aqrabiya"/>
        <s v="K15 (Hot) - SA - KBR - Aqrabiya"/>
        <s v="K06 (Hot) - SA - KBR - Aqrabiya"/>
        <s v="K18 (Hot) SA - RUH - Qurtoba"/>
        <s v="K16 (Hot) SA - RUH - Qurtoba"/>
        <s v="K15 (Hot) SA - RUH - Qurtoba"/>
        <s v="K22 (Hot) SA - RUH - Qurtoba"/>
        <s v="K02 (Cold) SA - RUH - Qurtoba"/>
        <s v="K05 (Hot) - SA - RUH - Arid (2)"/>
        <s v="K10 (Cold) - SA - RUH - Yasmin"/>
        <s v="K03 (Hot) - SA - RUH - Yasmin"/>
        <s v="K09 (Cold) - SA - RUH - Malga 1"/>
        <s v="K11 (Cold) - SA - RUH - Malga 1"/>
        <s v="K12 (Hot) - SA - DMM - Rawda"/>
        <s v="K06 (Hot) - SA - DMM - Rawda"/>
        <s v="K18 (Cold) - SA - DMM - Rawda"/>
        <s v="K05 (Hot) - SA - DMM - Rawda"/>
        <s v="K25 (Hot) - SA - RUH - Sulimaniyah"/>
        <s v="K20 (Hot) - SA - DMM - Zuhur"/>
        <s v="K19 (Hot) - SA - RUH - Malga 2"/>
        <s v="K10 (Hot) - SA - RUH - Malga 2"/>
        <s v="K09 (Hot) - SA - RUH - Malga 2"/>
        <s v="K17 (Hot) - SA - RUH - Aqiq"/>
        <s v="K05 (Hot) - SA - RUH - Sweidi"/>
        <s v="K07 (Hot) - SA - RUH - Sweidi"/>
        <s v="K23 (Hot) - SA - RUH - Wadi"/>
        <s v="K04 (Cold) - SA - RUH - Sweidi"/>
        <s v="K21 (Cold) - SA - RUH - Malga 1"/>
        <s v="K12 (Cold) - SA - RUH - Khaleej"/>
        <s v="K03 (Hot) - SA - RUH - Sweidi"/>
        <s v="K11 (Hot) - SA - RUH - Olaya"/>
        <s v="K13 (Hot) - SA - RUH - Malga 2"/>
        <s v="K24 (Hot) - SA - RUH - Wadi"/>
        <s v="K11 (Hot) SA - RUH - Qurtoba"/>
        <s v="K21 (Hot) - SA - RUH - Khaleej"/>
        <s v="K09 (Cold) - SA - RUH - Dahrat Laban"/>
        <s v="K17 (Hot) - SA - RUH - King Fahd"/>
        <s v="K02 (Hot) - SA - RUH - Sweidi"/>
        <s v="K23 (Cold) - SA - KBR - Aqrabiya"/>
        <s v="K19 (Cold) - SA - RUH - Khaleej"/>
        <s v="K27 (Hot) - SA - RUH - Khaleej"/>
        <s v="K11 (Hot) - SA - RUH - Aqiq"/>
        <s v="K18 (Cold) - SA - RUH - Aqiq"/>
        <s v="K01 (Hot) - SA - RUH - Malga 2"/>
        <s v="K20 (Cold) - SA - RUH - Malga 2"/>
        <s v="K05 (Hot) - SA - RUH - Malga 1"/>
        <s v="K05 (Hot) - SA - RUH - King Fahd"/>
        <s v="K14 (Hot) - SA - RUH - Sweidi"/>
        <s v="K13 (Hot) - SA - RUH - Aqiq"/>
        <s v="K14 (CPU) - SA - DMM - Zuhur"/>
        <s v="K18 (Hot) - SA - RUH - Wadi"/>
        <s v="K07 (Cold) - SA - RUH - Malga 1"/>
        <s v="K04 (Hot) - SA - RUH - Malga 1"/>
        <s v="K01 (Hot) - SA - KBR - Aqrabiya"/>
        <s v="K02 (Hot) - SA - DMM - Rawda"/>
        <s v="K13 (Hot) - SA - RUH - Jarir"/>
        <s v="K10 (Hot) - SA - DMM - Rawda"/>
        <s v="K10 (Hot) - SA - RUH - Malga 1"/>
        <s v="K19 (Cold) - SA - RUH - Aqiq"/>
        <s v="K09 (Hot) - SA - RUH - Dahrat Laban"/>
        <s v="K09 (Cold) - SA - RUH - King Fahd"/>
        <s v="K14 (Cold) - SA - RUH - Khaleej"/>
        <s v="K08 (Hot) - SA - RUH - Narjis"/>
        <s v="K08 (Cold)- KSA - AHS- Hofuf"/>
        <s v="K06 (Hot) - SA - RUH - Khaleej"/>
        <s v="K02 (CPU) - SA - RUH - QSM"/>
        <s v="K07 (Hot) - SA - RUH - Dahrat Laban"/>
        <s v="K02 (Cold) - SA - RUH - Sweidi"/>
        <s v="K18 (Hot) - SA - RUH - King Fahd"/>
        <s v="K28 (Hot) - SA - RUH - Wadi"/>
        <s v="K21 (Cold) - SA - RUH - Aqiq"/>
        <s v="K11 (Hot) - SA - RUH - Dahrat Laban"/>
        <s v="K08 (Hot) - SA - RUH - Dahrat Laban"/>
        <s v="K03 (Hot) - SA - RUH - Aqiq"/>
        <s v="K03 (Hot) - SA - RUH - Malga 1"/>
        <s v="K03 (Hot) - SA - RUH - Olaya"/>
        <s v="K25 (Cold) - SA - RUH - Malga 2"/>
        <s v="K20 (Hot) - SA - RUH - Sulimaniyah"/>
        <s v="K23 (Hot) - SA - RUH - Malga 2"/>
        <s v="K28 (Hot) - SA - RUH - King Fahd"/>
        <s v="K28 (CPU) - SA - KBR - Aqrabiya"/>
        <s v="K12 (Cold) - SA - RUH - QSM"/>
        <s v="K08 (Hot) - SA - RUH - Olaya"/>
        <s v="K24 (Cold) - SA - RUH - Malga 2"/>
        <s v="K21 (CPU) - SA - RUH - Arid"/>
        <s v="K01 (Hot) - SA - RUH - Arid"/>
        <s v="K15 (Hot) - SA - RUH - Arid"/>
        <s v="K16 (Hot) - SA - RUH - Arid"/>
        <s v="K07 (Hot) - SA - RUH - Arid"/>
        <s v="K03 (Hot) - SA - RUH - Arid"/>
        <s v="K18 (Hot) - SA - RUH - Arid"/>
        <s v="K06 (Hot) - SA - RUH - Arid"/>
        <s v="K13 (Hot) - SA - RUH - Arid"/>
        <s v="K02 (Hot) - SA - RUH - Arid"/>
        <s v="K04 (Hot) - SA - RUH - Arid"/>
        <s v="K05 (Hot) - SA - RUH - Arid"/>
        <s v="K08 (Hot) - SA - RUH - Arid"/>
        <s v="K09 (Hot) - SA - RUH - Arid"/>
        <s v="K10 (Hot) - SA - RUH - Arid"/>
        <s v="K11 (Hot) - SA - RUH - Arid"/>
        <s v="K12 (Hot) - SA - RUH - Arid"/>
        <s v="K14 (Hot) - SA - RUH - Arid"/>
        <s v="K17 (Hot) - SA - RUH - Arid"/>
        <s v="K19 (Hot) - SA - RUH - Arid"/>
        <s v="K20 (Cold) - SA - RUH - Arid"/>
        <s v="K19 (CPU) - KSA - AHS- Hofuf"/>
        <s v="K07 (Cold)- KSA - AHS- Hofuf"/>
        <s v="K01 (Cold) - SA - RUH - Yasmin"/>
        <s v="K29 (CPU) - SA - KBR - Aqrabiya"/>
        <s v="K27 (Hot) - SA - RUH - King Fahd"/>
        <s v="K02 (Hot) - SA - RUH - Aqiq"/>
        <s v="K18 (Hot) - SA - RUH - Sweidi"/>
        <s v="K07 (Cold) - SA - RUH - Malga 2"/>
        <s v="K15 (Hot) - SA - RUH - Yasmin"/>
        <s v="K18 (Hot) - SA - RUH - Yasmin"/>
        <s v="K08 (Hot) - SA - DMM - Rawda"/>
        <s v="K15 (Hot) - SA - RUH - Dahrat Laban"/>
        <s v="K09 (Hot) - SA - RUH - Yasmin"/>
        <s v="K15 (Cold) - SA - RUH - Malga 2"/>
        <s v="K01 (Hot) - SA - RUH - Rawdah"/>
        <s v="K07 (Hot) - SA - RUH - Khaleej"/>
        <s v="K16 (Cold) - SA - RUH - Rawdah"/>
        <s v="K18 (Hot) - SA - RUH - Rawdah"/>
        <s v="K09 (Hot) - SA - RUH - Rawdah"/>
        <s v="K16 (Hot) - SA - RUH - Aqiq"/>
        <s v="K20 (Hot) - SA - RUH - Rawdah"/>
        <s v="K08 (Hot) - SA - RUH - Rawdah"/>
        <s v="K06 (Cold) - SA - RUH - Rawdah"/>
        <s v="K19 (Hot) - SA - RUH - Rawdah"/>
        <s v="K05 (Hot) - SA - RUH - Rawdah"/>
        <s v="K02 (Cold) - SA - RUH - Rawdah"/>
        <s v="K11 (Hot) - SA - RUH - Rawdah"/>
        <s v="K03 (Cold) - SA - RUH - Rawdah"/>
        <s v="K04 (Cold) - SA - RUH - Rawdah"/>
        <s v="K07 (Hot) - SA - RUH - Rawdah"/>
        <s v="K10 (Hot) - SA - RUH - Rawdah"/>
        <s v="K12 (Hot) - SA - RUH - Rawdah"/>
        <s v="K13 (Hot) - SA - RUH - Rawdah"/>
        <s v="K14 (Hot) - SA - RUH - Rawdah"/>
        <s v="K21 (Hot) - SA - RUH - Rawdah"/>
        <s v="K15 (Hot) - SA - RUH - Rawdah"/>
        <s v="K17 (Hot) - SA - RUH - Rawdah"/>
        <s v="K47 (Hot) - SA - RUH - Wadi"/>
        <s v="K23 (Cold) - SA - RUH - Jarir"/>
        <s v="K27 (Cold) - SA - KBR - Aqrabiya"/>
        <s v="K05 (Hot)- KSA - AHS- Hofuf"/>
        <s v="K35 (Cold) - SA - RUH - Khaleej"/>
        <s v="K17 (Hot) - SA - KBR - Aqrabiya"/>
        <s v="K01 (Hot) - SA - RUH - Dahrat Laban"/>
        <s v="K04 (Hot) - SA - RUH - Sulimaniyah"/>
        <s v="K17 (Hot) - SA - RUH - Yasmin"/>
        <s v="K31 (Hot) - SA - RUH - Wadi"/>
        <s v="K06 (Cold) - SA - RUH - Malga 1"/>
        <s v="K07 (Hot) SA - RUH - Qurtoba"/>
        <s v="K30 (CPU) - SA - KBR - Aqrabiya"/>
        <s v="K08 (Hot) SA - RUH - Qurtoba"/>
        <s v="K04 (Cold) SA - RUH - Qurtoba"/>
        <s v="K17 (Hot) - SA - RUH - Malga 1"/>
        <s v="K19 (Hot) - SA - RUH - Yasmin"/>
        <s v="K25 (Hot) - SA - RUH - Wadi"/>
        <s v="K30 (Hot) - SA - RUH - Wadi"/>
        <s v="K02 (Cold) - SA - RUH - Tuwaiq"/>
        <s v="K14 (Hot) - SA - RUH - Tuwaiq"/>
        <s v="K05 (Hot) - SA - RUH - Tuwaiq"/>
        <s v="K15 (Hot) - SA - RUH - Tuwaiq"/>
        <s v="K08 (Cold) - SA - RUH - Tuwaiq"/>
        <s v="K16 (Cold) - SA - RUH - Tuwaiq"/>
        <s v="K18 (Hot) - SA - RUH - Tuwaiq"/>
        <s v="K10 (Hot) - SA - RUH - Tuwaiq"/>
        <s v="K11 (Hot) - SA - RUH - Tuwaiq"/>
        <s v="K04 (Hot) - SA - RUH - Tuwaiq"/>
        <s v="K07 (Hot) - SA - RUH - Tuwaiq"/>
        <s v="K17 (Cold) - SA - RUH - Tuwaiq"/>
        <s v="K03 (Hot) - SA - RUH - Tuwaiq"/>
        <s v="K06 (Hot) - SA - RUH - Tuwaiq"/>
        <s v="K01 (Cold) - SA - RUH - Tuwaiq"/>
        <s v="K09 (Cold) - SA - RUH - Tuwaiq"/>
        <s v="K13 (Hot) - SA - RUH - Tuwaiq"/>
        <s v="K12 (Hot) - SA - RUH - Tuwaiq"/>
        <s v="K01 (Hot) - KSA - AHS - Hofuf"/>
        <s v="K03 (Hot) - SA - RUH - Khaleej"/>
        <s v="K16 (Hot) - SA - RUH - Malga 2"/>
        <s v="K19 (Hot) - SA - DMM - Rawda"/>
        <s v="K22 (Hot) - SA - RUH - Dahrat Laban"/>
        <s v="K02 (Cold) - SA - RUH - Olaya"/>
        <s v="K18 (Hot) - SA - RUH - Olaya"/>
        <s v="K12 (Hot) - SA - RUH - Narjis"/>
        <s v="K12 (Hot) - SA - RUH - Yasmin"/>
        <s v="K21 (Cold) - SA - RUH - Salam"/>
        <s v="K12 (Hot) - SA - RUH - Salam"/>
        <s v="K09 (Hot) SA - RUH - Qurtoba"/>
        <s v="K22 (Cold) - SA - RUH - Malga 1"/>
        <s v="K06 (Cold) SA - RUH - Qurtoba"/>
        <s v="K02 (Cold) - SA - RUH - Narjis"/>
        <s v="K26 (Hot) - SA - RUH - Wadi"/>
        <s v="K07 (Hot) - SA - RUH - Yasmin"/>
        <s v="K20 (Cold) - SA - RUH - Salam"/>
        <s v="K14 (Hot) - SA - RUH - Salam"/>
        <s v="K13 (Hot) - SA - RUH - Salam"/>
        <s v="K15 (Cold) - SA - RUH - Salam"/>
        <s v="K17 (Hot) - SA - RUH - Salam"/>
        <s v="K18 (Hot) - SA - RUH - Salam"/>
        <s v="K19 (Hot) - SA - RUH - Salam"/>
        <s v="K12 (Hot) - SA - RUH - Sweidi"/>
        <s v="K06 (Hot) - SA - RUH - King Fahd"/>
        <s v="K20 (Hot) - SA - RUH - Yasmin"/>
        <s v="K13 (Hot) - SA - RUH - Sweidi"/>
        <s v="K22 (Hot) - SA - RUH - Khaleej"/>
        <s v="K03 (Hot) SA - RUH - Qurtoba"/>
        <s v="K12 (Hot) - SA - RUH - Malga 2"/>
        <s v="K19 (Hot) - SA - RUH - Narjis"/>
        <s v="K14 (Hot) - SA - RUH - Malga 2"/>
        <s v="K13 (Hot) - SA - RUH - Yasmin"/>
        <s v="K01 (Hot) - SA - RUH - Khaleej"/>
        <s v="K21 (Hot) - SA - RUH - King Fahd"/>
        <s v="K13 (Hot) - SA - RUH - Arid (2)"/>
        <s v="K04 (Hot) - SA - RUH - Khaleej"/>
        <s v="K01 (Hot) - BH - MAN - UAH"/>
        <s v="K21 (Cold) - SA - RUH - Malga 2"/>
        <s v="K05 (Hot) - SA - RUH - Narjis"/>
        <s v="K27 (Hot) - SA - RUH - Narjis"/>
        <s v="K26 (Hot) - SA - RUH - Narjis"/>
        <s v="K20 (Hot) - SA - RUH - Narjis"/>
        <s v="K21 (Hot) - SA - RUH - Narjis"/>
        <s v="K22 (Hot) - SA - RUH - Narjis"/>
        <s v="K23 (Hot) - SA - RUH - Narjis"/>
        <s v="K25 (Hot) - SA - RUH - Narjis"/>
        <s v="K24 (Hot) - SA - RUH - Narjis"/>
        <s v="K14 (Hot) - SA - RUH - Sulimaniyah"/>
        <s v="K16 (Hot) - SA - RUH - Sulimaniyah"/>
        <s v="K17 (Hot) - SA - RUH - Sulimaniyah"/>
        <s v="K19 (Hot) - SA - RUH - Sulimaniyah"/>
        <s v="K02 (Hot) SA - RUH - Qurtoba"/>
        <s v="K12 (Hot) - SA - RUH - Wadi"/>
        <s v="K01 (Cold) - SA - RUH - Dahrat Laban"/>
        <s v="K30 (Cold) - SA - RUH - Khaleej"/>
        <s v="K24 (Hot) - SA - RUH - Salam"/>
        <s v="K13 (Hot) - SA - RUH - Sulimaniyah"/>
        <s v="K14 (Hot) - SA - RUH - Yasmin"/>
        <s v="K10 (Cold) - SA - RUH - Sulimaniyah"/>
        <s v="K03 (Hot) - BH - MAN - UAH"/>
        <s v="K15 (Hot) - SA - RUH - Sulimaniyah"/>
        <s v="K04 (Cold) - SA - RUH - Olaya"/>
        <s v="K12 (Hot) - SA - RUH - Sulimaniyah"/>
        <s v="K11 (Cold) - SA - RUH - Sulimaniyah"/>
        <s v="K06 (Cold) - SA - RUH - Malga 2"/>
        <s v="K13 (Hot) - SA - RUH - Narjis"/>
        <s v="K03 (Cold) - SA - RUH - Dahrat Laban"/>
        <s v="K11 (Cold) - SA - RUH - Salam"/>
        <s v="K03 (Hot) - SA - RUH - Malga 2"/>
        <s v="K24 (CPU) - SA - RUH - Jarir"/>
        <s v="K26 (CPU) - SA - RUH - Sulimaniyah"/>
        <s v="K08 (Hot) - SA - RUH - Sulimaniyah"/>
        <s v="K06 (Hot) - SA - RUH - Narjis"/>
        <s v="K03 (Hot) - SA - RUH - Wadi"/>
        <s v="K07 (Hot) - SA - RUH - Aqiq"/>
        <s v="K04 (Hot) - SA - RUH - Narjis"/>
        <s v="K01 (Hot) - SA - DMM - Zuhur"/>
        <s v="K02 (Cold) - SA - RUH - Yasmin"/>
        <s v="K03 (Hot) - BAH - MAN-Issa Town"/>
        <s v="K16 (Hot) - BAH - MAN-Issa Town"/>
        <s v="K05 (Hot) - BAH - MAN-Issa Town"/>
        <s v="K14 (Hot) - BAH - MAN-Issa Town"/>
        <s v="K13 (Hot) - BAH - MAN-Issa Town"/>
        <s v="K04 (Hot) - BAH - MAN-Issa Town"/>
        <s v="K15 (Hot) - BAH - MAN-Issa Town"/>
        <s v="K12 (Hot) - BAH - MAN-Issa Town"/>
        <s v="K11 (Hot) - BAH - MAN-Issa Town"/>
        <s v="K15 (Hot) - SA - RUH - King Faisal"/>
        <s v="K09 (Cold) - SA - RUH - Wadi"/>
        <s v="K29 (Hot) - SA - RUH - Malga 2"/>
        <s v="K24 (Cold) - SA - KBR - Aqrabiya"/>
        <s v="K18 (CPU) - SA - RUH - QSM"/>
        <s v="K28 (Hot) - SA - RUH - Khaleej"/>
        <s v="K10 (Cold) - SA - RUH - Wadi"/>
        <s v="K22 (Hot) - SA - KBR - Aqrabiya"/>
        <s v="K17 (Hot) - SA - RUH - Narjis"/>
        <s v="K22 (Hot) - SA - RUH - Malga 2"/>
        <s v="K18 (Cold) - SA - RUH - Sulimaniyah"/>
        <s v="K08 (Cold) - SA - RUH - Wadi"/>
        <s v="K11 (Hot) - BH - MAN - UAH"/>
        <s v="K14 (Hot) - BH - MAN - UAH"/>
        <s v="K02 (Hot) - SA - RUH - Olaya"/>
        <s v="K11 (Cold) - SA - RUH - Wadi"/>
        <s v="K01 (Hot) SA - RUH - Qurtoba"/>
        <s v="K11 (Cold) - SA - RUH - King Fahd"/>
        <s v="K07 (Cold) - SA - RUH - Wadi"/>
        <s v="K20 (Cold) - SA - RUH - Aqiq"/>
        <s v="K17 (Hot) SA - RUH - Qurtoba"/>
        <s v="K06 (Hot) - SA - RUH - QSM"/>
        <s v="K01 (Cold) - SA - RUH - Sweidi"/>
        <s v="K04 (Cold) - SA - DMM - Zuhur"/>
        <s v="K05 (Hot) - SA - DMM - Zuhur"/>
        <s v="K09 (Hot) - SA - DMM - Zuhur"/>
        <s v="K08 (Cold) - SA - DMM - Zuhur"/>
        <s v="K07 (Hot) - SA - DMM - Zuhur"/>
        <s v="K06 (Hot) - SA - DMM - Zuhur"/>
        <s v="K10 (Hot) - SA - DMM - Zuhur"/>
        <s v="K11 (Hot) - SA - DMM - Zuhur"/>
        <s v="K12 (Hot) - SA - DMM - Zuhur"/>
        <s v="K25 (CPU) - SA - DMM - Zuhur"/>
        <s v="K05 (Cold) - SA - RUH - Dahrat Laban"/>
        <s v="K05 (Hot) - SA - RUH - Khaleej"/>
        <s v="K19 (Hot) - SA - RUH - King Fahd"/>
        <s v="K04 (Hot) - SA - RUH - Olaya"/>
        <s v="K26 (Hot) SA - RUH - Qurtoba"/>
        <s v="K18 (Hot) - SA - RUH - Narjis"/>
        <s v="K28 (CPU) - SA - Narjis"/>
        <s v="K09 (Hot) - SA - RUH - Sulimaniyah"/>
        <s v="K21 (Hot) - SA - RUH - Sulimaniyah"/>
        <s v="K32 (Hot) SA - RUH - Qurtoba"/>
        <s v="K28 (Hot) SA - RUH - Qurtoba"/>
        <s v="K29 (Hot) SA - RUH - Qurtoba"/>
        <s v="K33 (Hot) SA - RUH - Qurtoba"/>
        <s v="K37 (Hot) SA - RUH - Qurtoba"/>
        <s v="K41 (Hot) SA - RUH - Qurtoba"/>
        <s v="K34 (Hot) SA - RUH - Qurtoba"/>
        <s v="K35 (Hot) SA - RUH - Qurtoba"/>
        <s v="K36 (Hot) SA - RUH - Qurtoba"/>
        <s v="K39 (Hot) SA - RUH - Qurtoba"/>
        <s v="K40 (Hot) SA - RUH - Qurtoba"/>
        <s v="K24 (Hot) - SA - RUH - King Fahd"/>
        <s v="K43 (Hot) SA - RUH - Qurtoba"/>
        <s v="K38 (Hot) - SA - RUH - Wadi"/>
        <s v="K04 (Hot) - SA - RUH - Yasmin"/>
        <s v="K31 (Hot) SA - RUH - Qurtoba"/>
        <s v="K42 (Hot) SA - RUH - Qurtoba"/>
        <s v="K30 (Hot) SA - RUH - Qurtoba"/>
        <s v="K45 (CPU) SA - RUH - Qurtoba"/>
        <s v="K07 (Cold) SA - RUH - Qurtoba"/>
        <s v="K44 (Hot) SA - RUH - Qurtoba"/>
        <s v="K21 (Hot) SA - RUH - Qurtoba"/>
        <s v="K01 (Hot) - SA - RUH - King Faisal"/>
        <s v="K27 (Hot) SA - RUH - Qurtoba"/>
        <s v="K38 (Hot) SA - RUH - Qurtoba"/>
        <s v="K09 (Cold) - SA - RUH - Jarir"/>
        <s v="K14 (Hot) - SA - RUH - Wadi"/>
        <s v="K16 (Hot) - SA - DMM - Rawda"/>
        <s v="K17 (Hot) - SA - RUH - Wadi"/>
        <s v="K03 (Cold) - SA - RUH - Wadi"/>
        <s v="K12 (Cold) - SA - RUH - Wadi"/>
        <s v="K12 (Hot) - SA - RUH - Dahrat Laban"/>
        <s v="K15 (Hot) - BH - MAN - UAH"/>
        <s v="K02 (Cold) - SA - RUH - Wadi"/>
        <s v="K16 (Cold) - SA - RUH - Yasmin"/>
        <s v="K03 (Cold) SA - RUH - Qurtoba"/>
        <s v="K15 (Hot) - SA - RUH - Narjis"/>
        <s v="K27 (Cold) - SA - RUH - Malga 2"/>
        <s v="K02 (Hot) - SA - RUH - King Fahd"/>
        <s v="K15 (Hot) - SA - RUH - Wadi"/>
        <s v="K23 (Cold) - SA - RUH - Malga 1"/>
        <s v="K26 (Cold) - SA - KBR - Aqrabiya"/>
        <s v="K09 (Cold)- KSA - AHS- Hofuf"/>
        <s v="K05 (Cold) - SA - RUH - Wadi"/>
        <s v="K06 (Cold) - SA - RUH - Sweidi"/>
        <s v="K11 (Hot)- KSA - AHS- Hofuf"/>
        <s v="K01 (Hot) - SA - RUH - Jarir"/>
        <s v="K14 (Hot) - SA - RUH - King Faisal"/>
        <s v="K01 (Hot) - SA - RUH - SWD2"/>
        <s v="K13 (Hot) - SA - RUH - Khaleej"/>
        <s v="K25 (Hot) - SA - RUH - Dahrat Laban"/>
        <s v="K29 (Hot) - SA - RUH - Dahrat Laban"/>
        <s v="K06 (Cold) - SA - RUH - Salam"/>
        <s v="K07 (Hot) - SA - DMM - Rawda"/>
        <s v="K05 (Hot) - SA - KBR - Aqrabiya"/>
        <s v="K09 (Hot) - SA - RUH - Arid (2)"/>
        <s v="K10 (Cold) - SA - KBR - Aqrabiya"/>
        <s v="K03 (Hot) - SA - RUH - Sulimaniyah"/>
        <s v="K08 (Hot) - SA - RUH - Aqiq"/>
        <s v="K20 (Hot) - SA - RUH - Arid (2)"/>
        <s v="K07 (Hot) - SA - RUH - Arid (2)"/>
        <s v="K29 (Cold) - SA - RUH - Khaleej"/>
        <s v="K09 (Hot) - SA - RUH - Wadi"/>
        <s v="K20 (Cold) - SA - KBR - Aqrabiya"/>
        <s v="K02 (Hot) - SA - RUH - Sulimaniyah"/>
        <s v="K02 (Hot) - SA - RUH - Malga 2"/>
        <s v="K25 (Hot) - SA - RUH - Khaleej"/>
        <s v="K01 (Hot) - SA - RUH - Sweidi"/>
        <s v="K29 (Cold) - SA - RUH - King Fahd"/>
        <s v="K04 (Hot) - SA - RUH - King Faisal"/>
        <s v="K19 (Hot) - SA - RUH - Jarir"/>
        <s v="K19 (Hot) - SA - RUH - Arid (2)"/>
        <s v="K03 (Hot) - SA - KBR - Aqrabiya"/>
        <s v="K31 (Hot) - SA - RUH - Khaleej"/>
        <s v="K05 (Hot) SA - RUH - Qurtoba"/>
        <s v="K05 (Cold) - SA - RUH - Sweidi"/>
        <s v="K07 (Hot) - SA - RUH - Sulimaniyah"/>
        <s v="K08 (Hot) - SA - RUH - Yasmin"/>
        <s v="K07 (Hot) - SA - RUH - Olaya"/>
        <s v="K03 (Hot) - SA - RUH - Dahrat Laban"/>
        <s v="K16 (Hot) - SA - RUH - King Faisal"/>
        <s v="K06 (Hot) SA - RUH - Qurtoba"/>
        <s v="K04 (Hot) - SA - RUH - Salam"/>
        <s v="K22 (Hot) - SA - RUH - King Faisal"/>
        <s v="K03 (Cold) - SA - DMM - Zuhur"/>
        <s v="K13 (Hot) - SA - RUH - Dahrat Laban"/>
        <s v="K22 (Hot) - SA - DMM - Rawda"/>
        <s v="K05 (Hot) - SA - RUH - Yasmin"/>
        <s v="K11 (Cold) - SA - RUH - Khaleej"/>
        <s v="K09 (Cold) - SA - DMM - Rawda"/>
        <s v="K23 (Hot) - SA - DMM - Rawda"/>
        <s v="K04 (Cold) - SA - RUH - Dahrat Laban"/>
        <s v="K12 (Hot) - SA - RUH - King Faisal"/>
        <s v="K36 (Cold) - SA - RUH - Khaleej"/>
        <s v="K03 (Cold) - SA - RUH - Sweidi"/>
        <s v="K12 (Hot) - SA - RUH - Malga 1"/>
        <s v="K06 (Hot) - SA - RUH - SWD2"/>
        <s v="K02 (Hot) - SA - RUH - SWD2"/>
        <s v="K04 (Hot) - SA - RUH - SWD2"/>
        <s v="K09 (Hot) - SA - RUH - SWD2"/>
        <s v="K10 (Hot) - SA - RUH - SWD2"/>
        <s v="K11 (Hot) - SA - RUH - SWD2"/>
        <s v="K11 (Hot) - SA - RUH - Sweidi"/>
        <s v="K17 (Cold)- KSA - AHS- Hofuf"/>
        <s v="K26 (Cold) - SA - RUH - Malga 2"/>
        <s v="K07 (Hot) - SA - RUH - King Fahd"/>
        <s v="K03 (Hot) - SA - KBR - Rakah"/>
        <s v="K10 (Hot) - SA - RUH - Narjis"/>
        <s v="K10 (Cold) - SA - RUH - Khaleej"/>
        <s v="K23 (Hot) - SA - RUH - King Faisal"/>
        <s v="K09 (Hot) - SA - KBR - Aqrabiya"/>
        <s v="K21 (Hot) - SA - DMM - Zuhur"/>
        <s v="K03 (Hot) - SA - RUH - King Faisal"/>
        <s v="K24 (Cold) - SA - DMM - Rawda"/>
        <s v="K13 (Hot) - BH - MAN - UAH"/>
        <s v="K03 (Cold) - SA - RUH - Narjis"/>
        <s v="K22 (Hot) - SA - RUH - King Fahd"/>
        <s v="K08 (Hot) - SA - RUH - King Faisal"/>
        <s v="K20 (Hot) - SA - RUH - Dahrat Laban"/>
        <s v="K17 (Hot) - BH - MAN - UAH"/>
        <s v="K02 (Hot) - SA - RUH - King Faisal"/>
        <s v="K14 (Hot) - SA - RUH - Jarir"/>
        <s v="K15 (Hot) - SA - RUH - Jarir"/>
        <s v="K21 (Hot) - BH - MAN - UAH"/>
        <s v="K02 (Hot) - SA - RUH - Jarir"/>
        <s v="K08 (Hot) - SA - RUH - Sweidi"/>
        <s v="K01 (Hot) - SA - DMM - Ghirnatah 2"/>
        <s v="K09 (Hot) - SA - RUH - Olaya"/>
        <s v="K11 (Cold) - SA - RUH - Yasmin"/>
        <s v="K01 (Hot) - SA - RUH - Wadi"/>
        <s v="K17 (Hot) - SA - RUH - Khaleej"/>
        <s v="K19 (Hot) - SA - RUH - Dahrat Laban"/>
        <s v="K21 (Hot) - SA - RUH - Arid (2)"/>
        <s v="K19 (Hot) - BH - MAN - UAH"/>
        <s v="K02 (Hot) - SA - RUH - Dahrat Laban"/>
        <s v="K04 (Hot)- KSA - AHS- Hofuf"/>
        <s v="K11 (Hot) - SA - RUH - Arid (2)"/>
        <s v="K08 (Hot) - SA - RUH - Salam"/>
        <s v="K06 (Hot) - SA - RUH - Wadi"/>
        <s v="K25 (Cold) - SA - KBR - Aqrabiya"/>
        <s v="K24 (Hot) - SA - RUH - Sulimaniyah"/>
        <s v="K22 (Cold) - SA - RUH - Sulimaniyah"/>
        <s v="K23 (Hot) - SA - RUH - Sulimaniyah"/>
        <s v="K17 (Hot) - SA - RUH - Sweidi"/>
        <s v="K05 (Hot) - SA - RUH - Aqiq"/>
        <s v="K04 (Hot) - SA - RUH - Jarir"/>
        <s v="K23 (Hot) SA - RUH - Qurtoba"/>
        <s v="K05 (Hot) - SA - RUH - SWD2"/>
        <s v="K07 (Hot) - SA - RUH - SWD2"/>
        <s v="K12 (Hot) - SA - RUH - SWD2"/>
        <s v="K08 (Hot) - SA - RUH - SWD2"/>
        <s v="K13 (Hot) - SA - RUH - SWD2"/>
        <s v="K03 (Hot) - SA - RUH - SWD2"/>
        <s v="K25 (Cold) - SA - RUH - King Fahd"/>
        <s v="K08 (Hot) - SA - RUH - Malga 2"/>
        <s v="K18 (Hot) - SA - RUH - Malga 2"/>
        <s v="K06 (Hot) - SA - RUH - Aqiq"/>
        <s v="K11 (Hot) - SA - RUH - Malga 2"/>
        <s v="K13 (Hot) - SA - RUH - Wadi"/>
        <s v="K16 (Hot) - SA - RUH - Wadi"/>
        <s v="K17 (Hot) - SA - RUH - Malga 2"/>
        <s v="K18 (Hot) - SA - RUH - Khaleej"/>
        <s v="K06 (Hot) - SA - RUH - Sulimaniyah"/>
        <s v="K02 (Hot) - SA - RUH - Wadi"/>
        <s v="K08 (Cold) - SA - RUH - Khaleej"/>
        <s v="K14 (Hot) - SA - DMM - Rawda"/>
        <s v="K03 (Hot) - SA - DMM - Ghirnatah 2"/>
        <s v="K12 (Hot) - SA - DMM - Ghirnatah 2"/>
        <s v="K05 (Hot) - SA - DMM - Ghirnatah 2"/>
        <s v="K07 (Hot) - SA - DMM - Ghirnatah 2"/>
        <s v="K02 (Hot) - SA - DMM - Ghirnatah 2"/>
        <s v="K04 (Hot) - SA - DMM - Ghirnatah 2"/>
        <s v="K08 (Hot) - SA - DMM - Ghirnatah 2"/>
        <s v="K14 (Hot) - SA - DMM - Ghirnatah 2"/>
        <s v="K06 (Hot) - SA - DMM - Ghirnatah 2"/>
        <s v="K09 (Hot) - SA - DMM - Ghirnatah 2"/>
        <s v="K10 (Hot) - SA - DMM - Ghirnatah 2"/>
        <s v="K11 (Hot) - SA - DMM - Ghirnatah 2"/>
        <s v="K13 (Hot) - SA - DMM - Ghirnatah 2"/>
        <s v="K06 (Cold) - SA - RUH - Wadi"/>
        <s v="K14 (Hot)- KSA - AHS- Hofuf"/>
        <s v="K14 (Hot) - SA - RUH - Dahrat Laban"/>
        <s v="K06 (Hot) - SA - RUH - Jarir"/>
        <s v="K01 (Cold) - SA - RUH - Sulimaniyah"/>
        <s v="K24 (Hot) - BH - MAN - UAH"/>
        <s v="K22 (Hot) - BH - MAN - UAH"/>
        <s v="K23 (Hot) - BH - MAN - UAH"/>
        <s v="K25 (Hot) - BH - MAN - UAH"/>
        <s v="K02 (Hot) - BH - MAN - UAH"/>
        <s v="K28 (Hot) - SA - RUH - Dahrat Laban"/>
        <s v="K23 (Hot) - SA - RUH - Salam"/>
        <s v="K06 (Cold) - SA - RUH - Dahrat Laban"/>
        <s v="K01 (CPU) - SA - RUH - QSM"/>
        <s v="K03 (Hot)- KSA - AHS- Hofuf"/>
        <s v="K16 (Hot) - SA - RUH - Arid (2)"/>
        <s v="K15 (Hot) - SA - RUH - Aqiq"/>
        <s v="K32 (Cold) - SA - RUH - Khaleej"/>
        <s v="K27 (Hot) - BH - MAN - UAH"/>
        <s v="K29 (Hot) - BH - MAN - UAH"/>
        <s v="K37 (Hot) - SA - RUH - Wadi"/>
        <s v="K26 (Hot) - BH - MAN - UAH"/>
        <s v="K28 (Hot) - BH - MAN - UAH"/>
        <s v="K18 (Hot) - BH - MAN - UAH"/>
        <s v="K18 (Hot) - SA - RUH - Dahrat Laban"/>
        <s v="K06 (Hot) - SA - RUH - Wurud"/>
        <s v="K10 (Hot) - SA - RUH - Wurud"/>
        <s v="K17 (Hot) - SA - RUH - Olaya"/>
        <s v="K08 (Hot) - SA - RUH - King Fahd"/>
        <s v="K20 (Hot) - SA - DMM - Rawda"/>
        <s v="K10 (Hot)- KSA - AHS- Hofuf"/>
        <s v="K09 (Hot) - SA - RUH - Salam"/>
        <s v="K21 (Hot) - SA - DMM - Rawda"/>
        <s v="K22 (Hot) - SA - RUH - Wadi"/>
        <s v="K46 (Hot) SA - RUH - Qurtoba"/>
        <s v="K11 (Hot) - SA - RUH - Jarir"/>
        <s v="K08 (Hot) - SA - RUH - Wadi"/>
        <s v="K22 (Hot) - SA - RUH - Salam"/>
        <s v="K05 (Cold) - SA - RUH - Jarir"/>
        <s v="K01 (Hot) - BAH - MAN-Issa Town"/>
        <s v="K15 (Hot) - SA - DMM - Rawda"/>
        <s v="K01 (Cold) - SA - RUH - Wadi"/>
        <s v="K07 (Cold) - SA - RUH - Dahrat Laban"/>
        <s v="K10 (Cold) - SA - RUH - King Faisal"/>
        <s v="K09 (Hot) - SA - RUH - King Faisal"/>
        <s v="K11 (Hot - SA - RUH - King Faisal"/>
        <s v="K10 (Hot) - SA - RUH - Aqiq"/>
        <s v="K10 (Hot) - SA - RUH - Sweidi"/>
        <s v="K19 (Hot) - SA - RUH - Wadi"/>
        <s v="K26 (Hot) - SA - RUH - King Fahd"/>
        <s v="K09 (Hot) - SA - RUH - Sweidi"/>
        <s v="K09 (Cold) - SA - RUH - Khaleej"/>
        <s v="K20 (Cold) - SA - RUH - Malga 1"/>
        <s v="K05 (Cold) - SA - RUH - Salam"/>
        <s v="K07 (Hot) - SA - RUH - King Faisal"/>
        <s v="K04 (Hot) - SA - RUH - Sweidi"/>
        <s v="K15 (Hot) - SA - RUH - Sweidi"/>
        <s v="K03 (Hot) - SA - RUH - King Fahd"/>
        <s v="K13 (Hot) - SA - RUH - King Fahd"/>
        <s v="K09 (Hot) - SA - RUH - QSM"/>
        <s v="K02 (Hot) - SA - RUH - Arid (2)"/>
        <s v="K01 (Hot) - SA - KBR - Rakah"/>
        <s v="K02 (Cold) - SA - RUH - Dahrat Laban"/>
        <s v="K11 (Hot) - SA - KBR - Aqrabiya"/>
        <s v="K07 (Hot) - SA - KBR - Rakah"/>
        <s v="K11 (Hot) - SA - RUH - Wadi"/>
        <s v="K10 (Hot) - SA - RUH - Jarir"/>
        <s v="K18 (Hot) - SA - RUH - King Faisal"/>
        <s v="K21 (Hot) - SA - RUH - King Faisal"/>
        <s v="K17 (Hot) - SA - RUH - King Faisal"/>
        <s v="K20 (Hot) - SA - RUH - King Faisal"/>
        <s v="K19 (Hot) - SA - RUH - King Faisal"/>
        <s v="K04 (Cold) - SA - RUH - Wadi"/>
        <s v="K17 (Hot) - SA - DMM - Rawda"/>
        <s v="K23 (Hot) - SA - RUH - Khaleej"/>
        <s v="K14 (Hot) - SA - RUH - Aqiq"/>
        <s v="K01 (Hot) - SA - DMM - Rawda"/>
        <s v="K02 (Hot) - SA - DMM - Zuhur"/>
        <s v="K13 (Hot) - SA - DMM - Rawda"/>
        <s v="K04 (Hot) - SA - DMM - Rawda"/>
        <s v="K17 (Hot) - SA - RUH - Jarir"/>
        <s v="K20 (Hot) - SA - RUH - Jarir"/>
        <s v="K22 (Hot) - SA - RUH - Jarir"/>
        <s v="K21 (Hot) - SA - RUH - Jarir"/>
        <s v="K11 (Hot) - SA - DMM - Rawda"/>
        <s v="K13 (Cold) - SA - DMM - Zuhur"/>
        <s v="K12 (Hot) SA - RUH - Qurtoba"/>
        <s v="K04 (Hot) - SA - RUH - Dahrat Laban"/>
        <s v="K18 (Hot) - SA - RUH - Arid (2)"/>
        <s v="K05 (Hot) - SA - RUH - King Faisal"/>
        <s v="K17 (Hot) - SA - RUH - QSM"/>
        <s v="K05 (Hot) - SA - RUH - Malga 2"/>
        <s v="K03 (Hot) - SA - RUH - Jarir"/>
        <s v="K01 (Hot) - SA - RUH - Arid (2)"/>
        <s v="K36 (Cold) - BH - MAN - UAH"/>
        <s v="K01 (Cold) - SA - RUH - Wurud"/>
        <s v="K04 (Hot) - SA - RUH - King Fahd"/>
        <s v="K23 (Hot) - SA - RUH - Dahrat Laban"/>
        <s v="K25 (Hot) SA - RUH - Qurtoba"/>
        <s v="K02 (Hot) - SA - KBR - Rakah"/>
        <s v="K12 (Hot) - SA - KBR - Rakah"/>
        <s v="K13 (Hot) - SA - KBR - Rakah"/>
        <s v="K03 (Hot) - SA - RUH - Salam"/>
        <s v="K16 (Hot) - SA - RUH - Wurud"/>
        <s v="K05 (Hot) - SA - RUH - Aqiq 2"/>
        <s v="K05 (Hot) - SA - RUH - Wadi"/>
        <s v="K04 (Hot) - SA - RUH - Malga 2"/>
        <s v="K10 (Hot) - SA - KBR - Rakah"/>
        <s v="K34 (Cold) - SA - RUH - Khaleej"/>
        <s v="K18 (Hot) - SA - RUH - Jarir"/>
        <s v="K15 (Hot) - SA - KBR - Rakah"/>
        <s v="K14 (Hot) - SA - KBR - Rakah"/>
        <s v="K37 (Cold) - BH - MAN - UAH"/>
        <s v="K16 (Hot) - SA - KBR - Rakah"/>
        <s v="K17 (Hot) - SA - KBR - Rakah"/>
        <s v="K12 (Hot) - SA - RUH - Jarir"/>
        <s v="K09 (Hot) - SA - RUH - Narjis"/>
        <s v="K01 (Hot) - SA - RUH - King Fahd"/>
        <s v="K23 (Hot) - SA - RUH - King Fahd"/>
        <s v="K06 (Hot) - SA - RUH - Olaya"/>
        <s v="K05 (Hot) - SA - RUH - Olaya"/>
        <s v="K12 (Hot) - SA - RUH - Olaya"/>
        <s v="K17 (Hot) - SA - RUH - Dahrat Laban"/>
        <s v="K10 (Hot) - SA - RUH - Olaya"/>
        <s v="K01 (Hot) - SA - RUH - Aqiq 2"/>
        <s v="K01 (Hot) - SA - RUH - Olaya"/>
        <s v="K15 (Hot) - SA - RUH - Olaya"/>
        <s v="K05 (Hot) - SA - RUH - Dahrat Laban"/>
        <s v="K03 (Cold) - SA - RUH - Olaya"/>
        <s v="K08 (Cold) - SA - RUH - Dahrat Laban"/>
        <s v="K14 (Hot) - SA - RUH - Olaya"/>
        <s v="K01 (Cold) - SA - RUH - Olaya"/>
        <s v="K06 (Hot) - SA - RUH - Sweidi"/>
        <s v="K13 (Hot) - SA - RUH - Olaya"/>
        <s v="K21 (Hot) - SA - RUH - Wadi"/>
        <s v="K20 (Hot) - SA - RUH - Wadi"/>
        <s v="K10 (Hot) - SA - RUH - Wadi"/>
        <s v="K42 (Hot) - SA - RUH - Wadi"/>
        <s v="K41 (Hot) - SA - RUH - Wadi"/>
        <s v="K33 (Hot) - SA - RUH - Wadi"/>
        <s v="K32 (Hot) - SA - RUH - Wadi"/>
        <s v="K29 (Hot) - SA - RUH - Wadi"/>
        <s v="K40 (Hot) - SA - RUH - Wadi"/>
        <s v="K04 (Hot) SA - RUH - Qurtoba"/>
        <s v="K36 (Hot) - SA - RUH - Wadi"/>
        <s v="K46 (Hot) - SA - RUH - Wadi"/>
        <s v="K44 (Hot) - SA - RUH - Wadi"/>
        <s v="K35 (Hot) - SA - RUH - Wadi"/>
        <s v="K34 (Hot) - SA - RUH - Wadi"/>
        <s v="K13 (Hot) SA - RUH - Qurtoba"/>
        <s v="K20 (Hot) SA - RUH - Qurtoba"/>
        <s v="K06 (Hot) - SA - RUH - Dahrat Laban"/>
        <s v="K21 (Hot) - SA - RUH - Dahrat Laban"/>
        <s v="K10 (Hot) - SA - RUH - Dahrat Laban"/>
        <s v="K16 (Hot) - SA - RUH - Sweidi"/>
        <s v="K27 (Hot) - SA - RUH - Dahrat Laban"/>
        <s v="K26 (Hot) - SA - RUH - Dahrat Laban"/>
        <s v="K24 (Hot) - SA - RUH - Dahrat Laban"/>
        <s v="K12 (Hot)- KSA - AHS- Hofuf"/>
        <s v="K13 (Hot)- KSA - AHS- Hofuf"/>
        <s v="K15 (Hot)- KSA - AHS- Hofuf"/>
        <s v="K16 (Hot)- KSA - AHS- Hofuf"/>
        <s v="K18 (Hot)- KSA - AHS- Hofuf"/>
        <s v="K02 (Hot)- KSA - AHS- Hofuf"/>
        <s v="K06 (Hot) - SA - RUH - Aqiq 2"/>
        <s v="K04 (Hot) - SA - RUH - Aqiq 2"/>
        <s v="K07 (Hot) - SA - RUH - Aqiq 2"/>
        <s v="K13 (Hot) - SA - RUH - Aqiq 2"/>
        <s v="K12 (Hot) - SA - RUH - Aqiq 2"/>
        <s v="K20 (CPU) - KSA - AHS- Hofuf"/>
        <s v="K09 (Hot) - SA - RUH - Aqiq 2"/>
        <s v="K11 (Hot) - SA - RUH - Aqiq 2"/>
        <s v="K10 (Hot) - SA - RUH - Aqiq 2"/>
        <s v="K08 (Hot) - SA - RUH - Aqiq 2"/>
        <s v="K16 (Hot) - BH - MAN - UAH"/>
        <s v="K12 (Hot) - BH - MAN - UAH"/>
        <s v="K02 (Hot) - SA - RUH - Aqiq 2"/>
        <s v="K03 (Hot) - SA - RUH - Aqiq 2"/>
        <s v="K15 (Hot) - SA - DMM - Zuhur"/>
        <s v="K19 (Hot) - SA - DMM - Zuhur"/>
        <s v="K24 (Hot) - SA - DMM - Zuhur"/>
        <s v="K11 (Hot) - SA - KBR - Rakah"/>
        <s v="K18 (Hot) - SA - DMM - Zuhur"/>
        <s v="K17 (Hot) - SA - DMM - Zuhur"/>
        <s v="K16 (Hot) - SA - DMM - Zuhur"/>
        <s v="K09 (Hot) - SA - KBR - Rakah"/>
        <s v="K08 (Hot) - SA - KBR - Rakah"/>
        <s v="K06 (Hot) - SA - KBR - Rakah"/>
        <s v="K04 (Hot) - SA - KBR - Rakah"/>
        <s v="K05 (Hot) - SA - KBR - Rakah"/>
        <s v="K33 (Cold) - SA - RUH - Khaleej"/>
        <s v="K18 (Hot) - SA - DMM - Jamiah (2)"/>
        <s v="K19 (Hot) - SA - DMM - Jamiah (2)"/>
        <s v="K24 (Hot) - SA - RUH - Khaleej"/>
        <s v="K08 (Hot) - SA - DMM - Jamiah (2)"/>
      </sharedItems>
    </cacheField>
    <cacheField name="Status" numFmtId="0">
      <sharedItems containsBlank="1">
        <m/>
        <s v="Churning"/>
        <s v="Occupied"/>
        <s v="Sold"/>
        <s v="Vacant"/>
      </sharedItems>
    </cacheField>
    <cacheField name="Kitchen Size (Sq. Meters)" numFmtId="0">
      <sharedItems containsString="0" containsBlank="1" containsNumber="1">
        <m/>
        <n v="10.62"/>
        <n v="9.12"/>
        <n v="15.03"/>
        <n v="15.04"/>
        <n v="17.06"/>
        <n v="15.15"/>
        <n v="19.04"/>
        <n v="19.15"/>
        <n v="11.9"/>
        <n v="16.9"/>
        <n v="16.0"/>
        <n v="11.3"/>
        <n v="21.06"/>
        <n v="14.78"/>
        <n v="11.97"/>
        <n v="18.1"/>
        <n v="20.8"/>
        <n v="14.54"/>
        <n v="24.71"/>
        <n v="19.55"/>
        <n v="15.43"/>
        <n v="15.67"/>
        <n v="18.31"/>
        <n v="22.0"/>
        <n v="17.0"/>
        <n v="11.0"/>
        <n v="14.04"/>
        <n v="12.04"/>
        <n v="18.84"/>
        <n v="10.4"/>
        <n v="10.6"/>
        <n v="15.44"/>
        <n v="22.69"/>
        <n v="10.13"/>
        <n v="18.46"/>
        <n v="18.15"/>
        <n v="16.38"/>
        <n v="15.6"/>
        <n v="10.22"/>
        <n v="11.75"/>
        <n v="18.68"/>
        <n v="13.5"/>
        <n v="14.0"/>
        <n v="22.2"/>
        <n v="9.0"/>
        <n v="10.3"/>
        <n v="9.3"/>
        <n v="16.2"/>
        <n v="16.4"/>
        <n v="18.64"/>
        <n v="21.9"/>
        <n v="28.95"/>
        <n v="10.44"/>
        <n v="20.03"/>
        <n v="17.44"/>
        <n v="10.09"/>
        <n v="13.04"/>
        <n v="19.46"/>
        <n v="8.66"/>
        <n v="17.19"/>
        <n v="9.63"/>
        <n v="22.9"/>
        <n v="20.7"/>
        <n v="15.0"/>
        <n v="19.6"/>
        <n v="62.84"/>
        <n v="17.6"/>
        <n v="23.57"/>
        <n v="22.54"/>
        <n v="22.59"/>
        <n v="18.81"/>
        <n v="19.3"/>
        <n v="9.22"/>
        <n v="17.2"/>
        <n v="9.95"/>
        <n v="23.06"/>
        <n v="10.55"/>
        <n v="18.24"/>
        <n v="45.97"/>
        <n v="14.49"/>
        <n v="14.15"/>
        <n v="29.9"/>
        <n v="8.38"/>
        <n v="13.8"/>
        <n v="20.6"/>
        <n v="16.7"/>
        <n v="8.54"/>
        <n v="19.29"/>
        <n v="60.1"/>
        <n v="8.63"/>
        <n v="16.5"/>
        <n v="9.85"/>
        <n v="49.88"/>
        <n v="24.12"/>
        <n v="17.01"/>
        <n v="17.24"/>
        <n v="15.02"/>
        <n v="14.56"/>
        <n v="11.5"/>
        <n v="20.86"/>
        <n v="17.02"/>
        <n v="16.01"/>
        <n v="16.51"/>
        <n v="14.74"/>
        <n v="19.97"/>
        <n v="16.28"/>
        <n v="18.85"/>
        <n v="20.69"/>
        <n v="17.04"/>
        <n v="19.72"/>
        <n v="19.41"/>
        <n v="13.73"/>
        <n v="58.22"/>
        <n v="14.57"/>
        <n v="45.02"/>
        <n v="15.63"/>
        <n v="19.65"/>
        <n v="18.8"/>
        <n v="8.65"/>
        <n v="50.77"/>
        <n v="24.98"/>
        <n v="18.3"/>
        <n v="25.37"/>
        <n v="9.53"/>
        <n v="12.65"/>
        <n v="21.21"/>
        <n v="11.03"/>
        <n v="12.78"/>
        <n v="11.13"/>
        <n v="16.52"/>
        <n v="21.69"/>
        <n v="16.27"/>
        <n v="10.74"/>
        <n v="19.12"/>
        <n v="17.17"/>
        <n v="11.29"/>
        <n v="13.93"/>
        <n v="12.01"/>
        <n v="12.21"/>
        <n v="16.54"/>
        <n v="18.98"/>
        <n v="12.06"/>
        <n v="14.21"/>
        <n v="15.84"/>
        <n v="18.53"/>
        <n v="12.38"/>
        <n v="12.51"/>
        <n v="12.22"/>
        <n v="14.72"/>
        <n v="14.9"/>
        <n v="12.54"/>
        <n v="16.88"/>
        <n v="16.75"/>
        <n v="26.23"/>
        <n v="51.42"/>
        <n v="20.0"/>
        <n v="10.2"/>
        <n v="58.82"/>
        <n v="20.4"/>
        <n v="10.21"/>
        <n v="16.66"/>
        <n v="18.93"/>
        <n v="10.57"/>
        <n v="13.88"/>
        <n v="18.74"/>
        <n v="15.65"/>
        <n v="15.96"/>
        <n v="19.81"/>
        <n v="12.52"/>
        <n v="14.84"/>
        <n v="11.7"/>
        <n v="20.36"/>
        <n v="8.19"/>
        <n v="9.35"/>
        <n v="13.54"/>
        <n v="18.76"/>
        <n v="14.02"/>
        <n v="14.24"/>
        <n v="15.05"/>
        <n v="20.95"/>
        <n v="18.11"/>
        <n v="7.0"/>
        <n v="17.7"/>
        <n v="21.32"/>
        <n v="19.26"/>
        <n v="10.26"/>
        <n v="14.71"/>
        <n v="12.2"/>
        <n v="13.0"/>
        <n v="8.94"/>
        <n v="23.3"/>
        <n v="9.05"/>
        <n v="10.01"/>
        <n v="7.67"/>
        <n v="17.54"/>
        <n v="18.58"/>
        <n v="14.16"/>
        <n v="11.61"/>
        <n v="20.1"/>
        <n v="12.7"/>
        <n v="17.89"/>
        <n v="23.93"/>
        <n v="15.47"/>
        <n v="14.55"/>
        <n v="18.39"/>
        <n v="27.89"/>
        <n v="12.92"/>
        <n v="21.27"/>
        <n v="16.41"/>
        <n v="9.51"/>
        <n v="13.07"/>
        <n v="16.44"/>
        <n v="15.5"/>
        <n v="15.21"/>
        <n v="23.29"/>
        <n v="13.52"/>
        <n v="16.29"/>
        <n v="20.02"/>
        <n v="23.33"/>
        <n v="17.4"/>
        <n v="8.88"/>
        <n v="11.52"/>
        <n v="16.12"/>
        <n v="22.83"/>
        <n v="23.98"/>
        <n v="10.76"/>
        <n v="16.76"/>
        <n v="7.1"/>
        <n v="22.06"/>
        <n v="10.66"/>
        <n v="8.45"/>
        <n v="19.84"/>
        <n v="10.0"/>
        <n v="7.98"/>
        <n v="12.02"/>
        <n v="20.46"/>
        <n v="12.98"/>
        <n v="17.05"/>
        <n v="13.03"/>
        <n v="14.73"/>
        <n v="12.05"/>
        <n v="16.71"/>
        <n v="11.28"/>
        <n v="17.1"/>
        <n v="25.3"/>
        <n v="22.01"/>
        <n v="20.49"/>
        <n v="14.67"/>
        <n v="18.26"/>
        <n v="46.17"/>
        <n v="13.7"/>
        <n v="22.68"/>
        <n v="44.88"/>
        <n v="22.77"/>
        <n v="13.4"/>
        <n v="9.99"/>
        <n v="9.2"/>
        <n v="15.36"/>
        <n v="18.0"/>
        <n v="9.88"/>
        <n v="8.8"/>
        <n v="9.32"/>
        <n v="12.48"/>
        <n v="12.28"/>
        <n v="16.31"/>
        <n v="16.98"/>
        <n v="17.58"/>
        <n v="18.51"/>
        <n v="19.17"/>
        <n v="23.05"/>
        <n v="8.0"/>
        <n v="18.08"/>
        <n v="10.92"/>
        <n v="20.32"/>
        <n v="21.94"/>
        <n v="18.91"/>
        <n v="15.4"/>
        <n v="15.1"/>
        <n v="17.8"/>
        <n v="18.96"/>
        <n v="15.3"/>
        <n v="37.4"/>
        <n v="10.15"/>
        <n v="13.56"/>
        <n v="22.1"/>
        <n v="17.93"/>
        <n v="15.35"/>
        <n v="11.26"/>
        <n v="19.08"/>
        <n v="8.47"/>
        <n v="10.41"/>
        <n v="10.46"/>
        <n v="24.65"/>
        <n v="17.92"/>
        <n v="15.59"/>
        <n v="26.91"/>
        <n v="15.88"/>
        <n v="15.64"/>
        <n v="15.19"/>
        <n v="11.21"/>
        <n v="16.36"/>
        <n v="15.97"/>
        <n v="10.28"/>
        <n v="26.07"/>
        <n v="16.08"/>
        <n v="42.41"/>
        <n v="19.18"/>
        <n v="9.33"/>
        <n v="11.81"/>
        <n v="13.72"/>
        <n v="14.38"/>
        <n v="19.92"/>
        <n v="15.62"/>
        <n v="25.87"/>
        <n v="21.0"/>
        <n v="23.22"/>
        <n v="23.01"/>
        <n v="52.23"/>
        <n v="16.05"/>
        <n v="41.59"/>
        <n v="13.53"/>
        <n v="10.23"/>
        <n v="18.79"/>
        <n v="9.23"/>
        <n v="10.96"/>
        <n v="13.42"/>
        <n v="19.77"/>
        <n v="14.5"/>
        <n v="34.12"/>
        <n v="25.48"/>
        <n v="40.31"/>
        <n v="40.65"/>
        <n v="34.13"/>
        <n v="45.93"/>
        <n v="10.93"/>
        <n v="8.39"/>
        <n v="20.59"/>
        <n v="15.07"/>
        <n v="22.86"/>
        <n v="9.21"/>
        <n v="58.23"/>
        <n v="9.57"/>
        <n v="23.4"/>
        <n v="14.58"/>
        <n v="11.16"/>
        <n v="18.21"/>
        <n v="23.65"/>
        <n v="18.27"/>
        <n v="22.16"/>
        <n v="22.91"/>
        <n v="19.25"/>
        <n v="17.9"/>
        <n v="22.02"/>
        <n v="29.4"/>
        <n v="43.9"/>
        <n v="19.38"/>
        <n v="13.64"/>
        <n v="14.91"/>
        <n v="11.04"/>
        <n v="13.02"/>
        <n v="16.6"/>
        <n v="17.91"/>
        <n v="26.17"/>
        <n v="21.45"/>
        <n v="29.28"/>
        <n v="20.93"/>
        <n v="42.02"/>
        <n v="11.1"/>
        <n v="9.94"/>
        <n v="11.89"/>
        <n v="16.07"/>
        <n v="21.6"/>
        <n v="11.98"/>
        <n v="14.85"/>
        <n v="13.34"/>
        <n v="15.57"/>
        <n v="15.29"/>
        <n v="35.04"/>
        <n v="35.88"/>
        <n v="15.01"/>
        <n v="48.02"/>
        <n v="20.18"/>
        <n v="14.68"/>
        <n v="11.47"/>
        <n v="19.71"/>
        <n v="47.05"/>
        <n v="16.18"/>
        <n v="19.39"/>
        <n v="15.66"/>
        <n v="18.75"/>
        <n v="11.92"/>
        <n v="22.76"/>
        <n v="13.19"/>
        <n v="16.03"/>
        <n v="21.7"/>
        <n v="88.9"/>
        <n v="25.68"/>
        <n v="13.13"/>
        <n v="10.05"/>
        <n v="16.45"/>
        <n v="10.71"/>
        <n v="15.53"/>
        <n v="12.41"/>
        <n v="8.85"/>
        <n v="18.02"/>
        <n v="17.72"/>
        <n v="22.44"/>
        <n v="27.03"/>
        <n v="7.4"/>
        <n v="21.44"/>
        <n v="15.99"/>
        <n v="17.14"/>
        <n v="15.83"/>
        <n v="49.0"/>
        <n v="49.2"/>
        <n v="45.73"/>
        <n v="16.09"/>
        <n v="19.62"/>
        <n v="13.05"/>
        <n v="21.29"/>
        <n v="24.53"/>
        <n v="12.59"/>
        <n v="22.04"/>
        <n v="14.08"/>
        <n v="17.08"/>
        <n v="19.53"/>
        <n v="12.4"/>
        <n v="10.38"/>
        <n v="13.41"/>
        <n v="22.12"/>
        <n v="17.12"/>
        <n v="10.65"/>
        <n v="27.2"/>
        <n v="21.2"/>
        <n v="19.54"/>
        <n v="21.25"/>
        <n v="22.07"/>
        <n v="17.5"/>
        <n v="11.84"/>
        <n v="17.37"/>
        <n v="19.31"/>
        <n v="22.26"/>
        <n v="25.32"/>
        <n v="23.49"/>
        <n v="17.59"/>
        <n v="19.8"/>
        <n v="17.3"/>
        <n v="15.9"/>
        <n v="6.5"/>
        <n v="7.2"/>
        <n v="19.4"/>
        <n v="19.5"/>
        <n v="28.54"/>
        <n v="19.7"/>
        <n v="12.9"/>
        <n v="14.52"/>
        <n v="18.12"/>
        <n v="13.75"/>
        <n v="16.35"/>
        <n v="16.21"/>
        <n v="14.82"/>
        <n v="22.33"/>
        <n v="17.22"/>
        <n v="60.33"/>
        <n v="22.08"/>
        <n v="19.06"/>
        <n v="15.18"/>
        <n v="17.39"/>
        <n v="20.78"/>
        <n v="21.52"/>
        <n v="13.32"/>
        <n v="21.51"/>
        <n v="19.16"/>
      </sharedItems>
    </cacheField>
    <cacheField name="Hood Size" numFmtId="0">
      <sharedItems containsBlank="1">
        <s v="NA"/>
        <s v="Cold"/>
        <s v="2.4m"/>
        <s v="2.4m Hood"/>
        <s v="3.0m Hood"/>
        <s v="2.0m"/>
        <s v="3.0m"/>
        <s v="4.0m"/>
        <s v="N/A"/>
        <s v="4.0m hood"/>
        <s v="4.0 m hood"/>
        <m/>
        <s v="3m"/>
        <s v="4m"/>
        <s v="2.4 m"/>
      </sharedItems>
    </cacheField>
    <cacheField name="Floor Price" numFmtId="0">
      <sharedItems containsSemiMixedTypes="0" containsString="0" containsNumber="1">
        <n v="1666.66"/>
        <n v="5100.0"/>
        <n v="3551.0"/>
        <n v="6400.0"/>
        <n v="6430.0"/>
        <n v="6861.0"/>
        <n v="7300.0"/>
        <n v="5148.0"/>
        <n v="6437.0"/>
        <n v="6008.0"/>
        <n v="3229.0"/>
        <n v="2975.44"/>
        <n v="2482.0"/>
        <n v="8592.0"/>
        <n v="7096.0"/>
        <n v="7514.0"/>
        <n v="4799.0"/>
        <n v="4666.0"/>
        <n v="4750.0"/>
        <n v="3944.0"/>
        <n v="4250.0"/>
        <n v="4990.0"/>
        <n v="6090.0"/>
        <n v="5731.0"/>
        <n v="3580.0"/>
        <n v="6000.0"/>
        <n v="3900.0"/>
        <n v="6200.0"/>
        <n v="3257.0"/>
        <n v="3150.0"/>
        <n v="4150.0"/>
        <n v="1900.0"/>
        <n v="3500.0"/>
        <n v="6250.0"/>
        <n v="3563.0"/>
        <n v="5494.0"/>
        <n v="4173.0"/>
        <n v="4684.0"/>
        <n v="6230.0"/>
        <n v="4650.0"/>
        <n v="8349.0"/>
        <n v="3100.0"/>
        <n v="1652.0"/>
        <n v="5700.0"/>
        <n v="6345.0"/>
        <n v="4973.0"/>
        <n v="2542.0"/>
        <n v="6499.0"/>
        <n v="2490.0"/>
        <n v="3113.0"/>
        <n v="6648.0"/>
        <n v="2885.0"/>
        <n v="3194.0"/>
        <n v="6867.0"/>
        <n v="5150.0"/>
        <n v="7150.0"/>
        <n v="5490.0"/>
        <n v="4000.0"/>
        <n v="5600.0"/>
        <n v="3400.0"/>
        <n v="5516.0"/>
        <n v="2838.0"/>
        <n v="8300.0"/>
        <n v="1822.08"/>
        <n v="4500.0"/>
        <n v="4851.0"/>
        <n v="10857.0"/>
        <n v="5091.0"/>
        <n v="5436.0"/>
        <n v="6500.0"/>
        <n v="5323.0"/>
        <n v="1995.0"/>
        <n v="2160.0"/>
        <n v="2142.0"/>
        <n v="5542.5"/>
        <n v="8000.0"/>
        <n v="4350.0"/>
        <n v="3750.0"/>
        <n v="4038.0"/>
        <n v="4359.0"/>
        <n v="2125.0"/>
        <n v="3188.0"/>
        <n v="4463.0"/>
        <n v="2100.0"/>
        <n v="7250.0"/>
        <n v="1488.0"/>
        <n v="3392.0"/>
        <n v="3612.0"/>
        <n v="3825.0"/>
        <n v="2974.0"/>
        <n v="2763.0"/>
        <n v="3950.0"/>
        <n v="4215.0"/>
        <n v="9022.0"/>
        <n v="7320.0"/>
        <n v="6600.0"/>
        <n v="2600.0"/>
        <n v="6900.0"/>
        <n v="4900.0"/>
        <n v="5285.0"/>
        <n v="4188.0"/>
        <n v="6771.0"/>
        <n v="6445.0"/>
        <n v="7200.0"/>
        <n v="3529.0"/>
        <n v="550.0"/>
        <n v="5680.0"/>
        <n v="5250.0"/>
        <n v="5900.0"/>
        <n v="6700.0"/>
        <n v="450.0"/>
        <n v="2000.0"/>
        <n v="5350.0"/>
        <n v="600.0"/>
        <n v="500.0"/>
        <n v="400.0"/>
        <n v="6949.0"/>
        <n v="4171.0"/>
        <n v="2376.0"/>
        <n v="1892.0"/>
        <n v="4039.0"/>
        <n v="4275.0"/>
        <n v="3086.0"/>
        <n v="1500.0"/>
        <n v="4575.0"/>
        <n v="2921.0"/>
        <n v="4988.0"/>
        <n v="4489.0"/>
        <n v="1999.0"/>
        <n v="6678.0"/>
        <n v="2800.0"/>
        <n v="5767.0"/>
        <n v="1990.0"/>
        <n v="4563.0"/>
        <n v="3600.0"/>
        <n v="5096.0"/>
        <n v="7700.0"/>
        <n v="10800.0"/>
        <n v="6601.0"/>
        <n v="3199.0"/>
        <n v="4667.0"/>
        <n v="6563.0"/>
        <n v="5578.0"/>
        <n v="6938.0"/>
        <n v="3700.0"/>
        <n v="7800.0"/>
        <n v="2990.0"/>
        <n v="4511.0"/>
        <n v="513.0"/>
        <n v="4125.0"/>
        <n v="4001.0"/>
        <n v="433.0"/>
        <n v="4118.4"/>
        <n v="5850.0"/>
        <n v="4576.0"/>
        <n v="5408.0"/>
        <n v="3050.0"/>
        <n v="3799.0"/>
        <n v="3049.0"/>
        <n v="4913.0"/>
        <n v="3401.0"/>
        <n v="6454.0"/>
        <n v="3888.56"/>
        <n v="6800.0"/>
        <n v="7900.0"/>
        <n v="10000.0"/>
        <n v="6050.0"/>
        <n v="1706.0"/>
        <n v="3323.0"/>
        <n v="245.0"/>
        <n v="4700.0"/>
        <n v="4200.0"/>
        <n v="9500.0"/>
        <n v="9000.0"/>
        <n v="4242.0"/>
        <n v="4348.5"/>
        <n v="8400.0"/>
        <n v="5765.76"/>
        <n v="7400.0"/>
      </sharedItems>
    </cacheField>
    <cacheField name="List Price" numFmtId="0">
      <sharedItems containsString="0" containsBlank="1" containsNumber="1" containsInteger="1">
        <n v="2250.0"/>
        <n v="6150.0"/>
        <n v="4100.0"/>
        <n v="7700.0"/>
        <n v="6450.0"/>
        <n v="6900.0"/>
        <n v="7300.0"/>
        <n v="7250.0"/>
        <n v="9050.0"/>
        <n v="8450.0"/>
        <n v="2750.0"/>
        <n v="2400.0"/>
        <n v="3600.0"/>
        <n v="9500.0"/>
        <n v="7100.0"/>
        <n v="7550.0"/>
        <n v="6750.0"/>
        <n v="4700.0"/>
        <n v="5700.0"/>
        <n v="5750.0"/>
        <n v="4900.0"/>
        <n v="8550.0"/>
        <n v="8050.0"/>
        <n v="5050.0"/>
        <n v="7200.0"/>
        <n v="5100.0"/>
        <n v="8100.0"/>
        <n v="4600.0"/>
        <n v="3800.0"/>
        <n v="5000.0"/>
        <n v="2300.0"/>
        <n v="4200.0"/>
        <n v="8150.0"/>
        <n v="4300.0"/>
        <n v="5850.0"/>
        <n v="6600.0"/>
        <n v="5400.0"/>
        <n v="6050.0"/>
        <n v="8350.0"/>
        <n v="4050.0"/>
        <n v="7450.0"/>
        <n v="8900.0"/>
        <n v="2550.0"/>
        <n v="7800.0"/>
        <n v="2900.0"/>
        <n v="4550.0"/>
        <n v="9000.0"/>
        <n v="3900.0"/>
        <n v="4500.0"/>
        <n v="9650.0"/>
        <n v="6700.0"/>
        <n v="8600.0"/>
        <n v="6350.0"/>
        <n v="4800.0"/>
        <n v="5600.0"/>
        <n v="5550.0"/>
        <n v="3450.0"/>
        <n v="9550.0"/>
        <n v="1500.0"/>
        <n v="3850.0"/>
        <n v="10900.0"/>
        <n v="7350.0"/>
        <n v="7500.0"/>
        <n v="1700.0"/>
        <n v="4450.0"/>
        <n v="10400.0"/>
        <n v="5250.0"/>
        <n v="2350.0"/>
        <n v="3550.0"/>
        <n v="5650.0"/>
        <n v="4950.0"/>
        <n v="2100.0"/>
        <n v="9450.0"/>
        <n v="1650.0"/>
        <n v="3750.0"/>
        <n v="4000.0"/>
        <n v="4250.0"/>
        <n v="3300.0"/>
        <n v="3050.0"/>
        <n v="4750.0"/>
        <n v="4650.0"/>
        <n v="9950.0"/>
        <n v="3250.0"/>
        <n v="6650.0"/>
        <n v="8650.0"/>
        <n v="5150.0"/>
        <n v="440.0"/>
        <n v="6550.0"/>
        <n v="6850.0"/>
        <n v="8750.0"/>
        <n v="360.0"/>
        <n v="2000.0"/>
        <n v="6200.0"/>
        <n v="480.0"/>
        <n v="400.0"/>
        <n v="320.0"/>
        <n v="2050.0"/>
        <n v="4850.0"/>
        <n v="1800.0"/>
        <n v="5500.0"/>
        <n v="3400.0"/>
        <n v="7000.0"/>
        <n v="6950.0"/>
        <n v="3700.0"/>
        <n v="9250.0"/>
        <n v="13000.0"/>
        <n v="3150.0"/>
        <n v="7850.0"/>
        <n v="10150.0"/>
        <n v="5450.0"/>
        <n v="415.0"/>
        <m/>
        <n v="350.0"/>
        <n v="8200.0"/>
        <n v="7900.0"/>
        <n v="14000.0"/>
        <n v="2850.0"/>
        <n v="200.0"/>
        <n v="4400.0"/>
        <n v="7150.0"/>
        <n v="10450.0"/>
        <n v="9900.0"/>
        <n v="3500.0"/>
        <n v="8700.0"/>
      </sharedItems>
    </cacheField>
    <cacheField name="Activation Fee" numFmtId="0">
      <sharedItems containsString="0" containsBlank="1" containsNumber="1" containsInteger="1">
        <m/>
        <n v="4350.0"/>
        <n v="6200.0"/>
        <n v="7750.0"/>
        <n v="7300.0"/>
        <n v="3900.0"/>
        <n v="3500.0"/>
        <n v="3000.0"/>
        <n v="10350.0"/>
        <n v="8550.0"/>
        <n v="9100.0"/>
        <n v="5800.0"/>
        <n v="5650.0"/>
        <n v="5700.0"/>
        <n v="4750.0"/>
        <n v="5100.0"/>
        <n v="6000.0"/>
        <n v="7350.0"/>
        <n v="6900.0"/>
        <n v="4000.0"/>
        <n v="3700.0"/>
        <n v="4800.0"/>
        <n v="2300.0"/>
        <n v="4100.0"/>
        <n v="7500.0"/>
        <n v="4450.0"/>
        <n v="6600.0"/>
        <n v="5050.0"/>
        <n v="5400.0"/>
        <n v="10050.0"/>
        <n v="3600.0"/>
        <n v="2050.0"/>
        <n v="7650.0"/>
        <n v="3100.0"/>
        <n v="7800.0"/>
        <n v="3800.0"/>
        <n v="8000.0"/>
        <n v="3850.0"/>
        <n v="8300.0"/>
        <n v="8600.0"/>
        <n v="6500.0"/>
        <n v="6700.0"/>
        <n v="3450.0"/>
        <n v="10000.0"/>
        <n v="5900.0"/>
        <n v="13100.0"/>
        <n v="6150.0"/>
        <n v="6550.0"/>
        <n v="6450.0"/>
        <n v="3550.0"/>
        <n v="7200.0"/>
        <n v="4900.0"/>
        <n v="5300.0"/>
        <n v="2600.0"/>
        <n v="2400.0"/>
        <n v="4500.0"/>
        <n v="8700.0"/>
        <n v="1800.0"/>
        <n v="4400.0"/>
        <n v="4650.0"/>
        <n v="3400.0"/>
        <n v="4600.0"/>
        <n v="10900.0"/>
        <n v="10400.0"/>
        <n v="8200.0"/>
        <n v="4300.0"/>
        <n v="6850.0"/>
        <n v="6300.0"/>
        <n v="7100.0"/>
        <n v="8050.0"/>
        <n v="3750.0"/>
        <n v="8850.0"/>
        <n v="5200.0"/>
        <n v="3250.0"/>
        <n v="7000.0"/>
        <n v="6750.0"/>
        <n v="2200.0"/>
        <n v="5500.0"/>
        <n v="5950.0"/>
        <n v="7050.0"/>
        <n v="5000.0"/>
      </sharedItems>
    </cacheField>
    <cacheField name="Opportunity ID 18" numFmtId="0">
      <sharedItems containsBlank="1">
        <m/>
        <s v="006VO00000TRgP3YAL"/>
        <s v="006VO00000dcowbYAA"/>
        <s v="006VO00000eOAaHYAW"/>
        <s v="0065G00000aCkVTQA0"/>
        <s v="0065G00000aCkVdQAK"/>
        <s v="0065G00000dMtwTQAS"/>
        <s v="0065G00000dOim7QAC"/>
        <s v="0065G00000dOswMQAS"/>
        <s v="0065G00000j3SK4QAM"/>
        <s v="0065G00000j4E5KQAU"/>
        <s v="0065G00000j6v2FQAQ"/>
        <s v="0065G00000mU6CvQAK"/>
        <s v="0065G00000nbKblQAE"/>
        <s v="0066T00001844JJQAY"/>
        <s v="0066T0000184tJ4QAI"/>
        <s v="0066T000018b7rkQAA"/>
        <s v="0066T000018bDNxQAM"/>
        <s v="0066T000018bs7UQAQ"/>
        <s v="0066T000019ERjEQAW"/>
        <s v="0066T000019FA3mQAG"/>
        <s v="0066T000019GB3vQAG"/>
        <s v="0066T000019HDVhQAO"/>
        <s v="0066T00001A4pZpQAJ"/>
        <s v="0066T00001A5klCQAR"/>
        <s v="0066T00001AsHoJQAV"/>
        <s v="0066T00001AsrQ5QAJ"/>
        <s v="0066T00001AuxztQAB"/>
        <s v="0066T00001BPrRZQA1"/>
        <s v="0066T00001BSjcOQAT"/>
        <s v="0066T00001BT9j8QAD"/>
        <s v="0066T00001BTUCuQAP"/>
        <s v="0066T00001Be6onQAB"/>
        <s v="0066T00001Be6p2QAB"/>
        <s v="0066T00001BfcSZQAZ"/>
        <s v="0066T00001BfcU6QAJ"/>
        <s v="0066T00001Bz180QAB"/>
        <s v="0066T00001BzizMQAR"/>
        <s v="0066T00001CHTH7QAP"/>
        <s v="0066T00001CHXrEQAX"/>
        <s v="0066T00001CsjWgQAJ"/>
        <s v="0066T00001Ct91EQAR"/>
        <s v="0066T00001CtK2vQAF"/>
        <s v="0066T00001CtaGGQAZ"/>
        <s v="0066T00001CtbF1QAJ"/>
        <s v="0066T00001D6yzEQAR"/>
        <s v="0066T00001D6z16QAB"/>
        <s v="0066T00001EOEjNQAX"/>
        <s v="0066T00001EOEkaQAH"/>
        <s v="0066T00001EOEkpQAH"/>
        <s v="0066T00001EPCEIQA5"/>
        <s v="0066T00001EPCHCQA5"/>
        <s v="0066T00001EPOodQAH"/>
        <s v="006VO000001PmaLYAS"/>
        <s v="006VO000001TBZ1YAO"/>
        <s v="006VO000001W04MYAS"/>
        <s v="006VO000001ifmsYAA"/>
        <s v="006VO000002IsQcYAK"/>
        <s v="006VO000002JXTlYAO"/>
        <s v="006VO000002ZwBGYA0"/>
        <s v="006VO000002cMfvYAE"/>
        <s v="006VO000003GDSdYAO"/>
        <s v="006VO000003nvrUYAQ"/>
        <s v="006VO000003q0jlYAA"/>
        <s v="006VO0000040d78YAA"/>
        <s v="006VO0000041JMWYA2"/>
        <s v="006VO0000041PQJYA2"/>
        <s v="006VO0000041ROtYAM"/>
        <s v="006VO0000041UF0YAM"/>
        <s v="006VO0000041Wd5YAE"/>
        <s v="006VO0000041WtCYAU"/>
        <s v="006VO0000041YqTYAU"/>
        <s v="006VO0000041aFaYAI"/>
        <s v="006VO0000041dcxYAA"/>
        <s v="006VO0000041deYYAQ"/>
        <s v="006VO0000041fhxYAA"/>
        <s v="006VO0000041fjZYAQ"/>
        <s v="006VO0000041fmnYAA"/>
        <s v="006VO0000041frdYAA"/>
        <s v="006VO0000041furYAA"/>
        <s v="006VO0000041fy5YAA"/>
        <s v="006VO0000041g2vYAA"/>
        <s v="006VO0000041g7lYAA"/>
        <s v="006VO0000041gAzYAI"/>
        <s v="006VO0000041gKfYAI"/>
        <s v="006VO0000041gNtYAI"/>
        <s v="006VO000004BOl0YAG"/>
        <s v="006VO000004IMmAYAW"/>
        <s v="006VO000004TtutYAC"/>
        <s v="006VO000004WcHZYA0"/>
        <s v="006VO000004h42rYAA"/>
        <s v="006VO000005n9YjYAI"/>
        <s v="006VO000005vzdNYAQ"/>
        <s v="006VO000005xIcLYAU"/>
        <s v="006VO0000067D9zYAE"/>
        <s v="006VO000006amkEYAQ"/>
        <s v="006VO0000081wDRYAY"/>
        <s v="006VO0000089DUVYA2"/>
        <s v="006VO000008DeHbYAK"/>
        <s v="006VO000008JNfRYAW"/>
        <s v="006VO000008NrqEYAS"/>
        <s v="006VO000008jEzuYAE"/>
        <s v="006VO000008v7RaYAI"/>
        <s v="006VO000008v90MYAQ"/>
        <s v="006VO000008vBWpYAM"/>
        <s v="006VO000008vCHZYA2"/>
        <s v="006VO000008vD2RYAU"/>
        <s v="006VO000008vE1eYAE"/>
        <s v="006VO000008vFTyYAM"/>
        <s v="006VO000008vFfGYAU"/>
        <s v="006VO000008vG1qYAE"/>
        <s v="006VO000008vGD7YAM"/>
        <s v="006VO000008vGHyYAM"/>
        <s v="006VO000008vGQ1YAM"/>
        <s v="006VO000008vGWTYA2"/>
        <s v="006VO000008vGhlYAE"/>
        <s v="006VO000008vGrRYAU"/>
        <s v="006VO000008vGufYAE"/>
        <s v="006VO000008vH17YAE"/>
        <s v="006VO000008vH2jYAE"/>
        <s v="006VO000008vH7aYAE"/>
        <s v="006VO000008vHAnYAM"/>
        <s v="006VO000008vHFdYAM"/>
        <s v="006VO0000090ZgYYAU"/>
        <s v="006VO0000093fcXYAQ"/>
        <s v="006VO0000096TAFYA2"/>
        <s v="006VO000009IM06YAG"/>
        <s v="006VO000009LDTLYA4"/>
        <s v="006VO000009Yss2YAC"/>
        <s v="006VO000009ckHZYAY"/>
        <s v="006VO00000A2zWIYAZ"/>
        <s v="006VO00000A7jfNYAR"/>
        <s v="006VO00000ANGmHYAX"/>
        <s v="006VO00000AmfuNYAR"/>
        <s v="006VO00000Amo9dYAB"/>
        <s v="006VO00000Ar2h3YAB"/>
        <s v="006VO00000AuOI1YAN"/>
        <s v="006VO00000BCVRWYA5"/>
        <s v="006VO00000BnMPGYA3"/>
        <s v="006VO00000C1saZYAR"/>
        <s v="006VO00000CIPIyYAP"/>
        <s v="006VO00000CISdFYAX"/>
        <s v="006VO00000CJyj7YAD"/>
        <s v="006VO00000CJypeYAD"/>
        <s v="006VO00000CKC2yYAH"/>
        <s v="006VO00000CKEO5YAP"/>
        <s v="006VO00000CKEvxYAH"/>
        <s v="006VO00000CKFyVYAX"/>
        <s v="006VO00000CKGPtYAP"/>
        <s v="006VO00000CKGRVYA5"/>
        <s v="006VO00000CKGcnYAH"/>
        <s v="006VO00000CKd4jYAD"/>
        <s v="006VO00000CKdPhYAL"/>
        <s v="006VO00000CNtRVYA1"/>
        <s v="006VO00000CNySoYAL"/>
        <s v="006VO00000CO0BFYA1"/>
        <s v="006VO00000CO54TYAT"/>
        <s v="006VO00000CO5VtYAL"/>
        <s v="006VO00000CONmBYAX"/>
        <s v="006VO00000COO5XYAX"/>
        <s v="006VO00000CReFNYA1"/>
        <s v="006VO00000CWJILYA5"/>
        <s v="006VO00000DO6RNYA1"/>
        <s v="006VO00000EBq6VYAT"/>
        <s v="006VO00000EjkUrYAJ"/>
        <s v="006VO00000EnQu9YAF"/>
        <s v="006VO00000Erz3hYAB"/>
        <s v="006VO00000EvYJRYA3"/>
        <s v="006VO00000Eyu5hYAB"/>
        <s v="006VO00000F7hArYAJ"/>
        <s v="006VO00000F7l9dYAB"/>
        <s v="006VO00000FD8ITYA1"/>
        <s v="006VO00000FDQk2YAH"/>
        <s v="006VO00000FWVMcYAP"/>
        <s v="006VO00000FZkLvYAL"/>
        <s v="006VO00000FaDnhYAF"/>
        <s v="006VO00000FtXynYAF"/>
        <s v="006VO00000Fws4FYAR"/>
        <s v="006VO00000FwsNaYAJ"/>
        <s v="006VO00000Fwwm9YAB"/>
        <s v="006VO00000FwwsbYAB"/>
        <s v="006VO00000FwwuDYAR"/>
        <s v="006VO00000FwwxRYAR"/>
        <s v="006VO00000Fwx0fYAB"/>
        <s v="006VO00000FxGJRYA3"/>
        <s v="006VO00000FxT70YAF"/>
        <s v="006VO00000GnwmPYAR"/>
        <s v="006VO00000H32I1YAJ"/>
        <s v="006VO00000H6RgTYAV"/>
        <s v="006VO00000HAz0QYAT"/>
        <s v="006VO00000Hh97tYAB"/>
        <s v="006VO00000HiYx3YAF"/>
        <s v="006VO00000Ht8CsYAJ"/>
        <s v="006VO00000I1cVWYAZ"/>
        <s v="006VO00000IClIZYA1"/>
        <s v="006VO00000IDriUYAT"/>
        <s v="006VO00000IOQmzYAH"/>
        <s v="006VO00000ISF3NYAX"/>
        <s v="006VO00000ISZrhYAH"/>
        <s v="006VO00000IWi6nYAD"/>
        <s v="006VO00000IacSbYAJ"/>
        <s v="006VO00000Ik4B8YAJ"/>
        <s v="006VO00000Ik5okYAB"/>
        <s v="006VO00000Ik6KzYAJ"/>
        <s v="006VO00000Ik6MbYAJ"/>
        <s v="006VO00000Ik6RRYAZ"/>
        <s v="006VO00000Ik6T3YAJ"/>
        <s v="006VO00000Ik6WHYAZ"/>
        <s v="006VO00000Ik6fxYAB"/>
        <s v="006VO00000Ik72XYAR"/>
        <s v="006VO00000Ik75lYAB"/>
        <s v="006VO00000Ik7AbYAJ"/>
        <s v="006VO00000Ik7P7YAJ"/>
        <s v="006VO00000IkAGXYA3"/>
        <s v="006VO00000IlgO2YAJ"/>
        <s v="006VO00000Imo9pYAB"/>
        <s v="006VO00000Iq4WbYAJ"/>
        <s v="006VO00000Iq4nIYAR"/>
        <s v="006VO00000JC1yHYAT"/>
        <s v="006VO00000JCAofYAH"/>
        <s v="006VO00000JCCGzYAP"/>
        <s v="006VO00000JCEPIYA5"/>
        <s v="006VO00000JFBxuYAH"/>
        <s v="006VO00000JNWicYAH"/>
        <s v="006VO00000JNhirYAD"/>
        <s v="006VO00000JNhnhYAD"/>
        <s v="006VO00000JT1sXYAT"/>
        <s v="006VO00000JYHTxYAP"/>
        <s v="006VO00000JiV5BYAV"/>
        <s v="006VO00000Jiy7CYAR"/>
        <s v="006VO00000JoFH3YAN"/>
        <s v="006VO00000KBi77YAD"/>
        <s v="006VO00000KEeA9YAL"/>
        <s v="006VO00000KIerXYAT"/>
        <s v="006VO00000KN305YAD"/>
        <s v="006VO00000KWTg6YAH"/>
        <s v="006VO00000KYKjzYAH"/>
        <s v="006VO00000KdLlqYAF"/>
        <s v="006VO00000Kxqf0YAB"/>
        <s v="006VO00000LKcZhYAL"/>
        <s v="006VO00000LMCrGYAX"/>
        <s v="006VO00000LMKJsYAP"/>
        <s v="006VO00000LMMPCYA5"/>
        <s v="006VO00000LMMSQYA5"/>
        <s v="006VO00000LMOR0YAP"/>
        <s v="006VO00000LMP8XYAX"/>
        <s v="006VO00000LMQCfYAP"/>
        <s v="006VO00000LMQUPYA5"/>
        <s v="006VO00000LMQfhYAH"/>
        <s v="006VO00000LQ9A2YAL"/>
        <s v="006VO00000LhtgIYAR"/>
        <s v="006VO00000LhycjYAB"/>
        <s v="006VO00000LjR6RYAV"/>
        <s v="006VO00000LkvlZYAR"/>
        <s v="006VO00000LnO0IYAV"/>
        <s v="006VO00000Lnn8LYAR"/>
        <s v="006VO00000LwaIMYAZ"/>
        <s v="006VO00000M5GHBYA3"/>
        <s v="006VO00000MAEY5YAP"/>
        <s v="006VO00000MAqa9YAD"/>
        <s v="006VO00000MEF8zYAH"/>
        <s v="006VO00000MRS3aYAH"/>
        <s v="006VO00000MRZLBYA5"/>
        <s v="006VO00000MoUawYAF"/>
        <s v="006VO00000MpuzbYAB"/>
        <s v="006VO00000Mq5mvYAB"/>
        <s v="006VO00000MvNOEYA3"/>
        <s v="006VO00000N4157YAB"/>
        <s v="006VO00000NBQy1YAH"/>
        <s v="006VO00000NK3KfYAL"/>
        <s v="006VO00000NLUxAYAX"/>
        <s v="006VO00000NPpIGYA1"/>
        <s v="006VO00000NQBYrYAP"/>
        <s v="006VO00000NQDCTYA5"/>
        <s v="006VO00000NQOuFYAX"/>
        <s v="006VO00000NQi6XYAT"/>
        <s v="006VO00000NQj4HYAT"/>
        <s v="006VO00000NQqtlYAD"/>
        <s v="006VO00000NR53BYAT"/>
        <s v="006VO00000NR8YvYAL"/>
        <s v="006VO00000NRARrYAP"/>
        <s v="006VO00000Nae8AYAR"/>
        <s v="006VO00000Oc545YAB"/>
        <s v="006VO00000OdYFJYA3"/>
        <s v="006VO00000OhS9hYAF"/>
        <s v="006VO00000OlNZeYAN"/>
        <s v="006VO00000PBQyTYAX"/>
        <s v="006VO00000PBREbYAP"/>
        <s v="006VO00000PBRL3YAP"/>
        <s v="006VO00000PBRbBYAX"/>
        <s v="006VO00000PBRkrYAH"/>
        <s v="006VO00000PBVoVYAX"/>
        <s v="006VO00000PBdR3YAL"/>
        <s v="006VO00000PBdm1YAD"/>
        <s v="006VO00000PBkNhYAL"/>
        <s v="006VO00000PIhswYAD"/>
        <s v="006VO00000PIkHKYA1"/>
        <s v="006VO00000PInDZYA1"/>
        <s v="006VO00000PInIPYA1"/>
        <s v="006VO00000PInQTYA1"/>
        <s v="006VO00000PInWvYAL"/>
        <s v="006VO00000PInblYAD"/>
        <s v="006VO00000PIrdmYAD"/>
        <s v="006VO00000PJ1reYAD"/>
        <s v="006VO00000PKPrtYAH"/>
        <s v="006VO00000PKac3YAD"/>
        <s v="006VO00000PRr9uYAD"/>
        <s v="006VO00000PRrrRYAT"/>
        <s v="006VO00000PS8VhYAL"/>
        <s v="006VO00000PebQhYAJ"/>
        <s v="006VO00000PekFSYAZ"/>
        <s v="006VO00000PemNhYAJ"/>
        <s v="006VO00000PoKd3YAF"/>
        <s v="006VO00000PoNizYAF"/>
        <s v="006VO00000Poat7YAB"/>
        <s v="006VO00000Pob1BYAR"/>
        <s v="006VO00000PsBBNYA3"/>
        <s v="006VO00000Q0EP0YAN"/>
        <s v="006VO00000Q0hXSYAZ"/>
        <s v="006VO00000QOIL0YAP"/>
        <s v="006VO00000QieAsYAJ"/>
        <s v="006VO00000QjmeDYAR"/>
        <s v="006VO00000QjoD0YAJ"/>
        <s v="006VO00000QlBKRYA3"/>
        <s v="006VO00000Qm34lYAB"/>
        <s v="006VO00000QtkHlYAJ"/>
        <s v="006VO00000R6TNxYAN"/>
        <s v="006VO00000R6ThJYAV"/>
        <s v="006VO00000RAjQvYAL"/>
        <s v="006VO00000RF6FFYA1"/>
        <s v="006VO00000RJjJdYAL"/>
        <s v="006VO00000RSma2YAD"/>
        <s v="006VO00000RT5rDYAT"/>
        <s v="006VO00000RT60xYAD"/>
        <s v="006VO00000RT84HYAT"/>
        <s v="006VO00000RTAvhYAH"/>
        <s v="006VO00000RdTyfYAF"/>
        <s v="006VO00000RwqoHYAR"/>
        <s v="006VO00000SdyNaYAJ"/>
        <s v="006VO00000SptvBYAR"/>
        <s v="006VO00000SzijxYAB"/>
        <s v="006VO00000SzjGDYAZ"/>
        <s v="006VO00000SzkCHYAZ"/>
        <s v="006VO00000T02xBYAR"/>
        <s v="006VO00000T1eIrYAJ"/>
        <s v="006VO00000T1fq1YAB"/>
        <s v="006VO00000T68WtYAJ"/>
        <s v="006VO00000TDnqDYAT"/>
        <s v="006VO00000TEGc7YAH"/>
        <s v="006VO00000TWDizYAH"/>
        <s v="006VO00000TjYMbYAN"/>
        <s v="006VO00000TjgaHYAR"/>
        <s v="006VO00000TjjRhYAJ"/>
        <s v="006VO00000TlZuTYAV"/>
        <s v="006VO00000Tle7lYAB"/>
        <s v="006VO00000TpbxjYAB"/>
        <s v="006VO00000Tpv0MYAR"/>
        <s v="006VO00000TuDEnYAN"/>
        <s v="006VO00000TuDbNYAV"/>
        <s v="006VO00000TxX0wYAF"/>
        <s v="006VO00000Ty5SMYAZ"/>
        <s v="006VO00000TyCf7YAF"/>
        <s v="006VO00000TyW5xYAF"/>
        <s v="006VO00000U7gZ7YAJ"/>
        <s v="006VO00000U9nLBYAZ"/>
        <s v="006VO00000UHtJlYAL"/>
        <s v="006VO00000UI4n3YAD"/>
        <s v="006VO00000UMD6zYAH"/>
        <s v="006VO00000UfUSIYA3"/>
        <s v="006VO00000UfXJhYAN"/>
        <s v="006VO00000UkLGHYA3"/>
        <s v="006VO00000UkNTNYA3"/>
        <s v="006VO00000UkZcdYAF"/>
        <s v="006VO00000UkicfYAB"/>
        <s v="006VO00000UuUDRYA3"/>
        <s v="006VO00000V5VirYAF"/>
        <s v="006VO00000VKOiiYAH"/>
        <s v="006VO00000VNwzAYAT"/>
        <s v="006VO00000VTIVyYAP"/>
        <s v="006VO00000Vi2STYAZ"/>
        <s v="006VO00000Vjm54YAB"/>
        <s v="006VO00000VngCMYAZ"/>
        <s v="006VO00000Vnr1JYAR"/>
        <s v="006VO00000Vs3ogYAB"/>
        <s v="006VO00000VwQDBYA3"/>
        <s v="006VO00000VwR1BYAV"/>
        <s v="006VO00000Vwa9JYAR"/>
        <s v="006VO00000W7njRYAR"/>
        <s v="006VO00000W7xc1YAB"/>
        <s v="006VO00000W7xk5YAB"/>
        <s v="006VO00000W7xs9YAB"/>
        <s v="006VO00000W7y1pYAB"/>
        <s v="006VO00000W7y6fYAB"/>
        <s v="006VO00000W8DdZYAV"/>
        <s v="006VO00000W8c7LYAR"/>
        <s v="006VO00000WHIxNYAX"/>
        <s v="006VO00000WKzBNYA1"/>
        <s v="006VO00000WLSJpYAP"/>
        <s v="006VO00000WYde1YAD"/>
        <s v="006VO00000WbTrpYAF"/>
        <s v="006VO00000Wbe7JYAR"/>
        <s v="006VO00000WhAhfYAF"/>
        <s v="006VO00000Wun5GYAR"/>
        <s v="006VO00000Wv3d3YAB"/>
        <s v="006VO00000X1mHJYAZ"/>
        <s v="006VO00000X6qIfYAJ"/>
        <s v="006VO00000XC1BqYAL"/>
        <s v="006VO00000XKeHfYAL"/>
        <s v="006VO00000XQdvZYAT"/>
        <s v="006VO00000XV9s1YAD"/>
        <s v="006VO00000XpSorYAF"/>
        <s v="006VO00000XtN12YAF"/>
        <s v="006VO00000XtS77YAF"/>
        <s v="006VO00000XtSGnYAN"/>
        <s v="006VO00000XxOksYAF"/>
        <s v="006VO00000Y7z3BYAR"/>
        <s v="006VO00000Y9s8sYAB"/>
        <s v="006VO00000YA9JNYA1"/>
        <s v="006VO00000YADmpYAH"/>
        <s v="006VO00000YEPnlYAH"/>
        <s v="006VO00000YEcjNYAT"/>
        <s v="006VO00000YHmhPYAT"/>
        <s v="006VO00000YIvdmYAD"/>
        <s v="006VO00000YJ2c1YAD"/>
        <s v="006VO00000YMlgJYAT"/>
        <s v="006VO00000YN6vaYAD"/>
        <s v="006VO00000YXWfDYAX"/>
        <s v="006VO00000YXmYXYA1"/>
        <s v="006VO00000YYCXqYAP"/>
        <s v="006VO00000YZcBhYAL"/>
        <s v="006VO00000YZd6AYAT"/>
        <s v="006VO00000YhcBLYAZ"/>
        <s v="006VO00000YhwupYAB"/>
        <s v="006VO00000Yi6voYAB"/>
        <s v="006VO00000YjOU2YAN"/>
        <s v="006VO00000YyKzcYAF"/>
        <s v="006VO00000YyidhYAB"/>
        <s v="006VO00000Yyik9YAB"/>
        <s v="006VO00000Yyxw6YAB"/>
        <s v="006VO00000YyyAbYAJ"/>
        <s v="006VO00000Yz2FsYAJ"/>
        <s v="006VO00000YzDWEYA3"/>
        <s v="006VO00000YzEKDYA3"/>
        <s v="006VO00000YzGU5YAN"/>
        <s v="006VO00000YzH5BYAV"/>
        <s v="006VO00000Z3G2VYAV"/>
        <s v="006VO00000ZCM0cYAH"/>
        <s v="006VO00000ZMir5YAD"/>
        <s v="006VO00000ZMiz7YAD"/>
        <s v="006VO00000ZMrG1YAL"/>
        <s v="006VO00000ZORW0YAP"/>
        <s v="006VO00000ZOW4DYAX"/>
        <s v="006VO00000ZOqUMYA1"/>
        <s v="006VO00000ZSm2LYAT"/>
        <s v="006VO00000ZWjXKYA1"/>
        <s v="006VO00000Zj0CcYAJ"/>
        <s v="006VO00000ZkjnaYAB"/>
        <s v="006VO00000ZmVOkYAN"/>
        <s v="006VO00000ZmYssYAF"/>
        <s v="006VO00000ZmiH8YAJ"/>
        <s v="006VO00000Zmk7eYAB"/>
        <s v="006VO00000ZmmcTYAR"/>
        <s v="006VO00000ZmmqzYAB"/>
        <s v="006VO00000Zmmz4YAB"/>
        <s v="006VO00000ZmnLeYAJ"/>
        <s v="006VO00000ZmnofYAB"/>
        <s v="006VO00000ZmoBFYAZ"/>
        <s v="006VO00000ZmoMXYAZ"/>
        <s v="006VO00000ZmoPlYAJ"/>
        <s v="006VO00000ZmoftYAB"/>
        <s v="006VO00000ZvuAzYAJ"/>
        <s v="006VO00000Zzk3OYAR"/>
        <s v="006VO00000aG1g9YAC"/>
        <s v="006VO00000aJe6fYAC"/>
        <s v="006VO00000aLERRYA4"/>
        <s v="006VO00000aRoQcYAK"/>
        <s v="006VO00000aS2TZYA0"/>
        <s v="006VO00000aS2oXYAS"/>
        <s v="006VO00000aS2rlYAC"/>
        <s v="006VO00000aXSK9YAO"/>
        <s v="006VO00000aZ87dYAC"/>
        <s v="006VO00000aZARBYA4"/>
        <s v="006VO00000adhlBYAQ"/>
        <s v="006VO00000ai7cAYAQ"/>
        <s v="006VO00000aiDhZYAU"/>
        <s v="006VO00000alpqLYAQ"/>
        <s v="006VO00000awuujYAA"/>
        <s v="006VO00000axbzjYAA"/>
        <s v="006VO00000b3H0cYAE"/>
        <s v="006VO00000b3L95YAE"/>
        <s v="006VO00000b3OLRYA2"/>
        <s v="006VO00000b3QgbYAE"/>
        <s v="006VO00000b3Qn3YAE"/>
        <s v="006VO00000b7BflYAE"/>
        <s v="006VO00000bLFupYAG"/>
        <s v="006VO00000bNC81YAG"/>
        <s v="006VO00000bNCG5YAO"/>
        <s v="006VO00000bNGpxYAG"/>
        <s v="006VO00000bNXdtYAG"/>
        <s v="006VO00000bVgqTYAS"/>
        <s v="006VO00000bVhBRYA0"/>
        <s v="006VO00000boc6PYAQ"/>
        <s v="006VO00000bogI6YAI"/>
        <s v="006VO00000bsnEXYAY"/>
        <s v="006VO00000bx6YjYAI"/>
        <s v="006VO00000cD1RpYAK"/>
        <s v="006VO00000cDCGnYAO"/>
        <s v="006VO00000cH9LyYAK"/>
        <s v="006VO00000cVHWXYA4"/>
        <s v="006VO00000cVZBiYAO"/>
        <s v="006VO00000ckXmJYAU"/>
        <s v="006VO00000ctiovYAA"/>
        <s v="006VO00000ctlLNYAY"/>
        <s v="006VO00000cv59zYAA"/>
        <s v="006VO00000cvI5ZYAU"/>
        <s v="006VO00000czUBNYA2"/>
        <s v="006VO00000czYAAYA2"/>
        <s v="006VO00000d33nhYAA"/>
        <s v="006VO00000dC9XKYA0"/>
        <s v="006VO00000dC9ibYAC"/>
        <s v="006VO00000dCCdFYAW"/>
        <s v="006VO00000dI1dWYAS"/>
        <s v="006VO00000dI2w9YAC"/>
        <s v="006VO00000dI8n3YAC"/>
        <s v="006VO00000dLljqYAC"/>
        <s v="006VO00000dP9CvYAK"/>
        <s v="006VO00000dti5BYAQ"/>
        <s v="006VO00000dvQH7YAM"/>
        <s v="006VO00000dvffuYAA"/>
        <s v="006VO00000dvj1yYAA"/>
        <s v="006VO00000dy7xsYAA"/>
        <s v="006VO00000eOGpNYAW"/>
        <s v="006VO00000eOPnpYAG"/>
        <s v="006VO00000eOriTYAS"/>
        <s v="006VO00000ecVyDYAU"/>
        <s v="006VO00000esb6oYAA"/>
        <s v="006VO00000fTCKjYAO"/>
        <s v="006VO00000SP18rYAD"/>
        <s v="006VO00000T5bFzYAJ"/>
        <s v="006VO00000T5eowYAB"/>
        <s v="006VO00000T5fRfYAJ"/>
        <s v="006VO00000T5hurYAB"/>
        <s v="006VO00000Ulb2rYAB"/>
        <s v="006VO00000bCIWvYAO"/>
        <s v="006VO00000biAPmYAM"/>
        <s v="006VO00000cVjEHYA0"/>
        <s v="006VO00000ckJY1YAM"/>
        <s v="006VO00000ckJeTYAU"/>
        <s v="006VO00000ctYO9YAM"/>
        <s v="006VO00000d5OXuYAM"/>
        <s v="006VO00000dcfrlYAA"/>
        <s v="006VO00000eXEhwYAG"/>
        <s v="006VO00000eXMtxYAG"/>
        <s v="006VO00000eXNI9YAO"/>
        <s v="006VO00000eXWlFYAW"/>
        <s v="006VO00000eXWy9YAG"/>
        <s v="006VO00000eopMtYAI"/>
        <s v="006VO00000eozKbYAI"/>
        <s v="006VO00000epHe5YAE"/>
        <s v="006VO00000f1sy1YAA"/>
        <s v="006VO00000fNQOnYAO"/>
        <s v="006VO00000fObObYAK"/>
        <s v="006VO00000fTCfhYAG"/>
        <s v="006VO00000fYpN3YAK"/>
        <s v="006VO00000QaaE9YAJ"/>
        <s v="006VO00000XjPosYAF"/>
        <s v="006VO00000ZTBojYAH"/>
        <s v="006VO00000bVfPlYAK"/>
        <s v="006VO00000biYtXYAU"/>
        <s v="006VO00000bkg3lYAA"/>
        <s v="006VO00000btDFRYA2"/>
        <s v="006VO00000btDYnYAM"/>
        <s v="006VO00000c9B1ZYAU"/>
        <s v="006VO00000cHAgEYAW"/>
        <s v="006VO00000cHQHxYAO"/>
        <s v="006VO00000ckPvCYAU"/>
        <s v="006VO00000cvJMbYAM"/>
        <s v="006VO00000dMB6PYAW"/>
        <s v="006VO00000dgVXGYA2"/>
        <s v="006VO00000dy3r0YAA"/>
        <s v="006VO00000e4AJVYA2"/>
        <s v="006VO00000eLya2YAC"/>
        <s v="006VO00000eMFxRYAW"/>
        <s v="006VO00000eOSAbYAO"/>
        <s v="006VO00000ePeRRYA0"/>
        <s v="006VO00000eSIhJYAW"/>
        <s v="006VO00000epGTVYA2"/>
        <s v="006VO00000fMlbnYAC"/>
        <s v="006VO00000fPeU5YAK"/>
        <s v="006VO00000fqKXiYAM"/>
      </sharedItems>
    </cacheField>
    <cacheField name="Opportunity Name" numFmtId="0">
      <sharedItems containsBlank="1">
        <m/>
        <s v="Samoli Ep"/>
        <s v="Nukhba al Wasal hofouf"/>
        <s v="Al Normani Khaleej"/>
        <s v="Logimat Mama Noura KSA - 4"/>
        <s v="Logimat Mama Noura KSA - 5"/>
        <s v="Burger King SA"/>
        <s v="Eat ha"/>
        <s v="Quizno's Sub - Malga"/>
        <s v="Cookies n Cream Khaleej"/>
        <s v="Cosmo Cafe - Olaya - KSA"/>
        <s v="Section-B"/>
        <s v="TAO"/>
        <s v="TAO - KLG"/>
        <s v="Eat ha - Dahrat Laban - KSA"/>
        <s v="TAO - King Fahad"/>
        <s v="TAO - SWD"/>
        <s v="Mol10 KSA (Member Transfer)"/>
        <s v="Diplomat - KHL"/>
        <s v="Cosmo Cafe - Khaleej - KSA"/>
        <s v="Raed Startup"/>
        <s v="Muneera Aabdullah Startup"/>
        <s v="BIRD (MEMBER TRANSFER)"/>
        <s v="Crunch Bakery Malga 2"/>
        <s v="TAO - Malga (MEMBER TRANSFER)"/>
        <s v="Section-B (Member Transfer)"/>
        <s v="Dar Al Raeda- Sweidi"/>
        <s v="Lolivo - Aqiq KSA"/>
        <s v="Arabian Food - Zohor 2"/>
        <s v="Hamam Abdoh Grills - K7 - malga 1 - KSA"/>
        <s v="Hamam Abdoh Grills - K4 - malga 1 - KSA"/>
        <s v="TAO - Aqrabiya"/>
        <s v="Tao (DMM RWD)"/>
        <s v="TAO - jarir"/>
        <s v="Molten - Member Transfer"/>
        <s v="Indian Palace - Indian Island - Samakatee"/>
        <s v="Soft Spot Desserts SA-"/>
        <s v="Indian Island"/>
        <s v="Cref cookies"/>
        <s v="Eye Wink Donut - KSA - KHALEEJ"/>
        <s v="avon cake"/>
        <s v="TAO - Qassim 1"/>
        <s v="Arabian Food Co. Dahrat Laban K17"/>
        <s v="Arabian Food Co - Swidi"/>
        <s v="TAO (KFD)"/>
        <s v="The Bakery &amp; Company - Member Transfer"/>
        <s v="TacoMania"/>
        <s v="Restaurant Franchise Co. for Trading (Give Me Five, Kantaka, Carton Mashwi)"/>
        <s v="TAO - DL Member Transfer - Member Transfer"/>
        <s v="First Friday"/>
        <s v="Grill it"/>
        <s v="Arabian Food Co Olaya"/>
        <s v="Hot Kunafa"/>
        <s v="Chicken Chops Sulaimania"/>
        <s v="Yogi"/>
        <s v="Abdullah start up - Member Transfer - Member Transfer"/>
        <s v="OverJar (Member Transfer) - Delayed Transfer Aqrabiya - Member Transfer"/>
        <s v="Avon Cake - Member Transfer - Delayed Transfer"/>
        <s v="TAO - Member Transfer"/>
        <s v="Kcal KSA - Arid - K21 (Cold)"/>
        <s v="Kcal KSA - Arid - K01 (Hot)"/>
        <s v="Kcal KSA - Arid - K15 (Hot)"/>
        <s v="Kcal KSA - Arid - K16 (Hot)"/>
        <s v="Kcal KSA - Arid - K07 (Hot)"/>
        <s v="Kcal KSA - Arid - K03 (Hot)"/>
        <s v="Kcal KSA - Arid - K18 (Hot)"/>
        <s v="Kcal KSA - Arid - K06 (Hot)"/>
        <s v="Kcal KSA - Arid - K13 (Hot)"/>
        <s v="Kcal KSA - Arid - K02 (Hot)"/>
        <s v="Kcal KSA - Arid - K04 (Hot)"/>
        <s v="Kcal KSA - Arid - K05 (Hot)"/>
        <s v="Kcal KSA - Arid - K08 (Hot)"/>
        <s v="Kcal KSA - Arid - K09 (Hot)"/>
        <s v="Kcal KSA - Arid - K10 (Hot)"/>
        <s v="Kcal KSA - Arid - K11 (Hot)"/>
        <s v="Kcal KSA - Arid - K12 (Hot)"/>
        <s v="Kcal KSA - Arid - K14 (Hot)"/>
        <s v="Kcal KSA - Arid - K17 (Hot)"/>
        <s v="Kcal KSA - Arid - K19 (Hot)"/>
        <s v="Kcal KSA - Arid - K20 (Cold)"/>
        <s v="Arabian Food Co - Delayed Transfer Delayed Transfer"/>
        <s v="Mol10 KSA - Member Transfer"/>
        <s v="Remosa Delights SA"/>
        <s v="Juice Item"/>
        <s v="Smox - Rosso - Member Transfer"/>
        <s v="Taj Holding - Member Transfer"/>
        <s v="Ganache"/>
        <s v="Framboise &amp; Olive"/>
        <s v="Fish and chips - KSA"/>
        <s v="Meats &amp;Cuts - Twice - SA"/>
        <s v="Over Jar - DMM (Rawda)"/>
        <s v="Am Qassem - Uncle Qassem"/>
        <s v="Joyn Bakery"/>
        <s v="Chocomelt Malga 2"/>
        <s v="Food Line Holding (FLH) - K01"/>
        <s v="Juice Item - Khaleej - Member Transfer"/>
        <s v="Food Line Holding (FLH) - K16"/>
        <s v="Food Line Holding (FLH) - K18"/>
        <s v="Food Line Holding (FLH) - K09"/>
        <s v="Sushi Yoshi - Aqiq - Member Transfer"/>
        <s v="Food Line Holding (FLH) - K20"/>
        <s v="Food Line Holding (FLH) - K08"/>
        <s v="Food Line Holding (FLH) - K06"/>
        <s v="Food Line Holding (FLH) - K19"/>
        <s v="Food Line Holding (FLH) - K05"/>
        <s v="Food Line Holding (FLH) - K02"/>
        <s v="Food Line Holding (FLH) - K11"/>
        <s v="Food Line Holding (FLH) - K03"/>
        <s v="Food Line Holding (FLH) - K04"/>
        <s v="Food Line Holding (FLH) - K07"/>
        <s v="Food Line Holding (FLH) - K10"/>
        <s v="Food Line Holding (FLH) - K12"/>
        <s v="Food Line Holding (FLH) - K13"/>
        <s v="Food Line Holding (FLH) - K14"/>
        <s v="Food Line Holding (FLH) - K21"/>
        <s v="Food Line Holding (FLH) - K15"/>
        <s v="Food Line Holding (FLH) - K17"/>
        <s v="Indian Palace - Indian Island - Samakatee - Member Transfer"/>
        <s v="Coffee Plus"/>
        <s v="Mahmaset Ard Al Sanawbar - Khaleej"/>
        <s v="Alrafden Grill (AQR)"/>
        <s v="Fish Face - Member Transfer"/>
        <s v="Taj Holding - (SUL)"/>
        <s v="TAO - Rawada - Delayed Transfer"/>
        <s v="Multaqa Alzad For Tourism ( Leila Min Lebnen - Omaimati - Greenbox )"/>
        <s v="TAO - Malga 1 - Delayed Transfer - Delayed Transfer"/>
        <s v="TAO - Qurtoba - Delayed Transfer - Delayed Transfer"/>
        <s v="Deboned KSA (Aqrabia)  - Delayed Transfer"/>
        <s v="TAO - Qurtoba K8 - Delayed Transfer"/>
        <s v="Dolce Ragusa Qurtoba - Member Transfer"/>
        <s v="Juice Items Malga - Member Transfer - Member Transfer"/>
        <s v="Banders Potato Yasmin"/>
        <s v="Stampa - KSA"/>
        <s v="Toga Rashi - KSA"/>
        <s v="Numou - KSA - TWG - K02"/>
        <s v="Numou - KSA - TWG - K14"/>
        <s v="Numou - KSA - TWG - K05"/>
        <s v="Numou - KSA - TWG - K15"/>
        <s v="Numou - KSA - TWG - K08"/>
        <s v="Numou - KSA - TWG - K16"/>
        <s v="Numou - KSA - TWG - K18"/>
        <s v="Numou - KSA - TWG - K10"/>
        <s v="Numou - KSA - TWG - K11"/>
        <s v="Numou - KSA - TWG - K04"/>
        <s v="Numou - KSA - TWG - K07"/>
        <s v="Numou - KSA - TWG - K17 COLD"/>
        <s v="Numou - KSA - TWG - K03"/>
        <s v="Numou - KSA - TWG - K06"/>
        <s v="Numou - KSA - TWG - K01"/>
        <s v="Numou - KSA - TWG - K09"/>
        <s v="Numou - KSA - TWG - K13"/>
        <s v="Numou - KSA - TWG - K12"/>
        <s v="Latifa Startup - ksa - Delayed Transfer - Delayed Transfer"/>
        <s v="Tofareya"/>
        <s v="BACO"/>
        <s v="Masami sushi - Dahrat Laban - Member Transfer"/>
        <s v="Chocomelt Olaya"/>
        <s v="Consulta Hospitality Experts (MAQSAF - BRE'ED - TRU BOWL), K18 Olaya"/>
        <s v="Sandwitch - Burger &amp; Me"/>
        <s v="Nafeeseh Sweets - Member Transfer"/>
        <s v="Namq Cafe SA"/>
        <s v="L'olivo Sanwiches- - Member Transfer - Delayed Transfer - Member Transfer"/>
        <s v="Susler - KSA"/>
        <s v="Ganache Qurtoba - Member Transfer - Member Transfer"/>
        <s v="Nawaf Alharbi  Startup - KSA-"/>
        <s v="ND Bakery - KSA"/>
        <s v="Feels"/>
        <s v="Tao Salam K20"/>
        <s v="Tao Salam K14"/>
        <s v="Tao Salam K13"/>
        <s v="Tao Salam K15"/>
        <s v="Tao Salam K17"/>
        <s v="Tao Salam K18"/>
        <s v="Tao Salam K19"/>
        <s v="Premium Food Company (Baytoti - Maki House)"/>
        <s v="Lasagna Box"/>
        <s v="Masgouf London"/>
        <s v="WK Burger"/>
        <s v="Krooz Almasiyah Co. - Member Transfer - Member Transfer"/>
        <s v="Crispish"/>
        <s v="Shawarma House, Narjis, K19"/>
        <s v="SNIM - The Butter Knife"/>
        <s v="Mshltt Alhaga"/>
        <s v="Premium Food Company (Baytoti - Wok -Maki House - Podo Moro - Zoud)"/>
        <s v="Keto care"/>
        <s v="Dyar Bakery, Khaleej"/>
        <s v="GNJ Group (UAH K1)"/>
        <s v="La creperie"/>
        <s v="Marble Cuisine SA"/>
        <s v="Shawarma House, Narjis, K27"/>
        <s v="Shawarma House, Narjis, K26"/>
        <s v="Shawarma House, Narjis, K20"/>
        <s v="Shawarma House, Narjis, K21"/>
        <s v="Shawarma House, Narjis, K22"/>
        <s v="Shawarma House, Narjis, K23"/>
        <s v="Shawarma House, Narjis, K25"/>
        <s v="Shawarma House, Narjis, K24"/>
        <s v="Shawarma House, Sulimaniah, K14"/>
        <s v="Shawarma House, Sulimaniah, K16"/>
        <s v="Shawarma House, Sulimaniah, K17"/>
        <s v="Shawarma House, Sulimaniah, K19"/>
        <s v="Gastronomica Wadi"/>
        <s v="Cref Cookies Dahrat Laban"/>
        <s v="Happiness Cookies"/>
        <s v="Signature Salam"/>
        <s v="Shawarma House, Sulimaniah, K13"/>
        <s v="Jedo Shaker Yasmin"/>
        <s v="La Creperie - KSA - Member Transfer"/>
        <s v="Aziz 88 (K3 UAH)"/>
        <s v="Shawarma House, Sulimaniah, K15"/>
        <s v="Cref Cookies Olaya"/>
        <s v="Shawarma House, Sulimaniah, K12"/>
        <s v="Shawarma House, Sulimaniah, K11"/>
        <s v="Delluci Cake - KSA"/>
        <s v="Shawarma House, Narjis, K13"/>
        <s v="Cref Cookies Salam"/>
        <s v="Raghad Start Up"/>
        <s v="Imran SU"/>
        <s v="Shawarma House, Sulimaniah, CPU"/>
        <s v="Shawarma House, Sulimaniah, K08"/>
        <s v="Shawarma House, Narjis, K06"/>
        <s v="Dip N Dip KSA"/>
        <s v="Smoothies Aqiq"/>
        <s v="Shawarma House, Narjis, K04"/>
        <s v="Baskin Robbins - K01 - KSA"/>
        <s v="mahmaset ard Al Sanawbar"/>
        <s v="Fermented Friends (K03 Isa) - Delayed Transfer"/>
        <s v="U.L.D. Trading Company (K16)"/>
        <s v="U.L.D. Trading Company (K05)"/>
        <s v="U.L.D. Trading Company (K14)"/>
        <s v="U.L.D. Trading Company (K13)"/>
        <s v="U.L.D. Trading Company (K04)"/>
        <s v="U.L.D. Trading Company (K15)"/>
        <s v="U.L.D. Trading Company (K12)"/>
        <s v="U.L.D. Trading Company (K11)"/>
        <s v="Right Calories King Faisal k15"/>
        <s v="Clever Juices - Beesket Juices"/>
        <s v="Healthy nation"/>
        <s v="BAKA - Member Transfer - Member Transfer"/>
        <s v="Neska Company (Biga Burger, Krnsh , Rosella , Shawarma Allawi, Bo Kees , Bakkar, Koshka, Varo), Khaleej"/>
        <s v="Suwairs Cold Kitchen - Wadi - Member Transfer"/>
        <s v="Chocomelt Aqrabiya"/>
        <s v="Shawarma House, Narjis, K17"/>
        <s v="Jo Drinks, Malga2"/>
        <s v="Shawarma House, Sulimaniah, K18"/>
        <s v="Godiva Chocolatier"/>
        <s v="Des Lis Delices (K11 UAH)"/>
        <s v="Petiole Foods (K14 UAH)"/>
        <s v="Soma's Kitchen Laban - Member Transfer"/>
        <s v="Almaris - Smarf Burger - Missimiss Fottor - Balla Chappati - Sizzle &amp; Smoke Grills - Ammiji.D Biryani"/>
        <s v="Candied riyadh SA - RUH - Qurtoba"/>
        <s v="Marta's Cake - KSA- - Member Transfer"/>
        <s v="Adyaf Gulf (Madeleine ) - SA - RUH - Qurtoba - Member Transfer"/>
        <s v="Sushi Demure"/>
        <s v="Baskin Robbins - K04 - KSA"/>
        <s v="Baskin Robbins - K05 - KSA"/>
        <s v="Baskin Robbins - K09 - KSA"/>
        <s v="Baskin Robbins - K08 - KSA"/>
        <s v="Baskin Robbins - K07 - KSA"/>
        <s v="Baskin Robbins - K06 - KSA"/>
        <s v="Baskin Robbins - K10 - KSA"/>
        <s v="Baskin Robbins - K11 - KSA"/>
        <s v="Baskin Robbins - K12 - KSA"/>
        <s v="Baskin Robbins - K25 - KSA"/>
        <s v="Munch bakery - Member Transfer"/>
        <s v="Fames burger"/>
        <s v="Boga Super Foods"/>
        <s v="Shawarma House, Qurtoba, K26"/>
        <s v="Shawarma House, Narjis, K18"/>
        <s v="Shawarma House, Narjis, CPU"/>
        <s v="Shawarma House, Sulimaniah, K09"/>
        <s v="Shawarma House, Sulimaniah, K21"/>
        <s v="Shawarma House, Qurtoba, K32"/>
        <s v="Shawarma House, Qurtoba, K28"/>
        <s v="Shawarma House, Qurtoba, K29"/>
        <s v="Shawarma House, Qurtoba, K33"/>
        <s v="Shawarma House, Qurtoba, K37"/>
        <s v="Shawarma House, Qurtoba, K41"/>
        <s v="Shawarma House, Qurtoba, K34"/>
        <s v="Shawarma House, Qurtoba, K35"/>
        <s v="Shawarma House, Qurtoba, K36"/>
        <s v="Shawarma House, Qurtoba, K39"/>
        <s v="Shawarma House, Qurtoba, K40"/>
        <s v="Feels KFD"/>
        <s v="Shawarma House, Qurtoba, K43"/>
        <s v="Anwar Bakery - SU"/>
        <s v="Roma company Kebab hub - Well done"/>
        <s v="Shawarma House, Qurtoba, K31"/>
        <s v="Shawarma House, Qurtoba, K42"/>
        <s v="Shawarma House, Qurtoba, K30"/>
        <s v="Shawarma House, Qurtoba, K45 (CPU)"/>
        <s v="Shawarma House, Qurtoba, K07"/>
        <s v="Shawarma House, Qurtoba, K44"/>
        <s v="Dar Al Raeda- Olaya - Member Transfer - Member Transfer - Member Transfer"/>
        <s v="Seedling Salad"/>
        <s v="Shawarma House, Qurtoba, K27"/>
        <s v="Shawarma House, Qurtoba, K38"/>
        <s v="Eat Ha - Member Transfer - Member Transfer"/>
        <s v="Copo"/>
        <s v="Applebee's"/>
        <s v="FireFly Burger - KSA - Kiwi"/>
        <s v="CoJo Cafe-"/>
        <s v="Manga Al Zaeem For Juices"/>
        <s v="Juice Item - Member Transfer"/>
        <s v="Petiole Foods (K15 UAH)"/>
        <s v="Abdulaziz Al Ahmari"/>
        <s v="Fruit Art"/>
        <s v="Cut Crush Company -KSA-"/>
        <s v="Shawarma House, Narjis, K15"/>
        <s v="Marta's Cake"/>
        <s v="Juice Item SA - Member Transfer"/>
        <s v="Half Tree (Al Malga)"/>
        <s v="Half Tree (Aqrabiya)"/>
        <s v="Half Tree (Hofuf)"/>
        <s v="Half Tree (Al Wadi)"/>
        <s v="Half Tree (Sweidi)"/>
        <s v="Kcal - KSA - Jarir"/>
        <s v="V60 Coffee Bar -KSA- - Member Transfer"/>
        <s v="Pret A Manger Saudi Arabia k1"/>
        <s v="Suwairs Cold Kitchen - Khaleej - Member Transfer - Member Transfer"/>
        <s v="Al Hamra Bukhari Restaurant - SA - RUH - Dahrat Laban - Delayed Transfer"/>
        <s v="Chocomelt Laban - Member Transfer - Member Transfer"/>
        <s v="Ganache - Member Transfer - Member Transfer"/>
        <s v="Maqloba - KSA"/>
        <s v="Quttna KSA"/>
        <s v="Al Hamra Bukhari Restaurant - SA - RUH"/>
        <s v="ISFC International Specialized Food Co- (Diet World - Madqoud Alsadra - Kiwi grill) Aqiq"/>
        <s v="The delicous"/>
        <s v="Hayat Alnokbaah company"/>
        <s v="Etoile Aqrabiya"/>
        <s v="ISFC International Specialized Food Co- (Diet World - Madqoud Alsadra - Kiwi grill) Sulimaniyah"/>
        <s v="Crisper"/>
        <s v="Fames burger Khaleej"/>
        <s v="Fames burger Sweidi 1"/>
        <s v="Etoile King Fahad"/>
        <s v="Etoile King Faisal"/>
        <s v="Etoile - Jarir"/>
        <s v="Shawaya House, Arid2"/>
        <s v="GOFA, Rakah"/>
        <s v="Hala Batta"/>
        <s v="Alreef Broasted"/>
        <s v="Cref Cookies Sweidi"/>
        <s v="Shawarma House, Sulimaniah, K07"/>
        <s v="Alreef Broastedx"/>
        <s v="Hajeen Roasters"/>
        <s v="Mashael SU"/>
        <s v="Ganache - Member Transfer"/>
        <s v="Al Ghalia Company - CAFÉ LILOU - RWD"/>
        <s v="Lolivo Yasmin"/>
        <s v="Haqwa Coffee"/>
        <s v="Loleta Sweets Rawdah - Member Transfer"/>
        <s v="Fullah"/>
        <s v="Sugarize"/>
        <s v="Biox - The Health Bar by RAW King Faisal"/>
        <s v="Al Ghalia Company - CAFÉ LILOU - KHJ"/>
        <s v="Al Ghalia Company - CAFÉ LILOU - SWD"/>
        <s v="Al Ghalia Company - CAFÉ LILOU - Malga"/>
        <s v="Pret A Manger Saudi Arabia K6"/>
        <s v="Pret A Manger Saudi Arabia K2"/>
        <s v="Pret A Manger Saudi Arabia K4"/>
        <s v="Pret A Manger Saudi Arabia K9"/>
        <s v="Pret A Manger Saudi Arabia K10"/>
        <s v="Pret A Manger Saudi Arabia K11"/>
        <s v="ISFC International Specialized Food Co- (Diet World - Madqoud Alsadra - Kiwi grill) Sweidi - Member Transfer"/>
        <s v="Chocomelt Rawda - Member Transfer"/>
        <s v="Etoile - Malga 2 - Member Transfer"/>
        <s v="Nakhati - Member Transfer"/>
        <s v="Strawberry and cheese - KSA-"/>
        <s v="Souffle Altahliyah-"/>
        <s v="Calo - RUH - King Faisal - KSA"/>
        <s v="Abdulrahman Alamer Start Up"/>
        <s v="Juice Item - Member Transfer - Member Transfer - Member Transfer"/>
        <s v="Paella Pan King Faisal"/>
        <s v="Cold Summer"/>
        <s v="The Fancy Fork (K13 UAH)"/>
        <s v="Misslawh - KSA- - Member Transfer"/>
        <s v="Lolivo King Fahad"/>
        <s v="Choply Salad"/>
        <s v="Copo laban"/>
        <s v="Sheffas Shack- K17 UAH"/>
        <s v="FASSCO international - K21 UAH"/>
        <s v="Seedling Salad - Member Transfer - Member Transfer"/>
        <s v="Gecat plastic factory - 1"/>
        <s v="Biox - The Health Bar by RAW Sulimaniyah - Delayed Transfer"/>
        <s v="Toby's Estate"/>
        <s v="Almaris - Smarf Burger - Missimiss Fottor - Balla Chappati - Sizzle &amp; Smoke Grills - Ammiji.D Biryani - Member Transfer"/>
        <s v="Wissam Su"/>
        <s v="Copo laban K19"/>
        <s v="Petiole Foods (K19 UAH)"/>
        <s v="Shawaya House, DHL - Member Transfer"/>
        <s v="Sushi Demure - Member Transfer"/>
        <s v="TAO Arid 2"/>
        <s v="Sushi do"/>
        <s v="Diet Center"/>
        <s v="Hak group"/>
        <s v="K24, Shawarma House, Sulimaniah"/>
        <s v="CK22, Shawarma House, Sulimaniah"/>
        <s v="K23, Shawarma House, Sulimaniah"/>
        <s v="Neska (Biga Burger, Krnsh , Rosella , Shawarma Allawi, Bo Kees , Bakkar, Koshka, Varo), Sweidi"/>
        <s v="Kcal - KSA - Aqiq"/>
        <s v="ALNahdi Catering  - KSA-"/>
        <s v="Kcal - KSA - Qurtoba"/>
        <s v="Pret A Manger Saudi Arabia K 05"/>
        <s v="Pret A Manger Saudi Arabia K7"/>
        <s v="Pret A Manger Saudi Arabia K 12"/>
        <s v="Pret A Manger Saudi Arabia K 08"/>
        <s v="Pret A Manger Saudi Arabia K 13"/>
        <s v="Pret A Manger Saudi Arabia K 03"/>
        <s v="Cocoli Cafe KFD"/>
        <s v="Cleanse and Glow - KSA"/>
        <s v="Meld"/>
        <s v="breakin bun"/>
        <s v="Big Matt"/>
        <s v="Nadoush Su"/>
        <s v="Meld - Member Transfer"/>
        <s v="REI Chocolate - KSA- Member Transfer"/>
        <s v="Maher  JAM - KSA- - Churn Transfer - Delayed Transfer - Member Transfer"/>
        <s v="Melted-"/>
        <s v="Protein plus - Olive Branches - yughamish zaman - KSA-"/>
        <s v="Gecat plastic factory - 3"/>
        <s v="Gecat plastic factory - 12"/>
        <s v="Gecat plastic factory - 5"/>
        <s v="Gecat plastic factory - 7"/>
        <s v="Gecat plastic factory - 2"/>
        <s v="Gecat plastic factory - 4"/>
        <s v="Gecat plastic factory - 8"/>
        <s v="Gecat plastic factory - 14"/>
        <s v="Gecat plastic factory - 6"/>
        <s v="Gecat plastic factory - 9"/>
        <s v="Gecat plastic factory - 10"/>
        <s v="Gecat plastic factory - 11"/>
        <s v="Gecat plastic factory - 13"/>
        <s v="Etoile - Arid 2 - Member Transfer"/>
        <s v="Al Ghalia Company - CAFÉ LILOU - HOF"/>
        <s v="Dr.Kabsa"/>
        <s v="ALNahdi Catering  - KSA"/>
        <s v="Dolce Ragusa Sulimaniya"/>
        <s v="FASSCO international - K24 UAH"/>
        <s v="FASSCO international - K22 UAH"/>
        <s v="FASSCO international - K23 UAH"/>
        <s v="FASSCO international - K25 UAH"/>
        <s v="Savory Dishes Restaurant- UAH K02"/>
        <s v="Success Creators Laban"/>
        <s v="Nahj Alghitha Company Salam K23"/>
        <s v="Nolia- KSA"/>
        <s v="Success Creators Arid - Member Transfer"/>
        <s v="Douven"/>
        <s v="Fresh House - KHL"/>
        <s v="FASSCO international - K27 UAH"/>
        <s v="FASSCO international - K29 UAH"/>
        <s v="Sandwitch - Burger &amp; Me - Member Transfer"/>
        <s v="FASSCO international - K26 UAH"/>
        <s v="FASSCO international - K28UAH"/>
        <s v="Sweet Evolution - BAH (18 UMH)"/>
        <s v="Mahboob"/>
        <s v="Dip N Dip KSA - Member Transfer"/>
        <s v="Tochka"/>
        <s v="Luqaimat W Sauce - Member Transfer"/>
        <s v="Protein plus - ALAhsaa K10"/>
        <s v="Noho Deli Salam"/>
        <s v="Shawayet Hasan  -KSA"/>
        <s v="Shawarma House, Qurtoba, K46"/>
        <s v="Premium Foods Company - Gulf Eye Co (We Burger - Wahed Falafel - We Bakery - LAROSE), HK8"/>
        <s v="Nahj Alghitha Company Salam K22"/>
        <s v="Keto Sar"/>
        <s v="IONIC KITCHEN"/>
        <s v="Bassam Burger Start Up - Member Transfer"/>
        <s v="Premium Foods Company - Gulf Eye Co (We Burger - Wahed Falafel - We Bakery - LAROSE), CK1"/>
        <s v="Chocomelt Jarir - Member Transfer - Member Transfer"/>
        <s v="Regal King Faisal K10 (Cold)"/>
        <s v="Regal King Faisal K09 (Hot)"/>
        <s v="Ez Bakery ( Khalia Aziz ) - Member Transfer - Member Transfer"/>
        <s v="Khush Muskhan"/>
        <s v="Saqyah - KSA"/>
        <s v="TBO - Hoba"/>
        <s v="German Doner Kebab"/>
        <s v="PLENTY SLD’S, Earth made, catcha."/>
        <s v="Donut Time Khaleej"/>
        <s v="Donut Time Malga"/>
        <s v="Donut Time Salam"/>
        <s v="Kcal - KSA  - Member Transfer"/>
        <s v="Somas Kitchen  - Member Transfer"/>
        <s v="NOURISHEFZ -KSA - Member Transfer"/>
        <s v="Najla's Cuisine - Member Transfer"/>
        <s v="Shawaya House, King Fahad"/>
        <s v="Nukhba al Wasal - Member Transfer"/>
        <s v="Usta Asim - KSA - Arid 2 - K02"/>
        <s v="Shawaya House, Rakah - Member Transfer"/>
        <s v="mahmaset ard Al Sanawbar - Member Transfer"/>
        <s v="Fantasy Recipe - Member Transfer"/>
        <s v="Hazim Aldahiree Start Up - Member Transfer"/>
        <s v="AL Amer Trading -KSA-"/>
        <s v="Yogi - Member Transfer - Member Transfer"/>
        <s v="Donuttery - K18 KSA-"/>
        <s v="Donuttery -  K21 KSA-"/>
        <s v="Donuttery -  K17 KSA-"/>
        <s v="Donuttery -  K20 KSA-"/>
        <s v="Donuttery - K19 KSA-"/>
        <s v="Donut Time Wadi"/>
        <s v="Sweet Evolution SA - RWD"/>
        <s v="chickin worx"/>
        <s v="Fat Bun"/>
        <s v="I'M Hungry Rawda"/>
        <s v="I'M Hungry Zuhur"/>
        <s v="Abdulaziz Alqarni Start Up"/>
        <s v="AlYasmen Company - Member Transfer"/>
        <s v="Healthy Style - KSA - Jarir - K17"/>
        <s v="Healthy Style - KSA - Jarir - K20"/>
        <s v="Healthy Style - KSA - Jarir - K22"/>
        <s v="Healthy Style - KSA - Jarir - K21"/>
        <s v="Etoile - Rawda Dmm"/>
        <s v="Etoile - Zuhor Dmm"/>
        <s v="Bait el kil Qurtuba"/>
        <s v="Biox - The Health Bar by RAW Laban - Delayed Transfer"/>
        <s v="Bait el kil Arid"/>
        <s v="Opa sweet"/>
        <s v="Rustic Grill"/>
        <s v="Shawaya House, Malga2 - Member Transfer"/>
        <s v="Ibrahim Melhem  SU - KSA - Member Transfer"/>
        <s v="Big Matt - Member Transfer"/>
        <s v="DN Gulf (UAH K36)"/>
        <s v="Glaze-"/>
        <s v="Wahib Start Up"/>
        <s v="Neska (Biga Burger, Krnsh , Rosella , Shawarma Allawi, Bo Kees , Bakkar, Koshka, Varo), Dahrat Laban"/>
        <s v="Alarrab Restaurant"/>
        <s v="National Catering Company - Rakah - 1"/>
        <s v="National Catering Company - Rakah - 2"/>
        <s v="National Catering Company - Rakah - 3"/>
        <s v="Neska (Biga Burger, Krnsh , Rosella , Shawarma Allawi, Bo Kees , Bakkar, Koshka, Varo), Salam"/>
        <s v="Pizza di Rocco - KSA - WUR - K16"/>
        <s v="Pizza di Rocco - KSA - Aqiq 2 - K05"/>
        <s v="D'PEARL CAFÉ HOUSE OF BOBA-"/>
        <s v="Canela Wadi"/>
        <s v="XY Noodles Malga 2"/>
        <s v="Meal Box KSA-"/>
        <s v="Food Axis - KSA - Khaleej - K34"/>
        <s v="Bread Loaf - KSA - Jarir - K34"/>
        <s v="National Catering Company - Rakah - 5"/>
        <s v="National Catering Company - Rakah - 4"/>
        <s v="Petiole Foods (K37 UAH)z"/>
        <s v="National Catering Company - Rakah - 6"/>
        <s v="National Catering Company - Rakah - 7"/>
        <s v="Ahmed AlBazar"/>
        <s v="Shawarma House, Narjis, K09"/>
        <s v="Al Hayat Restaurant / Tikka Mood"/>
        <s v="Calo - On Demand - RUH - King Fahad - K23 - KSA"/>
      </sharedItems>
    </cacheField>
    <cacheField name="Opportunity Owner: Full Name" numFmtId="0">
      <sharedItems containsBlank="1">
        <m/>
        <s v="Riyad Ali"/>
        <s v="Shiraz Ali"/>
        <s v="Omar Joumaa"/>
        <s v="Osama Eliewa"/>
        <s v="Ahmed Alghamdi"/>
        <s v="Jad Hajjar"/>
        <s v="Mohammed Alotaibi"/>
        <s v="Mohammed Alalyani"/>
        <s v="Ihab Ghoussainy"/>
        <s v="Abir Salame"/>
        <s v="Ahmad Abdulkareem"/>
        <s v="Mussad Al-battah"/>
        <s v="Yousif Almohammedali"/>
        <s v="Hamed Alrehaili"/>
        <s v="Ahmad El-Basst"/>
        <s v="Abrar Aldawoud"/>
        <s v="Mark Grehan"/>
        <s v="Anas Ahtiwash"/>
        <s v="Mohammad Farasha"/>
        <s v="Mohammad Majzoub"/>
        <s v="Nadim Kiwan"/>
        <s v="Mohammad Khair Bezzi"/>
        <s v="May Alayesh"/>
        <s v="Sara Alabbasi"/>
        <s v="Gadah Saud"/>
        <s v="Moayad Sami Abedalqader Yassin"/>
        <s v="Micheal Fahmy"/>
        <s v="Mohammad Masri"/>
        <s v="Abdelrahman Matar"/>
        <s v="Faisal Alajmah"/>
      </sharedItems>
    </cacheField>
    <cacheField name="Floor" numFmtId="0">
      <sharedItems containsBlank="1">
        <s v="GF"/>
        <s v="1st"/>
        <s v="2nd"/>
        <s v="1st Floor"/>
        <s v="G"/>
        <s v="Mez"/>
        <s v="2nd Floor"/>
        <s v="3rd"/>
        <s v="Roof"/>
        <m/>
        <s v="FF"/>
        <s v="Annex"/>
      </sharedItems>
    </cacheField>
    <cacheField name="County" numFmtId="0">
      <sharedItems containsBlank="1">
        <s v="North West"/>
        <s v="North"/>
        <s v="Center"/>
        <m/>
        <s v="East"/>
        <s v="North East"/>
        <s v="South West"/>
        <s v="South"/>
        <s v="South East"/>
      </sharedItems>
    </cacheField>
    <cacheField name="Churn Date">
      <sharedItems containsDate="1" containsMixedTypes="1">
        <s v=""/>
        <d v="2026-02-25T00:00:00Z"/>
        <d v="2026-02-12T00:00:00Z"/>
        <d v="2026-03-01T00:00:00Z"/>
        <d v="2026-02-28T00:00:00Z"/>
        <d v="2026-02-15T00:00:00Z"/>
        <d v="2026-04-15T00:00:00Z"/>
        <d v="2026-04-18T00:00:00Z"/>
        <d v="2026-02-20T00:00:00Z"/>
        <d v="2026-03-31T00:00:00Z"/>
        <d v="2026-03-04T00:00:00Z"/>
        <d v="2026-04-30T00:00:00Z"/>
        <d v="2026-03-10T00:00:00Z"/>
        <d v="2026-03-11T00:00:00Z"/>
        <d v="2026-03-29T00:00:00Z"/>
        <d v="2026-04-12T00:00:00Z"/>
        <d v="2026-02-11T00:00:00Z"/>
        <d v="2026-03-21T00:00:00Z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500" sheet="SF Kitchen Data"/>
  </cacheSource>
  <cacheFields>
    <cacheField name="Account Name" numFmtId="0">
      <sharedItems containsBlank="1">
        <s v="SA - RUH - Aqiq"/>
        <s v="SA - RUH - Arid (2)"/>
        <s v="SA - RUH - Narjis"/>
        <s v="SA - RUH - Mursalat"/>
        <s v="SA - RUH - Malga (1)"/>
        <s v="SA - QSM - Al Bishr"/>
        <s v="SA - AHS - Hofuf"/>
        <s v="SA - RUH - Khaleej"/>
        <s v="SA - RUH - Olaya"/>
        <s v="SA - RUH - Wadi"/>
        <s v="SA - RUH - Qurtoba"/>
        <s v="SA - RUH - Dahrat Laban"/>
        <s v="SA - DMM - Zuhur"/>
        <s v="SA - KBR - Aqrabiya"/>
        <s v="SA - RUH - Yasmin"/>
        <s v="SA - DMM - Rawda"/>
        <s v="SA - RUH - Sulimaniyah"/>
        <s v="SA - RUH - Malga (2)"/>
        <s v="SA - RUH - Sweidi"/>
        <s v="SA - RUH - King Fahd"/>
        <s v="SA - RUH - Jarir"/>
        <s v="SA - RUH - Arid (1)"/>
        <s v="SA - RUH - Rawda"/>
        <s v="SA - RUH - Tuwaiq"/>
        <s v="SA - RUH - Salam"/>
        <s v="BH - MAN - Umm al Hassam"/>
        <s v="BH - MAN - Isa Town"/>
        <s v="SA - RUH - King Faisal"/>
        <s v="SA - RUH - Sweidi (2)"/>
        <s v="SA - KBR - Rakah"/>
        <s v="SA - DMM - Ghirnatah (2)"/>
        <s v="SA - RUH - Wurud"/>
        <s v="SA - RUH - Aqiq (2)"/>
        <s v="SA - DMM - Jamiah (2)"/>
        <s v="SA - RUH - Al Nazim"/>
        <m/>
      </sharedItems>
    </cacheField>
    <cacheField name="Type" numFmtId="0">
      <sharedItems containsBlank="1">
        <s v="CPU"/>
        <s v="Hot"/>
        <s v="Cold"/>
        <s v="Hot Kitchen"/>
        <m/>
      </sharedItems>
    </cacheField>
    <cacheField name="Category" numFmtId="0">
      <sharedItems containsBlank="1">
        <s v="X"/>
        <s v="Cold"/>
        <s v="C"/>
        <s v="D"/>
        <s v="E"/>
        <s v="A"/>
        <s v="B"/>
        <s v="G"/>
        <s v="F"/>
        <s v="H"/>
        <m/>
        <s v="Retail Space"/>
        <s v="J"/>
        <s v="I"/>
        <s v="K"/>
      </sharedItems>
    </cacheField>
    <cacheField name="Kitchen Number ID 18" numFmtId="0">
      <sharedItems containsBlank="1">
        <s v="a1LVO000003qvTV2AY"/>
        <s v="a1LVO000004E6w52AC"/>
        <s v="a1L6T00000iJA28UAG"/>
        <s v="a1LVO000004E7H32AK"/>
        <s v="a1LVO000002yMFp2AM"/>
        <s v="a1LVO000002yMHR2A2"/>
        <s v="a1LVO000002yMJ32AM"/>
        <s v="a1LVO000002yMAz2AM"/>
        <s v="a1LVO000002yMCb2AM"/>
        <s v="a1LVO000002yMED2A2"/>
        <s v="a1LVO000002yM9N2AU"/>
        <s v="a1LVO000002yM7l2AE"/>
        <s v="a1LVO000002yMfd2AE"/>
        <s v="a1LVO000002yMhF2AU"/>
        <s v="a1LVO000002yMcP2AU"/>
        <s v="a1LVO000002yMe12AE"/>
        <s v="a1LVO000002yMan2AE"/>
        <s v="a1LVO000002yMVx2AM"/>
        <s v="a1LVO000002yMXZ2A2"/>
        <s v="a1LVO000002yMZB2A2"/>
        <s v="a1LVO000002yMSj2AM"/>
        <s v="a1LVO000002yMUL2A2"/>
        <s v="a1LVO000002yMNt2AM"/>
        <s v="a1LVO000002yMPV2A2"/>
        <s v="a1LVO000002yMR72AM"/>
        <s v="a1LVO000002yMKf2AM"/>
        <s v="a1LVO000002yMMH2A2"/>
        <s v="a1L5G000004NKhtUAG"/>
        <s v="a1L5G000004NKhvUAG"/>
        <s v="a1L5G000004NKhwUAG"/>
        <s v="a1L5G000004NKhlUAG"/>
        <s v="a1L6T00000d2MvuUAE"/>
        <s v="a1L6T00000iJLZdUAO"/>
        <s v="a1L5G000004NSiDUAW"/>
        <s v="a1L5G000004Tzj8UAC"/>
        <s v="a1L5G000004TzoXUAS"/>
        <s v="a1L5G000004TzpbUAC"/>
        <s v="a1L5G000004TzsPUAS"/>
        <s v="a1L5G000004TzmgUAC"/>
        <s v="a1L5G000004TzoIUAS"/>
        <s v="a1L5G000004NecqUAC"/>
        <s v="a1L5G000004NSi3UAG"/>
        <s v="a1L5G000004NYIEUA4"/>
        <s v="a1L5G000004NYIDUA4"/>
        <s v="a1L5G000004NYI4UAO"/>
        <s v="a1L5G000004TzstUAC"/>
        <s v="a1L5G000004TzsoUAC"/>
        <s v="a1L5G000004TzsjUAC"/>
        <s v="a1L5G000004TztDUAS"/>
        <s v="a1L5G000004TzuuUAC"/>
        <s v="a1LVO000004E9Nh2AK"/>
        <s v="a1L6T00000iJdvcUAC"/>
        <s v="a1L6T00000iJdvVUAS"/>
        <s v="a1L5G000004NKhmUAG"/>
        <s v="a1L5G000004NKhoUAG"/>
        <s v="a1L6T00000iJ1ELUA0"/>
        <s v="a1L6T00000iJ1EPUA0"/>
        <s v="a1L6T00000iJ1EJUA0"/>
        <s v="a1L6T00000iJ1E9UAK"/>
        <s v="a1L6T00000iJBZYUA4"/>
        <s v="a1L6T00000kcQBPUA2"/>
        <s v="a1L5G000004OE0RUAW"/>
        <s v="a1L5G000004OE0WUAW"/>
        <s v="a1L5G000004OE0LUAW"/>
        <s v="a1L5G000004NsYWUA0"/>
        <s v="a1L5G000004Tzk1UAC"/>
        <s v="a1L5G000004TzkBUAS"/>
        <s v="a1L5G000004TzpfUAC"/>
        <s v="a1L5G000004TzlTUAS"/>
        <s v="a1L5G000004NSfYUAW"/>
        <s v="a1L5G000004NShrUAG"/>
        <s v="a1L5G000004TzjmUAC"/>
        <s v="a1L5G000004TzijUAC"/>
        <s v="a1L5G000004OE0KUAW"/>
        <s v="a1L5G000004TzpkUAC"/>
        <s v="a1L5G000004TzqjUAC"/>
        <s v="a1L5G000004NSi8UAG"/>
        <s v="a1L5G000004Nx5eUAC"/>
        <s v="a1L5G000004NtRYUA0"/>
        <s v="a1L5G000004TzjcUAC"/>
        <s v="a1L5G000004NYILUA4"/>
        <s v="a1L5G000004NSi6UAG"/>
        <s v="a1L5G000004NSiEUAW"/>
        <s v="a1L5G000004NsYcUAK"/>
        <s v="a1L5G000004NsYTUA0"/>
        <s v="a1L5G000004OE0PUAW"/>
        <s v="a1L5G000004OE0ZUAW"/>
        <s v="a1L5G000004NKhiUAG"/>
        <s v="a1L5G000004NtPNUA0"/>
        <s v="a1L5G000004TzkkUAC"/>
        <s v="a1L5G000004NsYnUAK"/>
        <s v="a1L5G000004NechUAC"/>
        <s v="a1L5G000004TzpGUAS"/>
        <s v="a1L5G000004NKhkUAG"/>
        <s v="a1L5G000004NKhhUAG"/>
        <s v="a1L5G000004NYHzUAO"/>
        <s v="a1L6T00000iJ1EGUA0"/>
        <s v="a1L6T00000jr3nTUAQ"/>
        <s v="a1L6T00000iJ1E7UAK"/>
        <s v="a1L5G000004NKhnUAG"/>
        <s v="a1L5G000004NsYRUA0"/>
        <s v="a1L5G000004Tzm7UAC"/>
        <s v="a1L5G000004NtPXUA0"/>
        <s v="a1L6T00000iIryFUAS"/>
        <s v="a1L6T00000iJA2IUAW"/>
        <s v="a1L6T00000iJLZfUAO"/>
        <s v="a1L5G000004NShzUAG"/>
        <s v="a1L6T00000d2NFLUA2"/>
        <s v="a1L5G000004TzlxUAC"/>
        <s v="a1L5G000004TzlEUAS"/>
        <s v="a1L5G000004NtPxUAK"/>
        <s v="a1L5G000004Tzq4UAC"/>
        <s v="a1L5G000004NsYhUAK"/>
        <s v="a1L5G000004TzmHUAS"/>
        <s v="a1L5G000004Tzm2UAC"/>
        <s v="a1L5G000004NsYHUA0"/>
        <s v="a1L5G000004NKhgUAG"/>
        <s v="a1L5G000004Tzi5UAC"/>
        <s v="a1L5G000004OE0EUAW"/>
        <s v="a1L6T00000iJBZOUA4"/>
        <s v="a1L5G000004OE0SUAW"/>
        <s v="a1L5G000004NtQkUAK"/>
        <s v="a1L6T00000jT5yFUAS"/>
        <s v="a1L6T00000d2MvpUAE"/>
        <s v="a1L5G000004TziUUAS"/>
        <s v="a1L5G000004OE0IUAW"/>
        <s v="a1L6T00000nGqU5UAK"/>
        <s v="a1L6T00000nGqTlUAK"/>
        <s v="a1L6T00000nGqTzUAK"/>
        <s v="a1L6T00000nGqU0UAK"/>
        <s v="a1L6T00000nGqTrUAK"/>
        <s v="a1L6T00000nGqTnUAK"/>
        <s v="a1L6T00000nGqU2UAK"/>
        <s v="a1L6T00000nGqTqUAK"/>
        <s v="a1L6T00000nGqTxUAK"/>
        <s v="a1L6T00000nGqTmUAK"/>
        <s v="a1L6T00000nGqToUAK"/>
        <s v="a1L6T00000nGqTpUAK"/>
        <s v="a1L6T00000nGqTsUAK"/>
        <s v="a1L6T00000nGqTtUAK"/>
        <s v="a1L6T00000nGqTuUAK"/>
        <s v="a1L6T00000nGqTvUAK"/>
        <s v="a1L6T00000nGqTwUAK"/>
        <s v="a1L6T00000nGqTyUAK"/>
        <s v="a1L6T00000nGqU1UAK"/>
        <s v="a1L6T00000nGqU3UAK"/>
        <s v="a1L6T00000nGqU4UAK"/>
        <s v="a1L6T00000mlijWUAQ"/>
        <s v="a1L6T00000iJLZeUAO"/>
        <s v="a1L6T00000iJdvTUAS"/>
        <s v="a1L6T00000jT5yGUAS"/>
        <s v="a1L5G000004NtPhUAK"/>
        <s v="a1L5G000004NsYIUA0"/>
        <s v="a1L5G000004Tzl4UAC"/>
        <s v="a1L5G000004OE0NUAW"/>
        <s v="a1L6T00000iJdvhUAC"/>
        <s v="a1L6T00000iJdvkUAC"/>
        <s v="a1L6T00000iJ1EKUA0"/>
        <s v="a1L5G000004TzmbUAC"/>
        <s v="a1L6T00000iJdvbUAC"/>
        <s v="a1L5G000004OE0GUAW"/>
        <s v="a1L6T00000jqjwmUAA"/>
        <s v="a1L5G000004NSi0UAG"/>
        <s v="a1L6T00000jqjwxUAA"/>
        <s v="a1L6T00000jqjwsUAA"/>
        <s v="a1L6T00000jqjwoUAA"/>
        <s v="a1L5G000004NsYSUA0"/>
        <s v="a1L6T00000jqjwtUAA"/>
        <s v="a1L6T00000jqjx2UAA"/>
        <s v="a1L6T00000jqjwpUAA"/>
        <s v="a1L6T00000jqjwvUAA"/>
        <s v="a1L6T00000jqjwkUAA"/>
        <s v="a1L6T00000jqjwiUAA"/>
        <s v="a1L6T00000jqjwuUAA"/>
        <s v="a1L6T00000jqjwwUAA"/>
        <s v="a1L6T00000jqjwlUAA"/>
        <s v="a1L6T00000jqjwjUAA"/>
        <s v="a1L6T00000jqjx1UAA"/>
        <s v="a1L6T00000jqjwnUAA"/>
        <s v="a1L6T00000jqjwqUAA"/>
        <s v="a1L6T00000jqjwzUAA"/>
        <s v="a1L6T00000jqjx0UAA"/>
        <s v="a1L6T00000jqjwrUAA"/>
        <s v="a1L6T00000jqjwyUAA"/>
        <s v="a1L5G000004TzrRUAS"/>
        <s v="a1L6T00000jr3nhUAA"/>
        <s v="a1L5G000004NYIPUA4"/>
        <s v="a1L6T00000iJLZcUAO"/>
        <s v="a1L5G000004NSiMUAW"/>
        <s v="a1L5G000004NYIFUA4"/>
        <s v="a1L5G000004TzlJUAS"/>
        <s v="a1L6T00000iJBYLUA4"/>
        <s v="a1L6T00000iJdvjUAC"/>
        <s v="a1L5G000004TzqEUAS"/>
        <s v="a1L5G000004NKhjUAG"/>
        <s v="a1L5G000004TzsAUAS"/>
        <s v="a1L6T00000jT5yHUAS"/>
        <s v="a1L5G000004TzsFUAS"/>
        <s v="a1L5G000004TzuzUAC"/>
        <s v="a1L5G000004NKhuUAG"/>
        <s v="a1L6T00000iJdvlUAC"/>
        <s v="a1L5G000004TzppUAC"/>
        <s v="a1L5G000004TzqJUAS"/>
        <s v="a1L6T00000jqyJCUAY"/>
        <s v="a1L6T00000jqyJGUAY"/>
        <s v="a1L6T00000jqyJEUAY"/>
        <s v="a1L6T00000jqyJFUAY"/>
        <s v="a1L6T00000jqyJDUAY"/>
        <s v="a1L6T00000jqyJKUAY"/>
        <s v="a1L6T00000jqyJJUAY"/>
        <s v="a1L6T00000jqyJHUAY"/>
        <s v="a1L6T00000jqyJIUAY"/>
        <s v="a1L6T00000jqyJ7UAI"/>
        <s v="a1L6T00000jqyJ8UAI"/>
        <s v="a1L6T00000jqyJLUAY"/>
        <s v="a1L6T00000jqyJ9UAI"/>
        <s v="a1L6T00000jqyJAUAY"/>
        <s v="a1L6T00000jqyJ5UAI"/>
        <s v="a1L6T00000jqyJ6UAI"/>
        <s v="a1L6T00000jqyJBUAY"/>
        <s v="a1L6T00000jqyJMUAY"/>
        <s v="a1L6T00000iJLZYUA4"/>
        <s v="a1L5G000004NShwUAG"/>
        <s v="a1L5G000004OE0QUAW"/>
        <s v="a1L6T00000iJ1ERUA0"/>
        <s v="a1L5G000004TziVUAS"/>
        <s v="a1L5G000004TzjXUAS"/>
        <s v="a1L5G000004TzjIUAS"/>
        <s v="a1L6T00000iJA2NUAW"/>
        <s v="a1L6T00000iJdveUAC"/>
        <s v="a1L6T00000jqkpKUAQ"/>
        <s v="a1L6T00000jqkpDUAQ"/>
        <s v="a1L5G000004TzsKUAS"/>
        <s v="a1L5G000004NSfdUAG"/>
        <s v="a1L5G000004TzvEUAS"/>
        <s v="a1L6T00000iJA2DUAW"/>
        <s v="a1L5G000004TzpuUAC"/>
        <s v="a1L6T00000iJdvZUAS"/>
        <s v="a1L6T00000jqkp4UAA"/>
        <s v="a1L6T00000jqkp7UAA"/>
        <s v="a1L6T00000jqkp6UAA"/>
        <s v="a1L6T00000jqkp1UAA"/>
        <s v="a1L6T00000jqkpJUAQ"/>
        <s v="a1L6T00000jqkpIUAQ"/>
        <s v="a1L6T00000jqkpLUAQ"/>
        <s v="a1L5G000004TzkaUAC"/>
        <s v="a1L5G000004NtPSUA0"/>
        <s v="a1L6T00000iJdvmUAC"/>
        <s v="a1L5G000004TzkfUAC"/>
        <s v="a1L5G000004NSi9UAG"/>
        <s v="a1L5G000004TzrqUAC"/>
        <s v="a1L5G000004OE0XUAW"/>
        <s v="a1L6T00000iJA2GUAW"/>
        <s v="a1L5G000004OE0JUAW"/>
        <s v="a1L6T00000iJdvfUAC"/>
        <s v="a1L5G000004NShoUAG"/>
        <s v="a1L5G000004NtREUA0"/>
        <s v="a1LVO000004E7Ab2AK"/>
        <s v="a1L5G000004NShxUAG"/>
        <s v="a1L6T00000mlk8DUAQ"/>
        <s v="a1L5G000004OE0MUAW"/>
        <s v="a1L6T00000iJA2EUAW"/>
        <s v="a1L6T00000d2QHyUAM"/>
        <s v="a1L6T00000d2QHxUAM"/>
        <s v="a1L6T00000iJA2JUAW"/>
        <s v="a1L6T00000iJA2TUAW"/>
        <s v="a1L6T00000iJA2QUAW"/>
        <s v="a1L6T00000iJA2SUAW"/>
        <s v="a1L6T00000iJA2RUAW"/>
        <s v="a1L6T00000iJA2PUAW"/>
        <s v="a1L6T00000iJBZ4UAO"/>
        <s v="a1L6T00000iJBZ9UAO"/>
        <s v="a1L6T00000iJBYZUA4"/>
        <s v="a1L6T00000iJBZNUA4"/>
        <s v="a1L5G000004TzrgUAC"/>
        <s v="a1L5G000004TzowUAC"/>
        <s v="a1L5G000004TzneUAC"/>
        <s v="a1L5G000004NSiHUAW"/>
        <s v="a1L6T00000jqkpHUAQ"/>
        <s v="a1L6T00000iJBZ3UAO"/>
        <s v="a1L6T00000iJdvgUAC"/>
        <s v="a1L6T00000iJBYVUA4"/>
        <s v="a1L6T00000mlk8FUAQ"/>
        <s v="a1L6T00000iJBZ8UAO"/>
        <s v="a1L5G000004TzjwUAC"/>
        <s v="a1L6T00000iJBYzUAO"/>
        <s v="a1L6T00000iJBYyUAO"/>
        <s v="a1L5G000004OE0DUAW"/>
        <s v="a1L6T00000iJA2OUAW"/>
        <s v="a1L5G000004TzkbUAC"/>
        <s v="a1L6T00000jqkp3UAA"/>
        <s v="a1L5G000004OE0FUAW"/>
        <s v="a1LVO000004AxED2A0"/>
        <s v="a1LVO000004H3aH2AS"/>
        <s v="a1L6T00000iJBYuUAO"/>
        <s v="a1L6T00000iJA2FUAW"/>
        <s v="a1L5G000004Tzo8UAC"/>
        <s v="a1L5G000004NsYiUAK"/>
        <s v="a1L6T00000iJA2KUAW"/>
        <s v="a1L5G000004NeciUAC"/>
        <s v="a1L6T00000iJdvUUAS"/>
        <s v="a1L6T00000nGqVLUA0"/>
        <s v="a1L6T00000nGqVOUA0"/>
        <s v="a1L6T00000nGqVJUA0"/>
        <s v="a1L6T00000nGqVQUA0"/>
        <s v="a1L6T00000nGqVRUA0"/>
        <s v="a1L6T00000nGqVKUA0"/>
        <s v="a1L6T00000nGqVPUA0"/>
        <s v="a1L6T00000nGqVSUA0"/>
        <s v="a1L6T00000nGqVTUA0"/>
        <s v="a1LVO000004WfKH2A0"/>
        <s v="a1L6T00000mllwzUAA"/>
        <s v="a1L6T00000jr77EUAQ"/>
        <s v="a1L5G000004NYIMUA4"/>
        <s v="a1LVO000001aKVt2AM"/>
        <s v="a1L5G000004NSiFUAW"/>
        <s v="a1L6T00000mllx4UAA"/>
        <s v="a1L5G000004NYIKUA4"/>
        <s v="a1L6T00000iJA2HUAW"/>
        <s v="a1L6T00000jr77DUAQ"/>
        <s v="a1L6T00000iJBYaUAO"/>
        <s v="a1L5G000004NrUZUA0"/>
        <s v="a1L6T00000mlk8OUAQ"/>
        <s v="a1L6T00000mlk8LUAQ"/>
        <s v="a1L5G000004Tzi0UAC"/>
        <s v="a1L6T00000mllx9UAA"/>
        <s v="a1L5G000004TzrWUAS"/>
        <s v="a1L5G000004NtPcUAK"/>
        <s v="a1L5G000004NWeKUAW"/>
        <s v="a1L5G000004NsYlUAK"/>
        <s v="a1L5G000004TzqFUAS"/>
        <s v="a1L6T00000d2MvLUAU"/>
        <s v="a1L5G000004Tzl9UAC"/>
        <s v="a1L5G000004Ned8UAC"/>
        <s v="a1L5G000004NecjUAC"/>
        <s v="a1L5G000004NeczUAC"/>
        <s v="a1L5G000004NectUAC"/>
        <s v="a1L5G000004NecgUAC"/>
        <s v="a1L5G000004NecmUAC"/>
        <s v="a1L5G000004NeceUAC"/>
        <s v="a1L5G000004Ned6UAC"/>
        <s v="a1L5G000004NecfUAC"/>
        <s v="a1LVO000004MBVZ2A4"/>
        <s v="a1L5G000004TznyUAC"/>
        <s v="a1L5G000004NShyUAG"/>
        <s v="a1L5G000004NtPmUAK"/>
        <s v="a1L5G000004TziAUAS"/>
        <s v="a1L5G000004TztXUAS"/>
        <s v="a1L6T00000iJA2BUAW"/>
        <s v="a1LVO000004X0IH2A0"/>
        <s v="a1L6T00000iJBYUUA4"/>
        <s v="a1L6T00000iJBZSUA4"/>
        <s v="a1L5G000004TztwUAC"/>
        <s v="a1L5G000004TzthUAC"/>
        <s v="a1L5G000004TztrUAC"/>
        <s v="a1L5G000004Tzu1UAC"/>
        <s v="a1L5G000004TzibUAC"/>
        <s v="a1L5G000004Tzs1UAC"/>
        <s v="a1L5G000004Tzu6UAC"/>
        <s v="a1L5G000004TzuBUAS"/>
        <s v="a1L5G000004TzuGUAS"/>
        <s v="a1L5G000004TzuQUAS"/>
        <s v="a1L5G000004TzuVUAS"/>
        <s v="a1L5G000004NtQ1UAK"/>
        <s v="a1L5G000004TzufUAC"/>
        <s v="a1L5G000004Tzq0UAC"/>
        <s v="a1L6T00000iJdvWUAS"/>
        <s v="a1L5G000004TztmUAC"/>
        <s v="a1L5G000004TzuaUAC"/>
        <s v="a1L5G000004TznuUAC"/>
        <s v="a1LVO000004X0II2A0"/>
        <s v="a1L5G000004TzvJUAS"/>
        <s v="a1L5G000004TzukUAC"/>
        <s v="a1L5G000004Tzt8UAC"/>
        <s v="a1LVO000004Wf7N2AS"/>
        <s v="a1L5G000004TztcUAC"/>
        <s v="a1L5G000004TzuLUAS"/>
        <s v="a1L6T00000jr3nRUAQ"/>
        <s v="a1L5G000004TziaUAC"/>
        <s v="a1L6T00000iJ1E8UAK"/>
        <s v="a1L5G000004TzpBUAS"/>
        <s v="a1L5G000004NGZNUA4"/>
        <s v="a1L6T00000mllxEUAQ"/>
        <s v="a1L5G000004TzmMUAS"/>
        <s v="a1L6T00000mlk8KUAQ"/>
        <s v="a1L5G000004TzrlUAC"/>
        <s v="a1L6T00000iJdviUAC"/>
        <s v="a1L5G000004Tzv4UAC"/>
        <s v="a1L6T00000iJA2VUAW"/>
        <s v="a1L5G000004OE0UUAW"/>
        <s v="a1L5G000004NtQLUA0"/>
        <s v="a1L5G000004TzjEUAS"/>
        <s v="a1L5G000004NSfiUAG"/>
        <s v="a1L5G000004NYIOUA4"/>
        <s v="a1L6T00000iJLZgUAO"/>
        <s v="a1L5G000004NLfoUAG"/>
        <s v="a1L5G000004TzliUAC"/>
        <s v="a1L6T00000iJLZiUAO"/>
        <s v="a1L6T00000jr3nMUAQ"/>
        <s v="a1LVO000004WfH42AK"/>
        <s v="a1LVO000002JcLN2A0"/>
        <s v="a1L5G000004NShsUAG"/>
        <s v="a1L5G000004TznFUAS"/>
        <s v="a1L5G000004TznZUAS"/>
        <s v="a1L6T00000jqkp5UAA"/>
        <s v="a1L6T00000iJ1E5UAK"/>
        <s v="a1L5G000004NYI3UAO"/>
        <s v="a1LVO000004E7492AC"/>
        <s v="a1L5G000004NYI8UAO"/>
        <s v="a1L6T00000iJBYKUA4"/>
        <s v="a1L5G000004NsYXUA0"/>
        <s v="a1LVO000004E7Lt2AK"/>
        <s v="a1LVO000004E70v2AC"/>
        <s v="a1L5G000004NSiGUAW"/>
        <s v="a1L5G000004TzohUAC"/>
        <s v="a1L5G000004NYIIUA4"/>
        <s v="a1L6T00000iJBYGUA4"/>
        <s v="a1L6T00000jr77CUAQ"/>
        <s v="a1L5G000004NSiCUAW"/>
        <s v="a1L5G000004TzjNUAS"/>
        <s v="a1L5G000004NtR4UAK"/>
        <s v="a1LVO000004Wf902AC"/>
        <s v="a1L6T00000jr3nnUAA"/>
        <s v="a1LVO000004E7KH2A0"/>
        <s v="a1L5G000004NYI1UAO"/>
        <s v="a1L5G000004NSiIUAW"/>
        <s v="a1L5G000004TzrvUAC"/>
        <s v="a1L5G000004TzldUAC"/>
        <s v="a1L6T00000iJBYtUAO"/>
        <s v="a1L6T00000iJdvaUAC"/>
        <s v="a1L5G000004TziKUAS"/>
        <s v="a1L5G000004TzlYUAS"/>
        <s v="a1LVO000004WfKI2A0"/>
        <s v="a1L5G000004Tzs5UAC"/>
        <s v="a1L6T00000jqkpAUAQ"/>
        <s v="a1LVO000004WfNW2A0"/>
        <s v="a1L5G000004Ned7UAC"/>
        <s v="a1L5G000004TzmRUAS"/>
        <s v="a1L6T00000iJ1EQUA0"/>
        <s v="a1L6T00000iJdvXUAS"/>
        <s v="a1L5G000004NShqUAG"/>
        <s v="a1L6T00000iJ1E6UAK"/>
        <s v="a1L6T00000iJ1EHUA0"/>
        <s v="a1L5G000004TznoUAC"/>
        <s v="a1LVO000004WfFS2A0"/>
        <s v="a1L5G000004NSiNUAW"/>
        <s v="a1L5G000004TzlOUAS"/>
        <s v="a1L5G000004NKhpUAG"/>
        <s v="a1LVO000002JcTR2A0"/>
        <s v="a1LVO000002JcMz2AK"/>
        <s v="a1LVO000002JcQD2A0"/>
        <s v="a1LVO000002JcYH2A0"/>
        <s v="a1LVO0000049DLV2A2"/>
        <s v="a1LVO0000049DLW2A2"/>
        <s v="a1L5G000004TzkVUAS"/>
        <s v="a1L6T00000iJLZoUAO"/>
        <s v="a1L5G000004OE0TUAW"/>
        <s v="a1L5G000004NtQQUA0"/>
        <s v="a1LVO000004RAqd2AG"/>
        <s v="a1L6T00000iJA2LUAW"/>
        <s v="a1L5G000004NShpUAG"/>
        <s v="a1LVO000004WfP72AK"/>
        <s v="a1L5G000004NYI7UAO"/>
        <s v="a1L5G000004NecrUAC"/>
        <s v="a1LVO000004Wf8z2AC"/>
        <s v="a1L6T00000iJ1EEUA0"/>
        <s v="a1L6T00000mlk8MUAQ"/>
        <s v="a1L6T00000iJA27UAG"/>
        <s v="a1L5G000004NtQ6UAK"/>
        <s v="a1LVO000004WfCE2A0"/>
        <s v="a1L5G000004TzmvUAC"/>
        <s v="a1L6T00000mlk8IUAQ"/>
        <s v="a1LVO000004Wf7O2AS"/>
        <s v="a1L6T00000jr3nVUAQ"/>
        <s v="a1L6T00000jr3nXUAQ"/>
        <s v="a1L6T00000mlk8XUAQ"/>
        <s v="a1L6T00000jr3naUAA"/>
        <s v="a1L5G000004TzkGUAS"/>
        <s v="a1LVO0000056Lq52AE"/>
        <s v="a1L5G000004TziZUAS"/>
        <s v="a1L6T00000iJdvdUAC"/>
        <s v="a1L5G000004TzntUAC"/>
        <s v="a1L5G000004NSi4UAG"/>
        <s v="a1L5G000004TzmqUAC"/>
        <s v="a1LVO000004E7NV2A0"/>
        <s v="a1L6T00000mlk8GUAQ"/>
        <s v="a1L5G000004TzjiUAC"/>
        <s v="a1L6T00000iJLZbUAO"/>
        <s v="a1LVO000004E77N2AS"/>
        <s v="a1L6T00000jqkpBUAQ"/>
        <s v="a1L5G000004TzoSUAS"/>
        <s v="a1L5G000004NYINUA4"/>
        <s v="a1L6T00000iJBZDUA4"/>
        <s v="a1L6T00000iJBZTUA4"/>
        <s v="a1L6T00000iJBZXUA4"/>
        <s v="a1L5G000004TzkzUAC"/>
        <s v="a1L5G000004NsYmUAK"/>
        <s v="a1L6T00000jr3ngUAA"/>
        <s v="a1L5G000004TztIUAS"/>
        <s v="a1LVO000002JcRp2AK"/>
        <s v="a1LVO000002JcV32AK"/>
        <s v="a1LVO0000049DLX2A2"/>
        <s v="a1LVO000002JcWf2AK"/>
        <s v="a1LVO0000049DLY2A2"/>
        <s v="a1LVO000002JcOb2AK"/>
        <s v="a1L5G000004NtPrUAK"/>
        <s v="a1L5G000004OE0HUAW"/>
        <s v="a1L5G000004OE0aUAG"/>
        <s v="a1L5G000004NsYdUAK"/>
        <s v="a1L5G000004OE0YUAW"/>
        <s v="a1L5G000004Tzp1UAC"/>
        <s v="a1L5G000004Tzp6UAC"/>
        <s v="a1L5G000004OE0OUAW"/>
        <s v="a1L5G000004NSi5UAG"/>
        <s v="a1L6T00000iJBYQUA4"/>
        <s v="a1L5G000004Tzo3UAC"/>
        <s v="a1L5G000004NSi1UAG"/>
        <s v="a1L6T00000iJ1ENUA0"/>
        <s v="a1LVO0000056Lq72AE"/>
        <s v="a1LVO0000056LqG2AU"/>
        <s v="a1LVO0000056Lq92AE"/>
        <s v="a1LVO0000056LqB2AU"/>
        <s v="a1LVO0000056Lq62AE"/>
        <s v="a1LVO0000056Lq82AE"/>
        <s v="a1LVO0000056LqC2AU"/>
        <s v="a1LVO0000056LqI2AU"/>
        <s v="a1LVO0000056LqA2AU"/>
        <s v="a1LVO0000056LqD2AU"/>
        <s v="a1LVO0000056LqE2AU"/>
        <s v="a1LVO0000056LqF2AU"/>
        <s v="a1LVO0000056LqH2AU"/>
        <s v="a1L5G000004NLftUAG"/>
        <s v="a1L6T00000iJLZlUAO"/>
        <s v="a1L5G000004TzmWUAS"/>
        <s v="a1L6T00000jr3nkUAA"/>
        <s v="a1L6T00000iJBYFUA4"/>
        <s v="a1L6T00000mlk8UUAQ"/>
        <s v="a1L6T00000mlk8WUAQ"/>
        <s v="a1L6T00000mlk8VUAQ"/>
        <s v="a1L6T00000mlk8TUAQ"/>
        <s v="a1L6T00000mlk8EUAQ"/>
        <s v="a1L5G000004TznUUAS"/>
        <s v="a1L6T00000jqkpFUAQ"/>
        <s v="a1L5G000004TznGUAS"/>
        <s v="a1L6T00000d2NFGUA2"/>
        <s v="a1L6T00000iJLZaUAO"/>
        <s v="a1LVO000004E9XN2A0"/>
        <s v="a1L5G000004NsYrUAK"/>
        <s v="a1L5G000004NSiJUAW"/>
        <s v="a1L6T00000mlk8RUAQ"/>
        <s v="a1L6T00000mlk8PUAQ"/>
        <s v="a1L5G000004TzqnUAC"/>
        <s v="a1L6T00000mlk8SUAQ"/>
        <s v="a1L6T00000mlk8QUAQ"/>
        <s v="a1L6T00000mlk8HUAQ"/>
        <s v="a1L5G000004TzmlUAC"/>
        <s v="a1LVO0000052kK62AI"/>
        <s v="a1LVO0000052kKA2AY"/>
        <s v="a1L5G000004TzjDUAS"/>
        <s v="a1L5G000004NtQaUAK"/>
        <s v="a1L6T00000iJ1ESUA0"/>
        <s v="a1L6T00000iJLZhUAO"/>
        <s v="a1L6T00000jqkpEUAQ"/>
        <s v="a1L6T00000iJ1ETUA0"/>
        <s v="a1L5G000004TzpaUAC"/>
        <s v="a1LVO000005MsV72AK"/>
        <s v="a1L6T00000jr3nQUAQ"/>
        <s v="a1L5G000004TzocUAC"/>
        <s v="a1L6T00000jqkp9UAA"/>
        <s v="a1L6T00000jr3nOUAQ"/>
        <s v="a1L6T00000nGqVNUA0"/>
        <s v="a1L6T00000iJ1ECUA0"/>
        <s v="a1L5G000004TzrbUAC"/>
        <s v="a1L5G000004TzoDUAS"/>
        <s v="a1LVO000004WfDq2AK"/>
        <s v="a1LVO000004WfDp2AK"/>
        <s v="a1LVO000004WfFR2A0"/>
        <s v="a1L5G000004NsYJUA0"/>
        <s v="a1L5G000004TzkQUAS"/>
        <s v="a1L5G000004TzpLUAS"/>
        <s v="a1L5G000004NtQGUA0"/>
        <s v="a1L5G000004TzkLUAS"/>
        <s v="a1L5G000004NSi2UAG"/>
        <s v="a1L5G000004NSfTUAW"/>
        <s v="a1L6T00000jqkp2UAA"/>
        <s v="a1LVO000004WfCD2A0"/>
        <s v="a1L5G000004TzjrUAC"/>
        <s v="a1L5G000004TzkpUAC"/>
        <s v="a1L5G000004NtROUA0"/>
        <s v="a1L5G000004NtQzUAK"/>
        <s v="a1L6T00000d2MvaUAE"/>
        <s v="a1LVO000004E6sr2AC"/>
        <s v="a1LVO000004RAqb2AG"/>
        <s v="a1L5G000004TznjUAC"/>
        <s v="a1L5G000004NYI9UAO"/>
        <s v="a1LVO000004RAsE2AW"/>
        <s v="a1L5G000004TzorUAC"/>
        <s v="a1L6T00000jr3nWUAQ"/>
        <s v="a1LVO000004WfIg2AK"/>
        <s v="a1LVO000004WfNV2A0"/>
        <s v="a1LVO000004WfIf2AK"/>
        <s v="a1LVO000004WfLu2AK"/>
        <s v="a1LVO000004WfLt2AK"/>
        <s v="a1L5G000004NGZOUA4"/>
        <s v="a1L6T00000iJ1EDUA0"/>
        <s v="a1L5G000004NSiAUAW"/>
        <s v="a1L5G000004NsYMUA0"/>
        <s v="a1L6T00000iJ1EAUA0"/>
        <s v="a1L6T00000kcQBKUA2"/>
        <s v="a1L6T00000iJ1EMUA0"/>
        <s v="a1L6T00000iJ1EBUA0"/>
        <s v="a1L6T00000jr3nYUAQ"/>
        <s v="a1L6T00000jr3nZUAQ"/>
        <s v="a1L6T00000jr3njUAA"/>
        <s v="a1L6T00000jr3ndUAA"/>
        <s v="a1L6T00000iJ1EIUA0"/>
        <s v="a1L5G000004NeclUAC"/>
        <s v="a1L5G000004TzsUUAS"/>
        <s v="a1L5G000004TzlnUAC"/>
        <s v="a1LVO000004E7If2AK"/>
        <s v="a1LVO000004WfAb2AK"/>
        <s v="a1LVO000000Z6XB2A0"/>
        <s v="a1L5G000004OE0CUAW"/>
        <s v="a1L6T00000jr3nLUAQ"/>
        <s v="a1LVO000004E6rF2AS"/>
        <s v="a1LVO000004Kx6T2AS"/>
        <s v="a1LVO0000052kK12AI"/>
        <s v="a1L5G000004NtRdUAK"/>
        <s v="a1L5G000004Tzn5UAC"/>
        <s v="a1L5G000004TztSUAS"/>
        <s v="a1LVO000004RAqc2AG"/>
        <s v="a1LVO000004RAtq2AG"/>
        <s v="a1LVO000004RAtr2AG"/>
        <s v="a1L6T00000jqkpMUAQ"/>
        <s v="a1LVO0000052kKG2AY"/>
        <s v="a1LVO000004OIO52AO"/>
        <s v="a1L5G000004TzoNUAS"/>
        <s v="a1L5G000004OE0BUAW"/>
        <s v="a1LVO000004RAsH2AW"/>
        <s v="a1L5G000004NSiLUAW"/>
        <s v="a1L6T00000jr3nNUAQ"/>
        <s v="a1LVO000004RAtt2AG"/>
        <s v="a1LVO000004RAts2AG"/>
        <s v="a1LVO000004Kx4r2AC"/>
        <s v="a1LVO000004RAvR2AW"/>
        <s v="a1LVO000004RAvS2AW"/>
        <s v="a1L6T00000jr3nSUAQ"/>
        <s v="a1L6T00000iJA2CUAW"/>
        <s v="a1L5G000004NtRTUA0"/>
        <s v="a1L5G000004NtR9UAK"/>
        <s v="a1L5G000004TziPUAS"/>
        <s v="a1L5G000004TziFUAS"/>
        <s v="a1L5G000004TzioUAC"/>
        <s v="a1L5G000004TzipUAC"/>
        <s v="a1L5G000004TzieUAC"/>
        <s v="a1LVO000004OIG12AO"/>
        <s v="a1L5G000004TzhvUAC"/>
        <s v="a1L5G000004Tzj3UAC"/>
        <s v="a1L5G000004TzkHUAS"/>
        <s v="a1L5G000004TzjhUAC"/>
        <s v="a1L5G000004TzkIUAS"/>
        <s v="a1L5G000004TziyUAC"/>
        <s v="a1L5G000004TzjSUAS"/>
        <s v="a1L5G000004Tzk6UAC"/>
        <s v="a1L5G000004TzitUAC"/>
        <s v="a1L5G000004TzpVUAS"/>
        <s v="a1L5G000004TzpQUAS"/>
        <s v="a1L5G000004TzomUAC"/>
        <s v="a1L5G000004Tzr7UAC"/>
        <s v="a1L5G000004Tzr2UAC"/>
        <s v="a1L5G000004TzqTUAS"/>
        <s v="a1L5G000004TzqOUAS"/>
        <s v="a1L5G000004Tzq9UAC"/>
        <s v="a1L5G000004TzqxUAC"/>
        <s v="a1L5G000004Tzs0UAC"/>
        <s v="a1L5G000004TzqiUAC"/>
        <s v="a1L5G000004TzrMUAS"/>
        <s v="a1L5G000004TzrHUAS"/>
        <s v="a1L5G000004TzqdUAC"/>
        <s v="a1L5G000004TzqYUAS"/>
        <s v="a1L5G000004TzsZUAS"/>
        <s v="a1L5G000004Tzt3UAC"/>
        <s v="a1L5G000004TzlsUAC"/>
        <s v="a1L5G000004Tzn0UAC"/>
        <s v="a1L5G000004TzmCUAS"/>
        <s v="a1L5G000004TzkuUAC"/>
        <s v="a1L5G000004TznPUAS"/>
        <s v="a1L5G000004TznKUAS"/>
        <s v="a1L5G000004TznAUAS"/>
        <s v="a1L6T00000iJLZjUAO"/>
        <s v="a1L6T00000iJLZkUAO"/>
        <s v="a1L6T00000iJLZmUAO"/>
        <s v="a1L6T00000iJLZnUAO"/>
        <s v="a1L6T00000iJLZpUAO"/>
        <s v="a1L6T00000iJLZZUA4"/>
        <s v="a1LVO000004OIeD2AW"/>
        <s v="a1LVO000004OIcb2AG"/>
        <s v="a1LVO000004OIfp2AG"/>
        <s v="a1LVO000004OIaz2AG"/>
        <s v="a1LVO000004OIZN2A4"/>
        <s v="a1L6T00000mlijXUAQ"/>
        <s v="a1LVO000004OISv2AO"/>
        <s v="a1LVO000004OIW92AO"/>
        <s v="a1LVO000004OIUX2A4"/>
        <s v="a1LVO000004OIRJ2A4"/>
        <s v="a1L6T00000mlk8JUAQ"/>
        <s v="a1L6T00000mlk8NUAQ"/>
        <s v="a1LVO000004OIJF2A4"/>
        <s v="a1LVO000004OIHd2AO"/>
        <s v="a1L5G000004Ned4UAC"/>
        <s v="a1L5G000004Ned5UAC"/>
        <s v="a1L5G000004Ned2UAC"/>
        <s v="a1LVO000004RAtp2AG"/>
        <s v="a1L5G000004NeckUAC"/>
        <s v="a1L5G000004NecnUAC"/>
        <s v="a1L5G000004NecdUAC"/>
        <s v="a1LVO000004RAsG2AW"/>
        <s v="a1LVO000004RAsF2AW"/>
        <s v="a1LVO000004RAsD2AW"/>
        <s v="a1LVO000004RAqe2AG"/>
        <s v="a1LVO000004RAqf2AG"/>
        <s v="a1L5G000004NSiKUAW"/>
        <s v="a1LVO000005Telq2AC"/>
        <s v="a1LVO000005Telr2AC"/>
        <s v="a1L5G000004NSiBUAW"/>
        <s v="a1LVO000005Telg2AC"/>
        <s v="a1LVO000005Telh2AC"/>
        <s v="a1L6T00000jqyJNUAY"/>
        <s v="a1LVO000005Tele2AC"/>
        <s v="a1LVO000005Telf2AC"/>
        <s v="a1LVO000005Telc2AC"/>
        <s v="a1LVO000005Teld2AC"/>
        <s v="a1LVO000005Tela2AC"/>
        <s v="a1LVO000005Telb2AC"/>
        <s v="a1LVO000005Telo2AC"/>
        <s v="a1LVO000005Telp2AC"/>
        <s v="a1LVO000005Telm2AC"/>
        <s v="a1LVO000005Teln2AC"/>
        <s v="a1LVO000005Telk2AC"/>
        <s v="a1LVO000005Tell2AC"/>
        <s v="a1LVO000005Teli2AC"/>
        <s v="a1LVO000005Telj2AC"/>
        <s v="a1LVO000005TelZ2AS"/>
        <s v="a1L5G000004NShvUAG"/>
        <s v="a1LVO000002B8yn2AC"/>
        <s v="a1LVO000002B8tx2AC"/>
        <s v="a1LVO000002B8vZ2AS"/>
        <s v="a1LVO000002B8xB2AS"/>
        <s v="a1LVO000002B8qj2AC"/>
        <s v="a1LVO000002B8sL2AS"/>
        <s v="a1LVO000002B8lt2AC"/>
        <s v="a1LVO000002B8nV2AS"/>
        <s v="a1LVO000002B8p72AC"/>
        <s v="a1LVO000002B8if2AC"/>
        <s v="a1LVO000002B8kH2AS"/>
        <s v="a1LVO000002B8h32AC"/>
        <s v="a1L6T00000iJA2MUAW"/>
        <s v="a1L6T00000iJA2UUAW"/>
        <s v="a1L6T00000iJA29UAG"/>
        <s v="a1L6T00000iJA2AUAW"/>
        <s v="a1L5G000004NYIGUA4"/>
        <s v="a1L5G000004NYIHUA4"/>
        <s v="a1L5G000004NYIJUA4"/>
        <s v="a1L5G000004NYIAUA4"/>
        <s v="a1L5G000004NYICUA4"/>
        <s v="a1L5G000004NYIBUA4"/>
        <s v="a1L5G000004NYI5UAO"/>
        <s v="a1L5G000004NYI6UAO"/>
        <s v="a1L5G000004NYI0UAO"/>
        <s v="a1L5G000004NYI2UAO"/>
        <s v="a1L6T00000jqkpCUAQ"/>
        <s v="a1L6T00000jqkpOUAQ"/>
        <s v="a1L6T00000jqkpNUAQ"/>
        <s v="a1L5G000004TzsyUAC"/>
        <s v="a1L5G000004TztNUAS"/>
        <s v="a1L5G000004TzseUAC"/>
        <s v="a1L5G000004Tzv9UAC"/>
        <s v="a1LVO000004E9PJ2A0"/>
        <s v="a1L6T00000iJdvYUAS"/>
        <s v="a1LVO000004KxCv2AK"/>
        <s v="a1LVO000004KxEX2A0"/>
        <s v="a1LVO000004Kx852AC"/>
        <s v="a1LVO000004Kx9h2AC"/>
        <s v="a1LVO000002B79v2AC"/>
        <s v="a1LVO000002B79u2AC"/>
        <s v="a1LVO000002B5zK2AS"/>
        <s v="a1LVO000002B89C2AS"/>
        <s v="a1LVO000002B7Mo2AK"/>
        <s v="a1L5G000004NKhrUAG"/>
        <s v="a1L5G000004NKhqUAG"/>
        <s v="a1L5G000004NKhsUAG"/>
        <s v="a1L6T00000iJ1EFUA0"/>
        <s v="a1LVO000002B8PK2A0"/>
        <s v="a1LVO000002B9212AC"/>
        <s v="a1LVO000002B93d2AC"/>
        <s v="a1LVO000002B95F2AS"/>
        <s v="a1LVO000002B90P2AS"/>
        <s v="a1LVO0000052kK82AI"/>
        <s v="a1LVO0000052kK92AI"/>
        <s v="a1LVO0000052kKF2AY"/>
        <s v="a1LVO0000052kKD2AY"/>
        <s v="a1LVO0000052kKE2AY"/>
        <s v="a1LVO0000052kKB2AY"/>
        <s v="a1LVO0000052kKC2AY"/>
        <s v="a1LVO0000052kKJ2AY"/>
        <s v="a1LVO0000052kKK2AY"/>
        <s v="a1LVO0000052kKH2AY"/>
        <s v="a1LVO0000052kKI2AY"/>
        <s v="a1LVO0000052kK72AI"/>
        <s v="a1LVO0000052kK42AI"/>
        <s v="a1LVO0000052kK52AI"/>
        <s v="a1LVO0000052kK22AI"/>
        <s v="a1LVO0000052kK32AI"/>
        <s v="a1LVO000004WfH32AK"/>
        <s v="a1LVO000004WfAc2AK"/>
        <s v="a1LVO0000053gHa2AI"/>
        <s v="a1LVO0000053gHZ2AY"/>
        <s v="a1L5G000004NtPIUA0"/>
        <s v="a1L5G000004NtQVUA0"/>
        <s v="a1L5G000004NtPwUAK"/>
        <s v="a1L5G000004OE0VUAW"/>
        <s v="a1L5G000004NtQuUAK"/>
        <s v="a1L5G000004NtQpUAK"/>
        <s v="a1L5G000004NtQfUAK"/>
        <s v="a1L5G000004NsYNUA0"/>
        <s v="a1L5G000004NsYsUAK"/>
        <s v="a1L5G000004NsYgUAK"/>
        <s v="a1L6T00000d2MvfUAE"/>
        <s v="a1L6T00000d2MvGUAU"/>
        <s v="a1L6T00000d2MvBUAU"/>
        <s v="a1L6T00000jr3nPUAQ"/>
        <s v="a1L6T00000jr3nUUAQ"/>
        <s v="a1LVO000004E75l2AC"/>
        <s v="a1LVO000004E9Vl2AK"/>
        <s v="a1LVO000004E9Qv2AK"/>
        <s v="a1LVO000004E9U92AK"/>
        <s v="a1LVO000004E9SX2A0"/>
        <s v="a1L6T00000mlpzEUAQ"/>
        <s v="a1L6T00000d2MvzUAE"/>
        <s v="a1L6T00000d2MvkUAE"/>
        <s v="a1L6T00000d2MvVUAU"/>
        <s v="a1L6T00000d2Mw4UAE"/>
        <s v="a1L6T00000d2MvQUAU"/>
        <s v="a1L6T00000d2Mv6UAE"/>
        <m/>
      </sharedItems>
    </cacheField>
    <cacheField name="Kitchen Number Name" numFmtId="0">
      <sharedItems containsBlank="1">
        <s v="K22 (CPU) - SA - RUH - Aqiq"/>
        <s v="K04 (Cold) - SA - RUH - Arid (2)"/>
        <s v="K01 (Cold) - SA - RUH - Narjis"/>
        <s v="K17 (Hot) - SA - RUH - Arid (2)"/>
        <s v="K06 (Hot) - SA - MUR"/>
        <s v="K07 (Hot) - SA - MUR"/>
        <s v="K08 (Hot) - SA - MUR"/>
        <s v="K03 (Hot) - SA - MUR"/>
        <s v="K04 (Hot) - SA - MUR"/>
        <s v="K05 (Hot) - SA - MUR"/>
        <s v="K02 (Hot) - SA - MUR"/>
        <s v="K01 (Hot) - SA - MUR"/>
        <s v="K23 (Hot) - SA - MUR"/>
        <s v="K22 (Hot) - SA - MUR"/>
        <s v="K21 (Hot) - SA - MUR"/>
        <s v="K20 (Hot) - SA - MUR"/>
        <s v="K18 (Hot) - SA - MUR"/>
        <s v="K16 (Hot) - SA - MUR"/>
        <s v="K17 (Hot) - SA - MUR"/>
        <s v="K19 (Hot) - SA - MUR"/>
        <s v="K14 (Hot) - SA - MUR"/>
        <s v="K15 (Hot) - SA - MUR"/>
        <s v="K11 (Hot) - SA - MUR"/>
        <s v="K12 (Hot) - SA - MUR"/>
        <s v="K13 (Hot) - SA - MUR"/>
        <s v="K09 (Hot) - SA - MUR"/>
        <s v="K10 (Hot) - SA - MUR"/>
        <s v="K16 (Hot) - SA - RUH - Malga 1"/>
        <s v="K18 (Hot) - SA - RUH - Malga 1"/>
        <s v="K19 (Hot) - SA - RUH - Malga 1"/>
        <s v="K08 (Hot) - SA - RUH - Malga 1"/>
        <s v="K13 (Hot) - SA - RUH - QSM"/>
        <s v="K06 (Hot)- KSA - AHS- Hofuf"/>
        <s v="K26 (Hot) - SA - RUH - Khaleej"/>
        <s v="K16 (Hot) - SA - RUH - Olaya"/>
        <s v="K07 (Hot) - SA - RUH - Wadi"/>
        <s v="K45 (Hot) - SA - RUH - Wadi"/>
        <s v="K10 (Hot) SA - RUH - Qurtoba"/>
        <s v="K16 (Hot) - SA - RUH - Dahrat Laban"/>
        <s v="K04 (Hot) - SA - RUH - Wadi"/>
        <s v="K22 (Hot) - SA - DMM - Zuhur"/>
        <s v="K16 (Hot) - SA - RUH - Khaleej"/>
        <s v="K16 (Hot) - SA - KBR - Aqrabiya"/>
        <s v="K15 (Hot) - SA - KBR - Aqrabiya"/>
        <s v="K06 (Hot) - SA - KBR - Aqrabiya"/>
        <s v="K18 (Hot) SA - RUH - Qurtoba"/>
        <s v="K16 (Hot) SA - RUH - Qurtoba"/>
        <s v="K15 (Hot) SA - RUH - Qurtoba"/>
        <s v="K22 (Hot) SA - RUH - Qurtoba"/>
        <s v="K02 (Cold) SA - RUH - Qurtoba"/>
        <s v="K05 (Hot) - SA - RUH - Arid (2)"/>
        <s v="K10 (Cold) - SA - RUH - Yasmin"/>
        <s v="K03 (Hot) - SA - RUH - Yasmin"/>
        <s v="K09 (Cold) - SA - RUH - Malga 1"/>
        <s v="K11 (Cold) - SA - RUH - Malga 1"/>
        <s v="K12 (Hot) - SA - DMM - Rawda"/>
        <s v="K06 (Hot) - SA - DMM - Rawda"/>
        <s v="K18 (Cold) - SA - DMM - Rawda"/>
        <s v="K05 (Hot) - SA - DMM - Rawda"/>
        <s v="K25 (Hot) - SA - RUH - Sulimaniyah"/>
        <s v="K20 (Hot) - SA - DMM - Zuhur"/>
        <s v="K19 (Hot) - SA - RUH - Malga 2"/>
        <s v="K10 (Hot) - SA - RUH - Malga 2"/>
        <s v="K09 (Hot) - SA - RUH - Malga 2"/>
        <s v="K17 (Hot) - SA - RUH - Aqiq"/>
        <s v="K05 (Hot) - SA - RUH - Sweidi"/>
        <s v="K07 (Hot) - SA - RUH - Sweidi"/>
        <s v="K23 (Hot) - SA - RUH - Wadi"/>
        <s v="K04 (Cold) - SA - RUH - Sweidi"/>
        <s v="K21 (Cold) - SA - RUH - Malga 1"/>
        <s v="K12 (Cold) - SA - RUH - Khaleej"/>
        <s v="K03 (Hot) - SA - RUH - Sweidi"/>
        <s v="K11 (Hot) - SA - RUH - Olaya"/>
        <s v="K13 (Hot) - SA - RUH - Malga 2"/>
        <s v="K24 (Hot) - SA - RUH - Wadi"/>
        <s v="K11 (Hot) SA - RUH - Qurtoba"/>
        <s v="K21 (Hot) - SA - RUH - Khaleej"/>
        <s v="K09 (Cold) - SA - RUH - Dahrat Laban"/>
        <s v="K17 (Hot) - SA - RUH - King Fahd"/>
        <s v="K02 (Hot) - SA - RUH - Sweidi"/>
        <s v="K23 (Cold) - SA - KBR - Aqrabiya"/>
        <s v="K19 (Cold) - SA - RUH - Khaleej"/>
        <s v="K27 (Hot) - SA - RUH - Khaleej"/>
        <s v="K11 (Hot) - SA - RUH - Aqiq"/>
        <s v="K18 (Cold) - SA - RUH - Aqiq"/>
        <s v="K01 (Hot) - SA - RUH - Malga 2"/>
        <s v="K20 (Cold) - SA - RUH - Malga 2"/>
        <s v="K05 (Hot) - SA - RUH - Malga 1"/>
        <s v="K05 (Hot) - SA - RUH - King Fahd"/>
        <s v="K14 (Hot) - SA - RUH - Sweidi"/>
        <s v="K13 (Hot) - SA - RUH - Aqiq"/>
        <s v="K14 (CPU) - SA - DMM - Zuhur"/>
        <s v="K18 (Hot) - SA - RUH - Wadi"/>
        <s v="K07 (Cold) - SA - RUH - Malga 1"/>
        <s v="K04 (Hot) - SA - RUH - Malga 1"/>
        <s v="K01 (Hot) - SA - KBR - Aqrabiya"/>
        <s v="K02 (Hot) - SA - DMM - Rawda"/>
        <s v="K13 (Hot) - SA - RUH - Jarir"/>
        <s v="K10 (Hot) - SA - DMM - Rawda"/>
        <s v="K10 (Hot) - SA - RUH - Malga 1"/>
        <s v="K19 (Cold) - SA - RUH - Aqiq"/>
        <s v="K09 (Hot) - SA - RUH - Dahrat Laban"/>
        <s v="K09 (Cold) - SA - RUH - King Fahd"/>
        <s v="K14 (Cold) - SA - RUH - Khaleej"/>
        <s v="K08 (Hot) - SA - RUH - Narjis"/>
        <s v="K08 (Cold)- KSA - AHS- Hofuf"/>
        <s v="K06 (Hot) - SA - RUH - Khaleej"/>
        <s v="K02 (CPU) - SA - RUH - QSM"/>
        <s v="K07 (Hot) - SA - RUH - Dahrat Laban"/>
        <s v="K02 (Cold) - SA - RUH - Sweidi"/>
        <s v="K18 (Hot) - SA - RUH - King Fahd"/>
        <s v="K28 (Hot) - SA - RUH - Wadi"/>
        <s v="K21 (Cold) - SA - RUH - Aqiq"/>
        <s v="K11 (Hot) - SA - RUH - Dahrat Laban"/>
        <s v="K08 (Hot) - SA - RUH - Dahrat Laban"/>
        <s v="K03 (Hot) - SA - RUH - Aqiq"/>
        <s v="K03 (Hot) - SA - RUH - Malga 1"/>
        <s v="K03 (Hot) - SA - RUH - Olaya"/>
        <s v="K25 (Cold) - SA - RUH - Malga 2"/>
        <s v="K20 (Hot) - SA - RUH - Sulimaniyah"/>
        <s v="K23 (Hot) - SA - RUH - Malga 2"/>
        <s v="K28 (Hot) - SA - RUH - King Fahd"/>
        <s v="K28 (CPU) - SA - KBR - Aqrabiya"/>
        <s v="K12 (Cold) - SA - RUH - QSM"/>
        <s v="K08 (Hot) - SA - RUH - Olaya"/>
        <s v="K24 (Cold) - SA - RUH - Malga 2"/>
        <s v="K21 (CPU) - SA - RUH - Arid"/>
        <s v="K01 (Hot) - SA - RUH - Arid"/>
        <s v="K15 (Hot) - SA - RUH - Arid"/>
        <s v="K16 (Hot) - SA - RUH - Arid"/>
        <s v="K07 (Hot) - SA - RUH - Arid"/>
        <s v="K03 (Hot) - SA - RUH - Arid"/>
        <s v="K18 (Hot) - SA - RUH - Arid"/>
        <s v="K06 (Hot) - SA - RUH - Arid"/>
        <s v="K13 (Hot) - SA - RUH - Arid"/>
        <s v="K02 (Hot) - SA - RUH - Arid"/>
        <s v="K04 (Hot) - SA - RUH - Arid"/>
        <s v="K05 (Hot) - SA - RUH - Arid"/>
        <s v="K08 (Hot) - SA - RUH - Arid"/>
        <s v="K09 (Hot) - SA - RUH - Arid"/>
        <s v="K10 (Hot) - SA - RUH - Arid"/>
        <s v="K11 (Hot) - SA - RUH - Arid"/>
        <s v="K12 (Hot) - SA - RUH - Arid"/>
        <s v="K14 (Hot) - SA - RUH - Arid"/>
        <s v="K17 (Hot) - SA - RUH - Arid"/>
        <s v="K19 (Hot) - SA - RUH - Arid"/>
        <s v="K20 (Cold) - SA - RUH - Arid"/>
        <s v="K19 (CPU) - KSA - AHS- Hofuf"/>
        <s v="K07 (Cold)- KSA - AHS- Hofuf"/>
        <s v="K01 (Cold) - SA - RUH - Yasmin"/>
        <s v="K29 (CPU) - SA - KBR - Aqrabiya"/>
        <s v="K27 (Hot) - SA - RUH - King Fahd"/>
        <s v="K02 (Hot) - SA - RUH - Aqiq"/>
        <s v="K18 (Hot) - SA - RUH - Sweidi"/>
        <s v="K07 (Cold) - SA - RUH - Malga 2"/>
        <s v="K15 (Hot) - SA - RUH - Yasmin"/>
        <s v="K18 (Hot) - SA - RUH - Yasmin"/>
        <s v="K08 (Hot) - SA - DMM - Rawda"/>
        <s v="K15 (Hot) - SA - RUH - Dahrat Laban"/>
        <s v="K09 (Hot) - SA - RUH - Yasmin"/>
        <s v="K15 (Cold) - SA - RUH - Malga 2"/>
        <s v="K01 (Hot) - SA - RUH - Rawdah"/>
        <s v="K07 (Hot) - SA - RUH - Khaleej"/>
        <s v="K16 (Cold) - SA - RUH - Rawdah"/>
        <s v="K18 (Hot) - SA - RUH - Rawdah"/>
        <s v="K09 (Hot) - SA - RUH - Rawdah"/>
        <s v="K16 (Hot) - SA - RUH - Aqiq"/>
        <s v="K20 (Hot) - SA - RUH - Rawdah"/>
        <s v="K08 (Hot) - SA - RUH - Rawdah"/>
        <s v="K06 (Cold) - SA - RUH - Rawdah"/>
        <s v="K19 (Hot) - SA - RUH - Rawdah"/>
        <s v="K05 (Hot) - SA - RUH - Rawdah"/>
        <s v="K02 (Cold) - SA - RUH - Rawdah"/>
        <s v="K11 (Hot) - SA - RUH - Rawdah"/>
        <s v="K03 (Cold) - SA - RUH - Rawdah"/>
        <s v="K04 (Cold) - SA - RUH - Rawdah"/>
        <s v="K07 (Hot) - SA - RUH - Rawdah"/>
        <s v="K10 (Hot) - SA - RUH - Rawdah"/>
        <s v="K12 (Hot) - SA - RUH - Rawdah"/>
        <s v="K13 (Hot) - SA - RUH - Rawdah"/>
        <s v="K14 (Hot) - SA - RUH - Rawdah"/>
        <s v="K21 (Hot) - SA - RUH - Rawdah"/>
        <s v="K15 (Hot) - SA - RUH - Rawdah"/>
        <s v="K17 (Hot) - SA - RUH - Rawdah"/>
        <s v="K47 (Hot) - SA - RUH - Wadi"/>
        <s v="K23 (Cold) - SA - RUH - Jarir"/>
        <s v="K27 (Cold) - SA - KBR - Aqrabiya"/>
        <s v="K05 (Hot)- KSA - AHS- Hofuf"/>
        <s v="K35 (Cold) - SA - RUH - Khaleej"/>
        <s v="K17 (Hot) - SA - KBR - Aqrabiya"/>
        <s v="K01 (Hot) - SA - RUH - Dahrat Laban"/>
        <s v="K04 (Hot) - SA - RUH - Sulimaniyah"/>
        <s v="K17 (Hot) - SA - RUH - Yasmin"/>
        <s v="K31 (Hot) - SA - RUH - Wadi"/>
        <s v="K06 (Cold) - SA - RUH - Malga 1"/>
        <s v="K07 (Hot) SA - RUH - Qurtoba"/>
        <s v="K30 (CPU) - SA - KBR - Aqrabiya"/>
        <s v="K08 (Hot) SA - RUH - Qurtoba"/>
        <s v="K04 (Cold) SA - RUH - Qurtoba"/>
        <s v="K17 (Hot) - SA - RUH - Malga 1"/>
        <s v="K19 (Hot) - SA - RUH - Yasmin"/>
        <s v="K25 (Hot) - SA - RUH - Wadi"/>
        <s v="K30 (Hot) - SA - RUH - Wadi"/>
        <s v="K02 (Cold) - SA - RUH - Tuwaiq"/>
        <s v="K14 (Hot) - SA - RUH - Tuwaiq"/>
        <s v="K05 (Hot) - SA - RUH - Tuwaiq"/>
        <s v="K15 (Hot) - SA - RUH - Tuwaiq"/>
        <s v="K08 (Cold) - SA - RUH - Tuwaiq"/>
        <s v="K16 (Cold) - SA - RUH - Tuwaiq"/>
        <s v="K18 (Hot) - SA - RUH - Tuwaiq"/>
        <s v="K10 (Hot) - SA - RUH - Tuwaiq"/>
        <s v="K11 (Hot) - SA - RUH - Tuwaiq"/>
        <s v="K04 (Hot) - SA - RUH - Tuwaiq"/>
        <s v="K07 (Hot) - SA - RUH - Tuwaiq"/>
        <s v="K17 (Cold) - SA - RUH - Tuwaiq"/>
        <s v="K03 (Hot) - SA - RUH - Tuwaiq"/>
        <s v="K06 (Hot) - SA - RUH - Tuwaiq"/>
        <s v="K01 (Cold) - SA - RUH - Tuwaiq"/>
        <s v="K09 (Cold) - SA - RUH - Tuwaiq"/>
        <s v="K13 (Hot) - SA - RUH - Tuwaiq"/>
        <s v="K12 (Hot) - SA - RUH - Tuwaiq"/>
        <s v="K01 (Hot) - KSA - AHS - Hofuf"/>
        <s v="K03 (Hot) - SA - RUH - Khaleej"/>
        <s v="K16 (Hot) - SA - RUH - Malga 2"/>
        <s v="K19 (Hot) - SA - DMM - Rawda"/>
        <s v="K22 (Hot) - SA - RUH - Dahrat Laban"/>
        <s v="K02 (Cold) - SA - RUH - Olaya"/>
        <s v="K18 (Hot) - SA - RUH - Olaya"/>
        <s v="K12 (Hot) - SA - RUH - Narjis"/>
        <s v="K12 (Hot) - SA - RUH - Yasmin"/>
        <s v="K21 (Cold) - SA - RUH - Salam"/>
        <s v="K12 (Hot) - SA - RUH - Salam"/>
        <s v="K09 (Hot) SA - RUH - Qurtoba"/>
        <s v="K22 (Cold) - SA - RUH - Malga 1"/>
        <s v="K06 (Cold) SA - RUH - Qurtoba"/>
        <s v="K02 (Cold) - SA - RUH - Narjis"/>
        <s v="K26 (Hot) - SA - RUH - Wadi"/>
        <s v="K07 (Hot) - SA - RUH - Yasmin"/>
        <s v="K20 (Cold) - SA - RUH - Salam"/>
        <s v="K14 (Hot) - SA - RUH - Salam"/>
        <s v="K13 (Hot) - SA - RUH - Salam"/>
        <s v="K15 (Cold) - SA - RUH - Salam"/>
        <s v="K17 (Hot) - SA - RUH - Salam"/>
        <s v="K18 (Hot) - SA - RUH - Salam"/>
        <s v="K19 (Hot) - SA - RUH - Salam"/>
        <s v="K12 (Hot) - SA - RUH - Sweidi"/>
        <s v="K06 (Hot) - SA - RUH - King Fahd"/>
        <s v="K20 (Hot) - SA - RUH - Yasmin"/>
        <s v="K13 (Hot) - SA - RUH - Sweidi"/>
        <s v="K22 (Hot) - SA - RUH - Khaleej"/>
        <s v="K03 (Hot) SA - RUH - Qurtoba"/>
        <s v="K12 (Hot) - SA - RUH - Malga 2"/>
        <s v="K19 (Hot) - SA - RUH - Narjis"/>
        <s v="K14 (Hot) - SA - RUH - Malga 2"/>
        <s v="K13 (Hot) - SA - RUH - Yasmin"/>
        <s v="K01 (Hot) - SA - RUH - Khaleej"/>
        <s v="K21 (Hot) - SA - RUH - King Fahd"/>
        <s v="K13 (Hot) - SA - RUH - Arid (2)"/>
        <s v="K04 (Hot) - SA - RUH - Khaleej"/>
        <s v="K01 (Hot) - BH - MAN - UAH"/>
        <s v="K21 (Cold) - SA - RUH - Malga 2"/>
        <s v="K05 (Hot) - SA - RUH - Narjis"/>
        <s v="K27 (Hot) - SA - RUH - Narjis"/>
        <s v="K26 (Hot) - SA - RUH - Narjis"/>
        <s v="K20 (Hot) - SA - RUH - Narjis"/>
        <s v="K21 (Hot) - SA - RUH - Narjis"/>
        <s v="K22 (Hot) - SA - RUH - Narjis"/>
        <s v="K23 (Hot) - SA - RUH - Narjis"/>
        <s v="K25 (Hot) - SA - RUH - Narjis"/>
        <s v="K24 (Hot) - SA - RUH - Narjis"/>
        <s v="K14 (Hot) - SA - RUH - Sulimaniyah"/>
        <s v="K16 (Hot) - SA - RUH - Sulimaniyah"/>
        <s v="K17 (Hot) - SA - RUH - Sulimaniyah"/>
        <s v="K19 (Hot) - SA - RUH - Sulimaniyah"/>
        <s v="K02 (Hot) SA - RUH - Qurtoba"/>
        <s v="K12 (Hot) - SA - RUH - Wadi"/>
        <s v="K01 (Cold) - SA - RUH - Dahrat Laban"/>
        <s v="K30 (Cold) - SA - RUH - Khaleej"/>
        <s v="K24 (Hot) - SA - RUH - Salam"/>
        <s v="K13 (Hot) - SA - RUH - Sulimaniyah"/>
        <s v="K14 (Hot) - SA - RUH - Yasmin"/>
        <s v="K10 (Cold) - SA - RUH - Sulimaniyah"/>
        <s v="K03 (Hot) - BH - MAN - UAH"/>
        <s v="K15 (Hot) - SA - RUH - Sulimaniyah"/>
        <s v="K04 (Cold) - SA - RUH - Olaya"/>
        <s v="K12 (Hot) - SA - RUH - Sulimaniyah"/>
        <s v="K11 (Cold) - SA - RUH - Sulimaniyah"/>
        <s v="K06 (Cold) - SA - RUH - Malga 2"/>
        <s v="K13 (Hot) - SA - RUH - Narjis"/>
        <s v="K03 (Cold) - SA - RUH - Dahrat Laban"/>
        <s v="K11 (Cold) - SA - RUH - Salam"/>
        <s v="K03 (Hot) - SA - RUH - Malga 2"/>
        <s v="K24 (CPU) - SA - RUH - Jarir"/>
        <s v="K26 (CPU) - SA - RUH - Sulimaniyah"/>
        <s v="K08 (Hot) - SA - RUH - Sulimaniyah"/>
        <s v="K06 (Hot) - SA - RUH - Narjis"/>
        <s v="K03 (Hot) - SA - RUH - Wadi"/>
        <s v="K07 (Hot) - SA - RUH - Aqiq"/>
        <s v="K04 (Hot) - SA - RUH - Narjis"/>
        <s v="K01 (Hot) - SA - DMM - Zuhur"/>
        <s v="K02 (Cold) - SA - RUH - Yasmin"/>
        <s v="K03 (Hot) - BAH - MAN-Issa Town"/>
        <s v="K16 (Hot) - BAH - MAN-Issa Town"/>
        <s v="K05 (Hot) - BAH - MAN-Issa Town"/>
        <s v="K14 (Hot) - BAH - MAN-Issa Town"/>
        <s v="K13 (Hot) - BAH - MAN-Issa Town"/>
        <s v="K04 (Hot) - BAH - MAN-Issa Town"/>
        <s v="K15 (Hot) - BAH - MAN-Issa Town"/>
        <s v="K12 (Hot) - BAH - MAN-Issa Town"/>
        <s v="K11 (Hot) - BAH - MAN-Issa Town"/>
        <s v="K15 (Hot) - SA - RUH - King Faisal"/>
        <s v="K09 (Cold) - SA - RUH - Wadi"/>
        <s v="K29 (Hot) - SA - RUH - Malga 2"/>
        <s v="K24 (Cold) - SA - KBR - Aqrabiya"/>
        <s v="K18 (CPU) - SA - RUH - QSM"/>
        <s v="K28 (Hot) - SA - RUH - Khaleej"/>
        <s v="K10 (Cold) - SA - RUH - Wadi"/>
        <s v="K22 (Hot) - SA - KBR - Aqrabiya"/>
        <s v="K17 (Hot) - SA - RUH - Narjis"/>
        <s v="K22 (Hot) - SA - RUH - Malga 2"/>
        <s v="K18 (Cold) - SA - RUH - Sulimaniyah"/>
        <s v="K08 (Cold) - SA - RUH - Wadi"/>
        <s v="K11 (Hot) - BH - MAN - UAH"/>
        <s v="K14 (Hot) - BH - MAN - UAH"/>
        <s v="K02 (Hot) - SA - RUH - Olaya"/>
        <s v="K11 (Cold) - SA - RUH - Wadi"/>
        <s v="K01 (Hot) SA - RUH - Qurtoba"/>
        <s v="K11 (Cold) - SA - RUH - King Fahd"/>
        <s v="K07 (Cold) - SA - RUH - Wadi"/>
        <s v="K20 (Cold) - SA - RUH - Aqiq"/>
        <s v="K17 (Hot) SA - RUH - Qurtoba"/>
        <s v="K06 (Hot) - SA - RUH - QSM"/>
        <s v="K01 (Cold) - SA - RUH - Sweidi"/>
        <s v="K04 (Cold) - SA - DMM - Zuhur"/>
        <s v="K05 (Hot) - SA - DMM - Zuhur"/>
        <s v="K09 (Hot) - SA - DMM - Zuhur"/>
        <s v="K08 (Cold) - SA - DMM - Zuhur"/>
        <s v="K07 (Hot) - SA - DMM - Zuhur"/>
        <s v="K06 (Hot) - SA - DMM - Zuhur"/>
        <s v="K10 (Hot) - SA - DMM - Zuhur"/>
        <s v="K11 (Hot) - SA - DMM - Zuhur"/>
        <s v="K12 (Hot) - SA - DMM - Zuhur"/>
        <s v="K25 (CPU) - SA - DMM - Zuhur"/>
        <s v="K05 (Cold) - SA - RUH - Dahrat Laban"/>
        <s v="K05 (Hot) - SA - RUH - Khaleej"/>
        <s v="K19 (Hot) - SA - RUH - King Fahd"/>
        <s v="K04 (Hot) - SA - RUH - Olaya"/>
        <s v="K26 (Hot) SA - RUH - Qurtoba"/>
        <s v="K18 (Hot) - SA - RUH - Narjis"/>
        <s v="K28 (CPU) - SA - Narjis"/>
        <s v="K09 (Hot) - SA - RUH - Sulimaniyah"/>
        <s v="K21 (Hot) - SA - RUH - Sulimaniyah"/>
        <s v="K32 (Hot) SA - RUH - Qurtoba"/>
        <s v="K28 (Hot) SA - RUH - Qurtoba"/>
        <s v="K29 (Hot) SA - RUH - Qurtoba"/>
        <s v="K33 (Hot) SA - RUH - Qurtoba"/>
        <s v="K37 (Hot) SA - RUH - Qurtoba"/>
        <s v="K41 (Hot) SA - RUH - Qurtoba"/>
        <s v="K34 (Hot) SA - RUH - Qurtoba"/>
        <s v="K35 (Hot) SA - RUH - Qurtoba"/>
        <s v="K36 (Hot) SA - RUH - Qurtoba"/>
        <s v="K39 (Hot) SA - RUH - Qurtoba"/>
        <s v="K40 (Hot) SA - RUH - Qurtoba"/>
        <s v="K24 (Hot) - SA - RUH - King Fahd"/>
        <s v="K43 (Hot) SA - RUH - Qurtoba"/>
        <s v="K38 (Hot) - SA - RUH - Wadi"/>
        <s v="K04 (Hot) - SA - RUH - Yasmin"/>
        <s v="K31 (Hot) SA - RUH - Qurtoba"/>
        <s v="K42 (Hot) SA - RUH - Qurtoba"/>
        <s v="K30 (Hot) SA - RUH - Qurtoba"/>
        <s v="K45 (CPU) SA - RUH - Qurtoba"/>
        <s v="K07 (Cold) SA - RUH - Qurtoba"/>
        <s v="K44 (Hot) SA - RUH - Qurtoba"/>
        <s v="K21 (Hot) SA - RUH - Qurtoba"/>
        <s v="K01 (Hot) - SA - RUH - King Faisal"/>
        <s v="K27 (Hot) SA - RUH - Qurtoba"/>
        <s v="K38 (Hot) SA - RUH - Qurtoba"/>
        <s v="K09 (Cold) - SA - RUH - Jarir"/>
        <s v="K14 (Hot) - SA - RUH - Wadi"/>
        <s v="K16 (Hot) - SA - DMM - Rawda"/>
        <s v="K17 (Hot) - SA - RUH - Wadi"/>
        <s v="K03 (Cold) - SA - RUH - Wadi"/>
        <s v="K12 (Cold) - SA - RUH - Wadi"/>
        <s v="K12 (Hot) - SA - RUH - Dahrat Laban"/>
        <s v="K15 (Hot) - BH - MAN - UAH"/>
        <s v="K02 (Cold) - SA - RUH - Wadi"/>
        <s v="K16 (Cold) - SA - RUH - Yasmin"/>
        <s v="K03 (Cold) SA - RUH - Qurtoba"/>
        <s v="K15 (Hot) - SA - RUH - Narjis"/>
        <s v="K27 (Cold) - SA - RUH - Malga 2"/>
        <s v="K02 (Hot) - SA - RUH - King Fahd"/>
        <s v="K15 (Hot) - SA - RUH - Wadi"/>
        <s v="K23 (Cold) - SA - RUH - Malga 1"/>
        <s v="K26 (Cold) - SA - KBR - Aqrabiya"/>
        <s v="K09 (Cold)- KSA - AHS- Hofuf"/>
        <s v="K05 (Cold) - SA - RUH - Wadi"/>
        <s v="K06 (Cold) - SA - RUH - Sweidi"/>
        <s v="K11 (Hot)- KSA - AHS- Hofuf"/>
        <s v="K01 (Hot) - SA - RUH - Jarir"/>
        <s v="K14 (Hot) - SA - RUH - King Faisal"/>
        <s v="K01 (Hot) - SA - RUH - SWD2"/>
        <s v="K13 (Hot) - SA - RUH - Khaleej"/>
        <s v="K25 (Hot) - SA - RUH - Dahrat Laban"/>
        <s v="K29 (Hot) - SA - RUH - Dahrat Laban"/>
        <s v="K06 (Cold) - SA - RUH - Salam"/>
        <s v="K07 (Hot) - SA - DMM - Rawda"/>
        <s v="K05 (Hot) - SA - KBR - Aqrabiya"/>
        <s v="K09 (Hot) - SA - RUH - Arid (2)"/>
        <s v="K10 (Cold) - SA - KBR - Aqrabiya"/>
        <s v="K03 (Hot) - SA - RUH - Sulimaniyah"/>
        <s v="K08 (Hot) - SA - RUH - Aqiq"/>
        <s v="K20 (Hot) - SA - RUH - Arid (2)"/>
        <s v="K07 (Hot) - SA - RUH - Arid (2)"/>
        <s v="K29 (Cold) - SA - RUH - Khaleej"/>
        <s v="K09 (Hot) - SA - RUH - Wadi"/>
        <s v="K20 (Cold) - SA - KBR - Aqrabiya"/>
        <s v="K02 (Hot) - SA - RUH - Sulimaniyah"/>
        <s v="K02 (Hot) - SA - RUH - Malga 2"/>
        <s v="K25 (Hot) - SA - RUH - Khaleej"/>
        <s v="K01 (Hot) - SA - RUH - Sweidi"/>
        <s v="K29 (Cold) - SA - RUH - King Fahd"/>
        <s v="K04 (Hot) - SA - RUH - King Faisal"/>
        <s v="K19 (Hot) - SA - RUH - Jarir"/>
        <s v="K19 (Hot) - SA - RUH - Arid (2)"/>
        <s v="K03 (Hot) - SA - KBR - Aqrabiya"/>
        <s v="K31 (Hot) - SA - RUH - Khaleej"/>
        <s v="K05 (Hot) SA - RUH - Qurtoba"/>
        <s v="K05 (Cold) - SA - RUH - Sweidi"/>
        <s v="K07 (Hot) - SA - RUH - Sulimaniyah"/>
        <s v="K08 (Hot) - SA - RUH - Yasmin"/>
        <s v="K07 (Hot) - SA - RUH - Olaya"/>
        <s v="K03 (Hot) - SA - RUH - Dahrat Laban"/>
        <s v="K16 (Hot) - SA - RUH - King Faisal"/>
        <s v="K06 (Hot) SA - RUH - Qurtoba"/>
        <s v="K04 (Hot) - SA - RUH - Salam"/>
        <s v="K22 (Hot) - SA - RUH - King Faisal"/>
        <s v="K03 (Cold) - SA - DMM - Zuhur"/>
        <s v="K13 (Hot) - SA - RUH - Dahrat Laban"/>
        <s v="K22 (Hot) - SA - DMM - Rawda"/>
        <s v="K05 (Hot) - SA - RUH - Yasmin"/>
        <s v="K11 (Cold) - SA - RUH - Khaleej"/>
        <s v="K09 (Cold) - SA - DMM - Rawda"/>
        <s v="K23 (Hot) - SA - DMM - Rawda"/>
        <s v="K04 (Cold) - SA - RUH - Dahrat Laban"/>
        <s v="K12 (Hot) - SA - RUH - King Faisal"/>
        <s v="K36 (Cold) - SA - RUH - Khaleej"/>
        <s v="K03 (Cold) - SA - RUH - Sweidi"/>
        <s v="K12 (Hot) - SA - RUH - Malga 1"/>
        <s v="K06 (Hot) - SA - RUH - SWD2"/>
        <s v="K02 (Hot) - SA - RUH - SWD2"/>
        <s v="K04 (Hot) - SA - RUH - SWD2"/>
        <s v="K09 (Hot) - SA - RUH - SWD2"/>
        <s v="K10 (Hot) - SA - RUH - SWD2"/>
        <s v="K11 (Hot) - SA - RUH - SWD2"/>
        <s v="K11 (Hot) - SA - RUH - Sweidi"/>
        <s v="K17 (Cold)- KSA - AHS- Hofuf"/>
        <s v="K26 (Cold) - SA - RUH - Malga 2"/>
        <s v="K07 (Hot) - SA - RUH - King Fahd"/>
        <s v="K03 (Hot) - SA - KBR - Rakah"/>
        <s v="K10 (Hot) - SA - RUH - Narjis"/>
        <s v="K10 (Cold) - SA - RUH - Khaleej"/>
        <s v="K23 (Hot) - SA - RUH - King Faisal"/>
        <s v="K09 (Hot) - SA - KBR - Aqrabiya"/>
        <s v="K21 (Hot) - SA - DMM - Zuhur"/>
        <s v="K03 (Hot) - SA - RUH - King Faisal"/>
        <s v="K24 (Cold) - SA - DMM - Rawda"/>
        <s v="K13 (Hot) - BH - MAN - UAH"/>
        <s v="K03 (Cold) - SA - RUH - Narjis"/>
        <s v="K22 (Hot) - SA - RUH - King Fahd"/>
        <s v="K08 (Hot) - SA - RUH - King Faisal"/>
        <s v="K20 (Hot) - SA - RUH - Dahrat Laban"/>
        <s v="K17 (Hot) - BH - MAN - UAH"/>
        <s v="K02 (Hot) - SA - RUH - King Faisal"/>
        <s v="K14 (Hot) - SA - RUH - Jarir"/>
        <s v="K15 (Hot) - SA - RUH - Jarir"/>
        <s v="K21 (Hot) - BH - MAN - UAH"/>
        <s v="K02 (Hot) - SA - RUH - Jarir"/>
        <s v="K08 (Hot) - SA - RUH - Sweidi"/>
        <s v="K01 (Hot) - SA - DMM - Ghirnatah 2"/>
        <s v="K09 (Hot) - SA - RUH - Olaya"/>
        <s v="K11 (Cold) - SA - RUH - Yasmin"/>
        <s v="K01 (Hot) - SA - RUH - Wadi"/>
        <s v="K17 (Hot) - SA - RUH - Khaleej"/>
        <s v="K19 (Hot) - SA - RUH - Dahrat Laban"/>
        <s v="K21 (Hot) - SA - RUH - Arid (2)"/>
        <s v="K19 (Hot) - BH - MAN - UAH"/>
        <s v="K02 (Hot) - SA - RUH - Dahrat Laban"/>
        <s v="K04 (Hot)- KSA - AHS- Hofuf"/>
        <s v="K11 (Hot) - SA - RUH - Arid (2)"/>
        <s v="K08 (Hot) - SA - RUH - Salam"/>
        <s v="K06 (Hot) - SA - RUH - Wadi"/>
        <s v="K25 (Cold) - SA - KBR - Aqrabiya"/>
        <s v="K24 (Hot) - SA - RUH - Sulimaniyah"/>
        <s v="K22 (Cold) - SA - RUH - Sulimaniyah"/>
        <s v="K23 (Hot) - SA - RUH - Sulimaniyah"/>
        <s v="K17 (Hot) - SA - RUH - Sweidi"/>
        <s v="K05 (Hot) - SA - RUH - Aqiq"/>
        <s v="K04 (Hot) - SA - RUH - Jarir"/>
        <s v="K23 (Hot) SA - RUH - Qurtoba"/>
        <s v="K05 (Hot) - SA - RUH - SWD2"/>
        <s v="K07 (Hot) - SA - RUH - SWD2"/>
        <s v="K12 (Hot) - SA - RUH - SWD2"/>
        <s v="K08 (Hot) - SA - RUH - SWD2"/>
        <s v="K13 (Hot) - SA - RUH - SWD2"/>
        <s v="K03 (Hot) - SA - RUH - SWD2"/>
        <s v="K25 (Cold) - SA - RUH - King Fahd"/>
        <s v="K08 (Hot) - SA - RUH - Malga 2"/>
        <s v="K18 (Hot) - SA - RUH - Malga 2"/>
        <s v="K06 (Hot) - SA - RUH - Aqiq"/>
        <s v="K11 (Hot) - SA - RUH - Malga 2"/>
        <s v="K13 (Hot) - SA - RUH - Wadi"/>
        <s v="K16 (Hot) - SA - RUH - Wadi"/>
        <s v="K17 (Hot) - SA - RUH - Malga 2"/>
        <s v="K18 (Hot) - SA - RUH - Khaleej"/>
        <s v="K06 (Hot) - SA - RUH - Sulimaniyah"/>
        <s v="K02 (Hot) - SA - RUH - Wadi"/>
        <s v="K08 (Cold) - SA - RUH - Khaleej"/>
        <s v="K14 (Hot) - SA - DMM - Rawda"/>
        <s v="K03 (Hot) - SA - DMM - Ghirnatah 2"/>
        <s v="K12 (Hot) - SA - DMM - Ghirnatah 2"/>
        <s v="K05 (Hot) - SA - DMM - Ghirnatah 2"/>
        <s v="K07 (Hot) - SA - DMM - Ghirnatah 2"/>
        <s v="K02 (Hot) - SA - DMM - Ghirnatah 2"/>
        <s v="K04 (Hot) - SA - DMM - Ghirnatah 2"/>
        <s v="K08 (Hot) - SA - DMM - Ghirnatah 2"/>
        <s v="K14 (Hot) - SA - DMM - Ghirnatah 2"/>
        <s v="K06 (Hot) - SA - DMM - Ghirnatah 2"/>
        <s v="K09 (Hot) - SA - DMM - Ghirnatah 2"/>
        <s v="K10 (Hot) - SA - DMM - Ghirnatah 2"/>
        <s v="K11 (Hot) - SA - DMM - Ghirnatah 2"/>
        <s v="K13 (Hot) - SA - DMM - Ghirnatah 2"/>
        <s v="K06 (Cold) - SA - RUH - Wadi"/>
        <s v="K14 (Hot)- KSA - AHS- Hofuf"/>
        <s v="K14 (Hot) - SA - RUH - Dahrat Laban"/>
        <s v="K06 (Hot) - SA - RUH - Jarir"/>
        <s v="K01 (Cold) - SA - RUH - Sulimaniyah"/>
        <s v="K24 (Hot) - BH - MAN - UAH"/>
        <s v="K22 (Hot) - BH - MAN - UAH"/>
        <s v="K23 (Hot) - BH - MAN - UAH"/>
        <s v="K25 (Hot) - BH - MAN - UAH"/>
        <s v="K02 (Hot) - BH - MAN - UAH"/>
        <s v="K28 (Hot) - SA - RUH - Dahrat Laban"/>
        <s v="K23 (Hot) - SA - RUH - Salam"/>
        <s v="K06 (Cold) - SA - RUH - Dahrat Laban"/>
        <s v="K01 (CPU) - SA - RUH - QSM"/>
        <s v="K03 (Hot)- KSA - AHS- Hofuf"/>
        <s v="K16 (Hot) - SA - RUH - Arid (2)"/>
        <s v="K15 (Hot) - SA - RUH - Aqiq"/>
        <s v="K32 (Cold) - SA - RUH - Khaleej"/>
        <s v="K27 (Hot) - BH - MAN - UAH"/>
        <s v="K29 (Hot) - BH - MAN - UAH"/>
        <s v="K37 (Hot) - SA - RUH - Wadi"/>
        <s v="K26 (Hot) - BH - MAN - UAH"/>
        <s v="K28 (Hot) - BH - MAN - UAH"/>
        <s v="K18 (Hot) - BH - MAN - UAH"/>
        <s v="K18 (Hot) - SA - RUH - Dahrat Laban"/>
        <s v="K06 (Hot) - SA - RUH - Wurud"/>
        <s v="K10 (Hot) - SA - RUH - Wurud"/>
        <s v="K17 (Hot) - SA - RUH - Olaya"/>
        <s v="K08 (Hot) - SA - RUH - King Fahd"/>
        <s v="K20 (Hot) - SA - DMM - Rawda"/>
        <s v="K10 (Hot)- KSA - AHS- Hofuf"/>
        <s v="K09 (Hot) - SA - RUH - Salam"/>
        <s v="K21 (Hot) - SA - DMM - Rawda"/>
        <s v="K22 (Hot) - SA - RUH - Wadi"/>
        <s v="K46 (Hot) SA - RUH - Qurtoba"/>
        <s v="K11 (Hot) - SA - RUH - Jarir"/>
        <s v="K08 (Hot) - SA - RUH - Wadi"/>
        <s v="K22 (Hot) - SA - RUH - Salam"/>
        <s v="K05 (Cold) - SA - RUH - Jarir"/>
        <s v="K01 (Hot) - BAH - MAN-Issa Town"/>
        <s v="K15 (Hot) - SA - DMM - Rawda"/>
        <s v="K01 (Cold) - SA - RUH - Wadi"/>
        <s v="K07 (Cold) - SA - RUH - Dahrat Laban"/>
        <s v="K10 (Cold) - SA - RUH - King Faisal"/>
        <s v="K09 (Hot) - SA - RUH - King Faisal"/>
        <s v="K11 (Hot - SA - RUH - King Faisal"/>
        <s v="K10 (Hot) - SA - RUH - Aqiq"/>
        <s v="K10 (Hot) - SA - RUH - Sweidi"/>
        <s v="K19 (Hot) - SA - RUH - Wadi"/>
        <s v="K26 (Hot) - SA - RUH - King Fahd"/>
        <s v="K09 (Hot) - SA - RUH - Sweidi"/>
        <s v="K09 (Cold) - SA - RUH - Khaleej"/>
        <s v="K20 (Cold) - SA - RUH - Malga 1"/>
        <s v="K05 (Cold) - SA - RUH - Salam"/>
        <s v="K07 (Hot) - SA - RUH - King Faisal"/>
        <s v="K04 (Hot) - SA - RUH - Sweidi"/>
        <s v="K15 (Hot) - SA - RUH - Sweidi"/>
        <s v="K03 (Hot) - SA - RUH - King Fahd"/>
        <s v="K13 (Hot) - SA - RUH - King Fahd"/>
        <s v="K09 (Hot) - SA - RUH - QSM"/>
        <s v="K02 (Hot) - SA - RUH - Arid (2)"/>
        <s v="K01 (Hot) - SA - KBR - Rakah"/>
        <s v="K02 (Cold) - SA - RUH - Dahrat Laban"/>
        <s v="K11 (Hot) - SA - KBR - Aqrabiya"/>
        <s v="K07 (Hot) - SA - KBR - Rakah"/>
        <s v="K11 (Hot) - SA - RUH - Wadi"/>
        <s v="K10 (Hot) - SA - RUH - Jarir"/>
        <s v="K18 (Hot) - SA - RUH - King Faisal"/>
        <s v="K21 (Hot) - SA - RUH - King Faisal"/>
        <s v="K17 (Hot) - SA - RUH - King Faisal"/>
        <s v="K20 (Hot) - SA - RUH - King Faisal"/>
        <s v="K19 (Hot) - SA - RUH - King Faisal"/>
        <s v="K04 (Cold) - SA - RUH - Wadi"/>
        <s v="K17 (Hot) - SA - DMM - Rawda"/>
        <s v="K23 (Hot) - SA - RUH - Khaleej"/>
        <s v="K14 (Hot) - SA - RUH - Aqiq"/>
        <s v="K01 (Hot) - SA - DMM - Rawda"/>
        <s v="K02 (Hot) - SA - DMM - Zuhur"/>
        <s v="K13 (Hot) - SA - DMM - Rawda"/>
        <s v="K04 (Hot) - SA - DMM - Rawda"/>
        <s v="K17 (Hot) - SA - RUH - Jarir"/>
        <s v="K20 (Hot) - SA - RUH - Jarir"/>
        <s v="K22 (Hot) - SA - RUH - Jarir"/>
        <s v="K21 (Hot) - SA - RUH - Jarir"/>
        <s v="K11 (Hot) - SA - DMM - Rawda"/>
        <s v="K13 (Cold) - SA - DMM - Zuhur"/>
        <s v="K12 (Hot) SA - RUH - Qurtoba"/>
        <s v="K04 (Hot) - SA - RUH - Dahrat Laban"/>
        <s v="K18 (Hot) - SA - RUH - Arid (2)"/>
        <s v="K05 (Hot) - SA - RUH - King Faisal"/>
        <s v="K17 (Hot) - SA - RUH - QSM"/>
        <s v="K05 (Hot) - SA - RUH - Malga 2"/>
        <s v="K03 (Hot) - SA - RUH - Jarir"/>
        <s v="K01 (Hot) - SA - RUH - Arid (2)"/>
        <s v="K36 (Cold) - BH - MAN - UAH"/>
        <s v="K01 (Cold) - SA - RUH - Wurud"/>
        <s v="K04 (Hot) - SA - RUH - King Fahd"/>
        <s v="K23 (Hot) - SA - RUH - Dahrat Laban"/>
        <s v="K25 (Hot) SA - RUH - Qurtoba"/>
        <s v="K02 (Hot) - SA - KBR - Rakah"/>
        <s v="K12 (Hot) - SA - KBR - Rakah"/>
        <s v="K13 (Hot) - SA - KBR - Rakah"/>
        <s v="K03 (Hot) - SA - RUH - Salam"/>
        <s v="K16 (Hot) - SA - RUH - Wurud"/>
        <s v="K05 (Hot) - SA - RUH - Aqiq 2"/>
        <s v="K05 (Hot) - SA - RUH - Wadi"/>
        <s v="K04 (Hot) - SA - RUH - Malga 2"/>
        <s v="K10 (Hot) - SA - KBR - Rakah"/>
        <s v="K34 (Cold) - SA - RUH - Khaleej"/>
        <s v="K18 (Hot) - SA - RUH - Jarir"/>
        <s v="K15 (Hot) - SA - KBR - Rakah"/>
        <s v="K14 (Hot) - SA - KBR - Rakah"/>
        <s v="K37 (Cold) - BH - MAN - UAH"/>
        <s v="K16 (Hot) - SA - KBR - Rakah"/>
        <s v="K17 (Hot) - SA - KBR - Rakah"/>
        <s v="K12 (Hot) - SA - RUH - Jarir"/>
        <s v="K09 (Hot) - SA - RUH - Narjis"/>
        <s v="K01 (Hot) - SA - RUH - King Fahd"/>
        <s v="K23 (Hot) - SA - RUH - King Fahd"/>
        <s v="K06 (Hot) - SA - RUH - Olaya"/>
        <s v="K05 (Hot) - SA - RUH - Olaya"/>
        <s v="K12 (Hot) - SA - RUH - Olaya"/>
        <s v="K17 (Hot) - SA - RUH - Dahrat Laban"/>
        <s v="K10 (Hot) - SA - RUH - Olaya"/>
        <s v="K01 (Hot) - SA - RUH - Aqiq 2"/>
        <s v="K01 (Hot) - SA - RUH - Olaya"/>
        <s v="K15 (Hot) - SA - RUH - Olaya"/>
        <s v="K05 (Hot) - SA - RUH - Dahrat Laban"/>
        <s v="K03 (Cold) - SA - RUH - Olaya"/>
        <s v="K08 (Cold) - SA - RUH - Dahrat Laban"/>
        <s v="K14 (Hot) - SA - RUH - Olaya"/>
        <s v="K01 (Cold) - SA - RUH - Olaya"/>
        <s v="K06 (Hot) - SA - RUH - Sweidi"/>
        <s v="K13 (Hot) - SA - RUH - Olaya"/>
        <s v="K21 (Hot) - SA - RUH - Wadi"/>
        <s v="K20 (Hot) - SA - RUH - Wadi"/>
        <s v="K10 (Hot) - SA - RUH - Wadi"/>
        <s v="K42 (Hot) - SA - RUH - Wadi"/>
        <s v="K41 (Hot) - SA - RUH - Wadi"/>
        <s v="K33 (Hot) - SA - RUH - Wadi"/>
        <s v="K32 (Hot) - SA - RUH - Wadi"/>
        <s v="K29 (Hot) - SA - RUH - Wadi"/>
        <s v="K40 (Hot) - SA - RUH - Wadi"/>
        <s v="K04 (Hot) SA - RUH - Qurtoba"/>
        <s v="K36 (Hot) - SA - RUH - Wadi"/>
        <s v="K46 (Hot) - SA - RUH - Wadi"/>
        <s v="K44 (Hot) - SA - RUH - Wadi"/>
        <s v="K35 (Hot) - SA - RUH - Wadi"/>
        <s v="K34 (Hot) - SA - RUH - Wadi"/>
        <s v="K13 (Hot) SA - RUH - Qurtoba"/>
        <s v="K20 (Hot) SA - RUH - Qurtoba"/>
        <s v="K06 (Hot) - SA - RUH - Dahrat Laban"/>
        <s v="K21 (Hot) - SA - RUH - Dahrat Laban"/>
        <s v="K10 (Hot) - SA - RUH - Dahrat Laban"/>
        <s v="K16 (Hot) - SA - RUH - Sweidi"/>
        <s v="K27 (Hot) - SA - RUH - Dahrat Laban"/>
        <s v="K26 (Hot) - SA - RUH - Dahrat Laban"/>
        <s v="K24 (Hot) - SA - RUH - Dahrat Laban"/>
        <s v="K12 (Hot)- KSA - AHS- Hofuf"/>
        <s v="K13 (Hot)- KSA - AHS- Hofuf"/>
        <s v="K15 (Hot)- KSA - AHS- Hofuf"/>
        <s v="K16 (Hot)- KSA - AHS- Hofuf"/>
        <s v="K18 (Hot)- KSA - AHS- Hofuf"/>
        <s v="K02 (Hot)- KSA - AHS- Hofuf"/>
        <s v="K06 (Hot) - SA - RUH - Aqiq 2"/>
        <s v="K04 (Hot) - SA - RUH - Aqiq 2"/>
        <s v="K07 (Hot) - SA - RUH - Aqiq 2"/>
        <s v="K13 (Hot) - SA - RUH - Aqiq 2"/>
        <s v="K12 (Hot) - SA - RUH - Aqiq 2"/>
        <s v="K20 (CPU) - KSA - AHS- Hofuf"/>
        <s v="K09 (Hot) - SA - RUH - Aqiq 2"/>
        <s v="K11 (Hot) - SA - RUH - Aqiq 2"/>
        <s v="K10 (Hot) - SA - RUH - Aqiq 2"/>
        <s v="K08 (Hot) - SA - RUH - Aqiq 2"/>
        <s v="K16 (Hot) - BH - MAN - UAH"/>
        <s v="K12 (Hot) - BH - MAN - UAH"/>
        <s v="K02 (Hot) - SA - RUH - Aqiq 2"/>
        <s v="K03 (Hot) - SA - RUH - Aqiq 2"/>
        <s v="K15 (Hot) - SA - DMM - Zuhur"/>
        <s v="K19 (Hot) - SA - DMM - Zuhur"/>
        <s v="K24 (Hot) - SA - DMM - Zuhur"/>
        <s v="K11 (Hot) - SA - KBR - Rakah"/>
        <s v="K18 (Hot) - SA - DMM - Zuhur"/>
        <s v="K17 (Hot) - SA - DMM - Zuhur"/>
        <s v="K16 (Hot) - SA - DMM - Zuhur"/>
        <s v="K09 (Hot) - SA - KBR - Rakah"/>
        <s v="K08 (Hot) - SA - KBR - Rakah"/>
        <s v="K06 (Hot) - SA - KBR - Rakah"/>
        <s v="K04 (Hot) - SA - KBR - Rakah"/>
        <s v="K05 (Hot) - SA - KBR - Rakah"/>
        <s v="K33 (Cold) - SA - RUH - Khaleej"/>
        <s v="K18 (Hot) - SA - DMM - Jamiah (2)"/>
        <s v="K19 (Hot) - SA - DMM - Jamiah (2)"/>
        <s v="K24 (Hot) - SA - RUH - Khaleej"/>
        <s v="K08 (Hot) - SA - DMM - Jamiah (2)"/>
        <s v="K09 (Hot) - SA - DMM - Jamiah (2)"/>
        <s v="K08 (Cold) SA - RUH - Qurtoba"/>
        <s v="K06 (Hot) - SA - DMM - Jamiah (2)"/>
        <s v="K07 (Hot) - SA - DMM - Jamiah (2)"/>
        <s v="K04 (Hot) - SA - DMM - Jamiah (2)"/>
        <s v="K05 (Hot) - SA - DMM - Jamiah (2)"/>
        <s v="K02 (Hot) - SA - DMM - Jamiah (2)"/>
        <s v="K03 (Hot) - SA - DMM - Jamiah (2)"/>
        <s v="K16 (Hot) - SA - DMM - Jamiah (2)"/>
        <s v="K17 (Hot) - SA - DMM - Jamiah (2)"/>
        <s v="K14 (Hot) - SA - DMM - Jamiah (2)"/>
        <s v="K15 (Hot) - SA - DMM - Jamiah (2)"/>
        <s v="K12 (Hot) - SA - DMM - Jamiah (2)"/>
        <s v="K13 (Hot) - SA - DMM - Jamiah (2)"/>
        <s v="K10 (Hot) - SA - DMM - Jamiah (2)"/>
        <s v="K11 (Hot) - SA - DMM - Jamiah (2)"/>
        <s v="K01 (Hot) - SA - DMM - Jamiah (2)"/>
        <s v="K02 (Hot) - SA - RUH - Khaleej"/>
        <s v="K17 (CPU) - SA - RUH - Al Nazim"/>
        <s v="K13 (CPU) - SA - RUH - Al Nazim"/>
        <s v="K14 (CPU) - SA - RUH - Al Nazim"/>
        <s v="K16 (CPU) - SA - RUH - Al Nazim"/>
        <s v="K09 (CPU) - SA - RUH - Al Nazim"/>
        <s v="K11 (CPU) - SA - RUH - Al Nazim"/>
        <s v="K05 (CPU) - SA - RUH - Al Nazim"/>
        <s v="K06 (CPU) - SA - RUH - Al Nazim"/>
        <s v="K07 (CPU) - SA - RUH - Al Nazim"/>
        <s v="K02 (CPU) - SA - RUH - Al Nazim"/>
        <s v="K04 (CPU) - SA - RUH - Al Nazim"/>
        <s v="K01 (CPU) - SA - RUH - Al Nazim"/>
        <s v="K14 (Hot) - SA - RUH - Narjis"/>
        <s v="K11 (Cold) - SA - RUH - Narjis"/>
        <s v="K07 (Cold) - SA - RUH - Narjis"/>
        <s v="K16 (Hot) - SA - RUH - Narjis"/>
        <s v="K18 (Hot) - SA - KBR - Aqrabiya"/>
        <s v="K19 (Hot) - SA - KBR - Aqrabiya"/>
        <s v="K21 (Hot) - SA - KBR - Aqrabiya"/>
        <s v="K12 (Hot) - SA - KBR - Aqrabiya"/>
        <s v="K14 (Hot) - SA - KBR - Aqrabiya"/>
        <s v="K13 (Hot) - SA - KBR - Aqrabiya"/>
        <s v="K07 (Hot) - SA - KBR - Aqrabiya"/>
        <s v="K08 (Hot) - SA - KBR - Aqrabiya"/>
        <s v="K02 (Hot) - SA - KBR - Aqrabiya"/>
        <s v="K04 (Hot) - SA - KBR - Aqrabiya"/>
        <s v="K07 (Hot) - SA - RUH - Salam"/>
        <s v="K01 (Hot) - SA - RUH - Salam"/>
        <s v="K10 (Hot) - SA - RUH - Salam"/>
        <s v="K19 (Hot) SA - RUH - Qurtoba"/>
        <s v="K24 (Hot) SA - RUH - Qurtoba"/>
        <s v="K14 (Hot) SA - RUH - Qurtoba"/>
        <s v="K05 (Cold) SA - RUH - Qurtoba"/>
        <s v="K06 (Hot) - SA - RUH - Arid (2)"/>
        <s v="K06 (Hot) - SA - RUH - Yasmin"/>
        <s v="K32 (Cold) - BH - MAN - UAH"/>
        <s v="K31 (Cold) - BH - MAN - UAH"/>
        <s v="K35 (Cold) - BH - MAN - UAH"/>
        <s v="K34 (Cold) - BH - MAN - UAH"/>
        <s v="K12 (CPU) - SA - RUH - Al Nazim"/>
        <s v="K08 (CPU) - SA - RUH - Al Nazim"/>
        <s v="K03 (CPU) - SA - RUH - Al Nazim"/>
        <s v="K15 (CPU) - SA - RUH - Al Nazim"/>
        <s v="K10 (CPU) - SA - RUH - Al Nazim"/>
        <s v="K14 (Hot) - SA - RUH - Malga 1"/>
        <s v="K13 (Cold) - SA - RUH - Malga 1"/>
        <s v="K15 (Hot) - SA - RUH - Malga 1"/>
        <s v="K03 (Hot) - SA - DMM - Rawda"/>
        <s v="K20 (CPU) - SA - RUH - Al Nazim"/>
        <s v="K19 (CPU) - SA - RUH - Al Nazim"/>
        <s v="K21 (CPU) - SA - RUH - Al Nazim"/>
        <s v="K22 (CPU) - SA - RUH - Al Nazim"/>
        <s v="K18 (CPU) - SA - RUH - Al Nazim"/>
        <s v="K08 (Hot) - SA - RUH - Wurud"/>
        <s v="K09 (Hot) - SA - RUH - Wurud"/>
        <s v="K15 (Hot) - SA - RUH - Wurud"/>
        <s v="K13 (Hot) - SA - RUH - Wurud"/>
        <s v="K14 (Hot) - SA - RUH - Wurud"/>
        <s v="K11 (Hot) - SA - RUH - Wurud"/>
        <s v="K12 (Hot) - SA - RUH - Wurud"/>
        <s v="K19 (Hot) - SA - RUH - Wurud"/>
        <s v="K20 (Hot) - SA - RUH - Wurud"/>
        <s v="K17 (Hot) - SA - RUH - Wurud"/>
        <s v="K18 (Hot) - SA - RUH - Wurud"/>
        <s v="K07 (Hot) - SA - RUH - Wurud"/>
        <s v="K04 (Hot) - SA - RUH - Wurud"/>
        <s v="K05 (Hot) - SA - RUH - Wurud"/>
        <s v="K02 (Cold) - SA - RUH - Wurud"/>
        <s v="K03 (Hot) - SA - RUH - Wurud"/>
        <s v="K13 (Hot) - SA - RUH - King Faisal"/>
        <s v="K06 (Hot) - SA - RUH - King Faisal"/>
        <s v="K22 (Hot) - SA - RUH - Wurud"/>
        <s v="K21 (Hot) - SA - RUH - Wurud"/>
        <s v="K12 (Hot) - SA - RUH - King Fahd"/>
        <s v="K20 (Hot) - SA - RUH - King Fahd"/>
        <s v="K14 (Hot) - SA - RUH - King Fahd"/>
        <s v="K28 (Hot) - SA - RUH - Malga 2"/>
        <s v="K15 (Hot) - SA - RUH - King Fahd"/>
        <s v="K16 (Hot) - SA - RUH - King Fahd"/>
        <s v="K10 (Hot) - SA - RUH - King Fahd"/>
        <s v="K01 (Hot) - SA - RUH - Aqiq"/>
        <s v="K04 (Hot) - SA - RUH - Aqiq"/>
        <s v="K12 (Hot) - SA - RUH - Aqiq"/>
        <s v="K10 (Hot) - SA - RUH - QSM"/>
        <s v="K05 (Hot) - SA - RUH - QSM"/>
        <s v="K04 (Cold) - SA - RUH - QSM"/>
        <s v="K07 (Hot) - SA - RUH - Jarir"/>
        <s v="K08 (Hot) - SA - RUH - Jarir"/>
        <s v="K10 (Hot) - SA - RUH - Arid (2)"/>
        <s v="K15 (Hot) - SA - RUH - Arid (2)"/>
        <s v="K08 (Hot) - SA - RUH - Arid (2)"/>
        <s v="K14 (Hot) - SA - RUH - Arid (2)"/>
        <s v="K12 (Hot) - SA - RUH - Arid (2)"/>
        <s v="K16 (Hot) - SA - RUH - QSM"/>
        <s v="K14 (Hot) - SA - RUH - QSM"/>
        <s v="K11 (Hot) - SA - RUH - QSM"/>
        <s v="K08 (Hot) - SA - RUH - QSM"/>
        <s v="K15 (Hot) - SA - RUH - QSM"/>
        <s v="K07 (Hot) - SA - RUH - QSM"/>
        <s v="K03 (CPU) - SA - RUH - QSM"/>
        <m/>
      </sharedItems>
    </cacheField>
    <cacheField name="Status" numFmtId="0">
      <sharedItems containsBlank="1">
        <m/>
        <s v="Churning"/>
        <s v="Occupied"/>
        <s v="Sold"/>
        <s v="Vacant"/>
        <s v="Blocked"/>
      </sharedItems>
    </cacheField>
    <cacheField name="Kitchen Size (Sq. Meters)" numFmtId="0">
      <sharedItems containsString="0" containsBlank="1" containsNumber="1">
        <m/>
        <n v="10.62"/>
        <n v="9.12"/>
        <n v="15.03"/>
        <n v="15.04"/>
        <n v="17.06"/>
        <n v="15.15"/>
        <n v="19.04"/>
        <n v="19.15"/>
        <n v="11.9"/>
        <n v="16.9"/>
        <n v="16.0"/>
        <n v="11.3"/>
        <n v="21.06"/>
        <n v="14.78"/>
        <n v="11.97"/>
        <n v="18.1"/>
        <n v="20.8"/>
        <n v="14.54"/>
        <n v="24.71"/>
        <n v="19.55"/>
        <n v="15.43"/>
        <n v="15.67"/>
        <n v="18.31"/>
        <n v="22.0"/>
        <n v="17.0"/>
        <n v="11.0"/>
        <n v="14.04"/>
        <n v="12.04"/>
        <n v="18.84"/>
        <n v="10.4"/>
        <n v="10.6"/>
        <n v="15.44"/>
        <n v="22.69"/>
        <n v="10.13"/>
        <n v="18.46"/>
        <n v="18.15"/>
        <n v="16.38"/>
        <n v="15.6"/>
        <n v="10.22"/>
        <n v="11.75"/>
        <n v="18.68"/>
        <n v="13.5"/>
        <n v="14.0"/>
        <n v="22.2"/>
        <n v="9.0"/>
        <n v="10.3"/>
        <n v="9.3"/>
        <n v="16.2"/>
        <n v="16.4"/>
        <n v="18.64"/>
        <n v="21.9"/>
        <n v="28.95"/>
        <n v="10.44"/>
        <n v="20.03"/>
        <n v="17.44"/>
        <n v="10.09"/>
        <n v="13.04"/>
        <n v="19.46"/>
        <n v="8.66"/>
        <n v="17.19"/>
        <n v="9.63"/>
        <n v="22.9"/>
        <n v="20.7"/>
        <n v="15.0"/>
        <n v="19.6"/>
        <n v="62.84"/>
        <n v="17.6"/>
        <n v="23.57"/>
        <n v="22.54"/>
        <n v="22.59"/>
        <n v="18.81"/>
        <n v="19.3"/>
        <n v="9.22"/>
        <n v="17.2"/>
        <n v="9.95"/>
        <n v="23.06"/>
        <n v="10.55"/>
        <n v="18.24"/>
        <n v="45.97"/>
        <n v="14.49"/>
        <n v="14.15"/>
        <n v="29.9"/>
        <n v="8.38"/>
        <n v="13.8"/>
        <n v="20.6"/>
        <n v="16.7"/>
        <n v="8.54"/>
        <n v="19.29"/>
        <n v="60.1"/>
        <n v="8.63"/>
        <n v="16.5"/>
        <n v="9.85"/>
        <n v="49.88"/>
        <n v="24.12"/>
        <n v="17.01"/>
        <n v="17.24"/>
        <n v="15.02"/>
        <n v="14.56"/>
        <n v="11.5"/>
        <n v="20.86"/>
        <n v="17.02"/>
        <n v="16.01"/>
        <n v="16.51"/>
        <n v="14.74"/>
        <n v="19.97"/>
        <n v="16.28"/>
        <n v="18.85"/>
        <n v="20.69"/>
        <n v="17.04"/>
        <n v="19.72"/>
        <n v="19.41"/>
        <n v="13.73"/>
        <n v="58.22"/>
        <n v="14.57"/>
        <n v="45.02"/>
        <n v="15.63"/>
        <n v="19.65"/>
        <n v="18.8"/>
        <n v="8.65"/>
        <n v="50.77"/>
        <n v="24.98"/>
        <n v="18.3"/>
        <n v="25.37"/>
        <n v="9.53"/>
        <n v="12.65"/>
        <n v="21.21"/>
        <n v="11.03"/>
        <n v="12.78"/>
        <n v="11.13"/>
        <n v="16.52"/>
        <n v="21.69"/>
        <n v="16.27"/>
        <n v="10.74"/>
        <n v="19.12"/>
        <n v="17.17"/>
        <n v="11.29"/>
        <n v="13.93"/>
        <n v="12.01"/>
        <n v="12.21"/>
        <n v="16.54"/>
        <n v="18.98"/>
        <n v="12.06"/>
        <n v="14.21"/>
        <n v="15.84"/>
        <n v="18.53"/>
        <n v="12.38"/>
        <n v="12.51"/>
        <n v="12.22"/>
        <n v="14.72"/>
        <n v="14.9"/>
        <n v="12.54"/>
        <n v="16.88"/>
        <n v="16.75"/>
        <n v="26.23"/>
        <n v="51.42"/>
        <n v="20.0"/>
        <n v="10.2"/>
        <n v="58.82"/>
        <n v="20.4"/>
        <n v="10.21"/>
        <n v="16.66"/>
        <n v="18.93"/>
        <n v="10.57"/>
        <n v="13.88"/>
        <n v="18.74"/>
        <n v="15.65"/>
        <n v="15.96"/>
        <n v="19.81"/>
        <n v="12.52"/>
        <n v="14.84"/>
        <n v="11.7"/>
        <n v="20.36"/>
        <n v="8.19"/>
        <n v="9.35"/>
        <n v="13.54"/>
        <n v="18.76"/>
        <n v="14.02"/>
        <n v="14.24"/>
        <n v="15.05"/>
        <n v="20.95"/>
        <n v="18.11"/>
        <n v="7.0"/>
        <n v="17.7"/>
        <n v="21.32"/>
        <n v="19.26"/>
        <n v="10.26"/>
        <n v="14.71"/>
        <n v="12.2"/>
        <n v="13.0"/>
        <n v="8.94"/>
        <n v="23.3"/>
        <n v="9.05"/>
        <n v="10.01"/>
        <n v="7.67"/>
        <n v="17.54"/>
        <n v="18.58"/>
        <n v="14.16"/>
        <n v="11.61"/>
        <n v="20.1"/>
        <n v="12.7"/>
        <n v="17.89"/>
        <n v="23.93"/>
        <n v="15.47"/>
        <n v="14.55"/>
        <n v="18.39"/>
        <n v="27.89"/>
        <n v="12.92"/>
        <n v="21.27"/>
        <n v="16.41"/>
        <n v="9.51"/>
        <n v="13.07"/>
        <n v="16.44"/>
        <n v="15.5"/>
        <n v="15.21"/>
        <n v="23.29"/>
        <n v="13.52"/>
        <n v="16.29"/>
        <n v="20.02"/>
        <n v="23.33"/>
        <n v="17.4"/>
        <n v="8.88"/>
        <n v="11.52"/>
        <n v="16.12"/>
        <n v="22.83"/>
        <n v="23.98"/>
        <n v="10.76"/>
        <n v="16.76"/>
        <n v="7.1"/>
        <n v="22.06"/>
        <n v="10.66"/>
        <n v="8.45"/>
        <n v="19.84"/>
        <n v="10.0"/>
        <n v="7.98"/>
        <n v="12.02"/>
        <n v="20.46"/>
        <n v="12.98"/>
        <n v="17.05"/>
        <n v="13.03"/>
        <n v="14.73"/>
        <n v="12.05"/>
        <n v="16.71"/>
        <n v="11.28"/>
        <n v="17.1"/>
        <n v="25.3"/>
        <n v="22.01"/>
        <n v="20.49"/>
        <n v="14.67"/>
        <n v="18.26"/>
        <n v="46.17"/>
        <n v="13.7"/>
        <n v="22.68"/>
        <n v="44.88"/>
        <n v="22.77"/>
        <n v="13.4"/>
        <n v="9.99"/>
        <n v="9.2"/>
        <n v="15.36"/>
        <n v="18.0"/>
        <n v="9.88"/>
        <n v="8.8"/>
        <n v="9.32"/>
        <n v="12.48"/>
        <n v="12.28"/>
        <n v="16.31"/>
        <n v="16.98"/>
        <n v="17.58"/>
        <n v="18.51"/>
        <n v="19.17"/>
        <n v="23.05"/>
        <n v="8.0"/>
        <n v="18.08"/>
        <n v="10.92"/>
        <n v="20.32"/>
        <n v="21.94"/>
        <n v="18.91"/>
        <n v="15.4"/>
        <n v="15.1"/>
        <n v="17.8"/>
        <n v="18.96"/>
        <n v="15.3"/>
        <n v="37.4"/>
        <n v="10.15"/>
        <n v="13.56"/>
        <n v="22.1"/>
        <n v="17.93"/>
        <n v="15.35"/>
        <n v="11.26"/>
        <n v="19.08"/>
        <n v="8.47"/>
        <n v="10.41"/>
        <n v="10.46"/>
        <n v="24.65"/>
        <n v="17.92"/>
        <n v="15.59"/>
        <n v="26.91"/>
        <n v="15.88"/>
        <n v="15.64"/>
        <n v="15.19"/>
        <n v="11.21"/>
        <n v="16.36"/>
        <n v="15.97"/>
        <n v="10.28"/>
        <n v="26.07"/>
        <n v="16.08"/>
        <n v="42.41"/>
        <n v="19.18"/>
        <n v="9.33"/>
        <n v="11.81"/>
        <n v="13.72"/>
        <n v="14.38"/>
        <n v="19.92"/>
        <n v="15.62"/>
        <n v="25.87"/>
        <n v="21.0"/>
        <n v="23.22"/>
        <n v="23.01"/>
        <n v="52.23"/>
        <n v="16.05"/>
        <n v="41.59"/>
        <n v="13.53"/>
        <n v="10.23"/>
        <n v="18.79"/>
        <n v="9.23"/>
        <n v="10.96"/>
        <n v="13.42"/>
        <n v="19.77"/>
        <n v="14.5"/>
        <n v="34.12"/>
        <n v="25.48"/>
        <n v="40.31"/>
        <n v="40.65"/>
        <n v="34.13"/>
        <n v="45.93"/>
        <n v="10.93"/>
        <n v="8.39"/>
        <n v="20.59"/>
        <n v="15.07"/>
        <n v="22.86"/>
        <n v="9.21"/>
        <n v="58.23"/>
        <n v="9.57"/>
        <n v="23.4"/>
        <n v="14.58"/>
        <n v="11.16"/>
        <n v="18.21"/>
        <n v="23.65"/>
        <n v="18.27"/>
        <n v="22.16"/>
        <n v="22.91"/>
        <n v="19.25"/>
        <n v="17.9"/>
        <n v="22.02"/>
        <n v="29.4"/>
        <n v="43.9"/>
        <n v="19.38"/>
        <n v="13.64"/>
        <n v="14.91"/>
        <n v="11.04"/>
        <n v="13.02"/>
        <n v="16.6"/>
        <n v="17.91"/>
        <n v="26.17"/>
        <n v="21.45"/>
        <n v="29.28"/>
        <n v="20.93"/>
        <n v="42.02"/>
        <n v="11.1"/>
        <n v="9.94"/>
        <n v="11.89"/>
        <n v="16.07"/>
        <n v="21.6"/>
        <n v="11.98"/>
        <n v="14.85"/>
        <n v="13.34"/>
        <n v="15.57"/>
        <n v="15.29"/>
        <n v="35.04"/>
        <n v="35.88"/>
        <n v="15.01"/>
        <n v="48.02"/>
        <n v="20.18"/>
        <n v="14.68"/>
        <n v="11.47"/>
        <n v="19.71"/>
        <n v="47.05"/>
        <n v="16.18"/>
        <n v="19.39"/>
        <n v="15.66"/>
        <n v="18.75"/>
        <n v="11.92"/>
        <n v="22.76"/>
        <n v="13.19"/>
        <n v="16.03"/>
        <n v="21.7"/>
        <n v="88.9"/>
        <n v="25.68"/>
        <n v="13.13"/>
        <n v="10.05"/>
        <n v="16.45"/>
        <n v="10.71"/>
        <n v="15.53"/>
        <n v="12.41"/>
        <n v="8.85"/>
        <n v="18.02"/>
        <n v="17.72"/>
        <n v="22.44"/>
        <n v="27.03"/>
        <n v="7.4"/>
        <n v="21.44"/>
        <n v="15.99"/>
        <n v="17.14"/>
        <n v="15.83"/>
        <n v="49.0"/>
        <n v="49.2"/>
        <n v="45.73"/>
        <n v="16.09"/>
        <n v="19.62"/>
        <n v="13.05"/>
        <n v="21.29"/>
        <n v="24.53"/>
        <n v="12.59"/>
        <n v="22.04"/>
        <n v="14.08"/>
        <n v="17.08"/>
        <n v="19.53"/>
        <n v="12.4"/>
        <n v="10.38"/>
        <n v="13.41"/>
        <n v="22.12"/>
        <n v="17.12"/>
        <n v="10.65"/>
        <n v="27.2"/>
        <n v="21.2"/>
        <n v="19.54"/>
        <n v="21.25"/>
        <n v="22.07"/>
        <n v="17.5"/>
        <n v="11.84"/>
        <n v="17.37"/>
        <n v="19.31"/>
        <n v="22.26"/>
        <n v="25.32"/>
        <n v="23.49"/>
        <n v="17.59"/>
        <n v="19.8"/>
        <n v="17.3"/>
        <n v="15.9"/>
        <n v="6.5"/>
        <n v="7.2"/>
        <n v="19.4"/>
        <n v="19.5"/>
        <n v="28.54"/>
        <n v="19.7"/>
        <n v="12.9"/>
        <n v="14.52"/>
        <n v="18.12"/>
        <n v="13.75"/>
        <n v="16.35"/>
        <n v="16.21"/>
        <n v="14.82"/>
        <n v="22.33"/>
        <n v="17.22"/>
        <n v="60.33"/>
        <n v="22.08"/>
        <n v="19.06"/>
        <n v="15.18"/>
        <n v="17.39"/>
        <n v="20.78"/>
        <n v="21.52"/>
        <n v="13.32"/>
        <n v="21.51"/>
        <n v="19.16"/>
        <n v="14.19"/>
        <n v="13.15"/>
        <n v="15.13"/>
        <n v="19.87"/>
        <n v="20.41"/>
        <n v="19.42"/>
        <n v="20.24"/>
        <n v="26.0"/>
        <n v="20.16"/>
        <n v="14.92"/>
        <n v="22.28"/>
        <n v="22.13"/>
        <n v="14.22"/>
        <n v="52.93"/>
        <n v="49.94"/>
        <n v="49.77"/>
        <n v="52.88"/>
        <n v="52.68"/>
        <n v="51.32"/>
        <n v="51.56"/>
        <n v="49.81"/>
        <n v="49.75"/>
        <n v="51.29"/>
        <n v="19.11"/>
        <n v="10.67"/>
        <n v="8.7"/>
        <n v="21.13"/>
        <n v="8.99"/>
        <n v="23.41"/>
        <n v="14.99"/>
        <n v="16.13"/>
        <n v="15.34"/>
        <n v="14.33"/>
        <n v="13.83"/>
        <n v="19.74"/>
        <n v="49.89"/>
        <n v="51.34"/>
        <n v="18.33"/>
        <n v="52.0"/>
        <n v="52.96"/>
        <n v="52.72"/>
        <n v="20.45"/>
        <n v="13.17"/>
        <n v="16.23"/>
        <n v="15.16"/>
        <n v="19.76"/>
        <n v="18.92"/>
        <n v="8.72"/>
        <n v="15.38"/>
        <n v="15.37"/>
        <n v="13.21"/>
        <n v="12.3"/>
        <n v="16.95"/>
        <n v="19.21"/>
        <n v="14.46"/>
        <n v="12.39"/>
        <n v="14.66"/>
        <n v="19.28"/>
        <n v="9.42"/>
        <n v="15.08"/>
        <n v="17.03"/>
        <n v="19.36"/>
        <n v="15.12"/>
        <n v="10.69"/>
        <n v="15.27"/>
        <n v="45.37"/>
      </sharedItems>
    </cacheField>
    <cacheField name="Hood Size" numFmtId="0">
      <sharedItems containsBlank="1">
        <s v="NA"/>
        <s v="Cold"/>
        <s v="2.4m"/>
        <s v="2.4m Hood"/>
        <s v="3.0m Hood"/>
        <s v="2.0m"/>
        <s v="3.0m"/>
        <s v="4.0m"/>
        <s v="N/A"/>
        <s v="4.0m hood"/>
        <s v="4.0 m hood"/>
        <m/>
        <s v="3m"/>
        <s v="4m"/>
        <s v="2.4 m"/>
      </sharedItems>
    </cacheField>
    <cacheField name="Floor Price" numFmtId="0">
      <sharedItems containsString="0" containsBlank="1" containsNumber="1">
        <n v="1666.66"/>
        <n v="5100.0"/>
        <n v="3551.0"/>
        <n v="6400.0"/>
        <n v="6430.0"/>
        <n v="6861.0"/>
        <n v="7300.0"/>
        <n v="5148.0"/>
        <n v="6437.0"/>
        <n v="6008.0"/>
        <n v="3229.0"/>
        <n v="2975.44"/>
        <n v="2482.0"/>
        <n v="8592.0"/>
        <n v="7096.0"/>
        <n v="7514.0"/>
        <n v="4799.0"/>
        <n v="4666.0"/>
        <n v="4750.0"/>
        <n v="3944.0"/>
        <n v="4250.0"/>
        <n v="4990.0"/>
        <n v="6090.0"/>
        <n v="5731.0"/>
        <n v="3580.0"/>
        <n v="6000.0"/>
        <n v="3900.0"/>
        <n v="6200.0"/>
        <n v="3257.0"/>
        <n v="3150.0"/>
        <n v="4150.0"/>
        <n v="1900.0"/>
        <n v="3500.0"/>
        <n v="6250.0"/>
        <n v="3563.0"/>
        <n v="5494.0"/>
        <n v="4173.0"/>
        <n v="4684.0"/>
        <n v="6230.0"/>
        <n v="4650.0"/>
        <n v="8349.0"/>
        <n v="3100.0"/>
        <n v="1652.0"/>
        <n v="5700.0"/>
        <n v="6345.0"/>
        <n v="4973.0"/>
        <n v="2542.0"/>
        <n v="6499.0"/>
        <n v="2490.0"/>
        <n v="3113.0"/>
        <n v="6648.0"/>
        <n v="2885.0"/>
        <n v="3194.0"/>
        <n v="6867.0"/>
        <n v="5150.0"/>
        <n v="7150.0"/>
        <n v="5490.0"/>
        <n v="4000.0"/>
        <n v="5600.0"/>
        <n v="3400.0"/>
        <n v="5516.0"/>
        <n v="2838.0"/>
        <n v="8300.0"/>
        <n v="1822.08"/>
        <n v="4500.0"/>
        <n v="4851.0"/>
        <n v="10857.0"/>
        <n v="5091.0"/>
        <n v="5436.0"/>
        <n v="6500.0"/>
        <n v="5323.0"/>
        <n v="1995.0"/>
        <n v="2160.0"/>
        <n v="2142.0"/>
        <n v="5542.5"/>
        <n v="8000.0"/>
        <n v="4350.0"/>
        <n v="3750.0"/>
        <n v="4038.0"/>
        <n v="4359.0"/>
        <n v="2125.0"/>
        <n v="3188.0"/>
        <n v="4463.0"/>
        <n v="2100.0"/>
        <n v="7250.0"/>
        <n v="1488.0"/>
        <n v="3392.0"/>
        <n v="3612.0"/>
        <n v="3825.0"/>
        <n v="2974.0"/>
        <n v="2763.0"/>
        <n v="3950.0"/>
        <n v="4215.0"/>
        <n v="9022.0"/>
        <n v="7320.0"/>
        <n v="6600.0"/>
        <n v="2600.0"/>
        <n v="6900.0"/>
        <n v="4900.0"/>
        <n v="5285.0"/>
        <n v="4188.0"/>
        <n v="6771.0"/>
        <n v="6445.0"/>
        <n v="7200.0"/>
        <n v="3529.0"/>
        <n v="550.0"/>
        <n v="5680.0"/>
        <n v="5250.0"/>
        <n v="5900.0"/>
        <n v="6700.0"/>
        <n v="450.0"/>
        <n v="2000.0"/>
        <n v="5350.0"/>
        <n v="600.0"/>
        <n v="500.0"/>
        <n v="400.0"/>
        <n v="6949.0"/>
        <n v="4171.0"/>
        <n v="2376.0"/>
        <n v="1892.0"/>
        <n v="4039.0"/>
        <n v="4275.0"/>
        <n v="3086.0"/>
        <n v="1500.0"/>
        <n v="4575.0"/>
        <n v="2921.0"/>
        <n v="4988.0"/>
        <n v="4489.0"/>
        <n v="1999.0"/>
        <n v="6678.0"/>
        <n v="2800.0"/>
        <n v="5767.0"/>
        <n v="1990.0"/>
        <n v="4563.0"/>
        <n v="3600.0"/>
        <n v="5096.0"/>
        <n v="7700.0"/>
        <n v="10800.0"/>
        <n v="6601.0"/>
        <n v="3199.0"/>
        <n v="4667.0"/>
        <n v="6563.0"/>
        <n v="5578.0"/>
        <n v="6938.0"/>
        <n v="3700.0"/>
        <n v="7800.0"/>
        <n v="2990.0"/>
        <n v="4511.0"/>
        <n v="513.0"/>
        <n v="4125.0"/>
        <n v="4001.0"/>
        <n v="433.0"/>
        <n v="4118.4"/>
        <n v="5850.0"/>
        <n v="4576.0"/>
        <n v="5408.0"/>
        <n v="3050.0"/>
        <n v="3799.0"/>
        <n v="3049.0"/>
        <n v="4913.0"/>
        <n v="3401.0"/>
        <n v="6454.0"/>
        <n v="3888.56"/>
        <n v="6800.0"/>
        <n v="7900.0"/>
        <n v="10000.0"/>
        <n v="6050.0"/>
        <n v="1706.0"/>
        <n v="3323.0"/>
        <n v="245.0"/>
        <n v="4700.0"/>
        <n v="4200.0"/>
        <n v="9500.0"/>
        <n v="9000.0"/>
        <n v="4242.0"/>
        <n v="4348.5"/>
        <n v="8400.0"/>
        <n v="5765.76"/>
        <n v="7400.0"/>
        <n v="5000.0"/>
        <n v="4400.0"/>
        <n v="5300.0"/>
        <n v="4760.0"/>
        <n v="7000.0"/>
        <n v="2948.0"/>
        <n v="2753.0"/>
        <m/>
      </sharedItems>
    </cacheField>
    <cacheField name="List Price" numFmtId="0">
      <sharedItems containsString="0" containsBlank="1" containsNumber="1" containsInteger="1">
        <n v="2250.0"/>
        <n v="6150.0"/>
        <n v="4100.0"/>
        <n v="7700.0"/>
        <n v="6450.0"/>
        <n v="6900.0"/>
        <n v="7300.0"/>
        <n v="7250.0"/>
        <n v="9050.0"/>
        <n v="8450.0"/>
        <n v="2750.0"/>
        <n v="2400.0"/>
        <n v="3600.0"/>
        <n v="9500.0"/>
        <n v="7100.0"/>
        <n v="7550.0"/>
        <n v="6750.0"/>
        <n v="4700.0"/>
        <n v="5700.0"/>
        <n v="5750.0"/>
        <n v="4900.0"/>
        <n v="8550.0"/>
        <n v="8050.0"/>
        <n v="5050.0"/>
        <n v="7200.0"/>
        <n v="5100.0"/>
        <n v="8100.0"/>
        <n v="4600.0"/>
        <n v="3800.0"/>
        <n v="5000.0"/>
        <n v="2300.0"/>
        <n v="4200.0"/>
        <n v="8150.0"/>
        <n v="4300.0"/>
        <n v="5850.0"/>
        <n v="6600.0"/>
        <n v="5400.0"/>
        <n v="6050.0"/>
        <n v="8350.0"/>
        <n v="4050.0"/>
        <n v="7450.0"/>
        <n v="8900.0"/>
        <n v="2550.0"/>
        <n v="7800.0"/>
        <n v="2900.0"/>
        <n v="4550.0"/>
        <n v="9000.0"/>
        <n v="3900.0"/>
        <n v="4500.0"/>
        <n v="9650.0"/>
        <n v="6700.0"/>
        <n v="8600.0"/>
        <n v="6350.0"/>
        <n v="4800.0"/>
        <n v="5600.0"/>
        <n v="5550.0"/>
        <n v="3450.0"/>
        <n v="9550.0"/>
        <n v="1500.0"/>
        <n v="3850.0"/>
        <n v="10900.0"/>
        <n v="7350.0"/>
        <n v="7500.0"/>
        <n v="1700.0"/>
        <n v="4450.0"/>
        <n v="10400.0"/>
        <n v="5250.0"/>
        <n v="2350.0"/>
        <n v="3550.0"/>
        <n v="5650.0"/>
        <n v="4950.0"/>
        <n v="2100.0"/>
        <n v="9450.0"/>
        <n v="1650.0"/>
        <n v="3750.0"/>
        <n v="4000.0"/>
        <n v="4250.0"/>
        <n v="3300.0"/>
        <n v="3050.0"/>
        <n v="4750.0"/>
        <n v="4650.0"/>
        <n v="9950.0"/>
        <n v="3250.0"/>
        <n v="6650.0"/>
        <n v="8650.0"/>
        <n v="5150.0"/>
        <n v="440.0"/>
        <n v="6550.0"/>
        <n v="6850.0"/>
        <n v="8750.0"/>
        <n v="360.0"/>
        <n v="2000.0"/>
        <n v="6200.0"/>
        <n v="480.0"/>
        <n v="400.0"/>
        <n v="320.0"/>
        <n v="2050.0"/>
        <n v="4850.0"/>
        <n v="1800.0"/>
        <n v="5500.0"/>
        <n v="3400.0"/>
        <n v="7000.0"/>
        <n v="6950.0"/>
        <n v="3700.0"/>
        <n v="9250.0"/>
        <n v="13000.0"/>
        <n v="3150.0"/>
        <n v="7850.0"/>
        <n v="10150.0"/>
        <n v="5450.0"/>
        <n v="415.0"/>
        <m/>
        <n v="350.0"/>
        <n v="8200.0"/>
        <n v="7900.0"/>
        <n v="14000.0"/>
        <n v="2850.0"/>
        <n v="200.0"/>
        <n v="4400.0"/>
        <n v="7150.0"/>
        <n v="10450.0"/>
        <n v="9900.0"/>
        <n v="3500.0"/>
        <n v="8700.0"/>
        <n v="7400.0"/>
        <n v="6500.0"/>
        <n v="4150.0"/>
      </sharedItems>
    </cacheField>
    <cacheField name="Activation Fee" numFmtId="0">
      <sharedItems containsString="0" containsBlank="1" containsNumber="1" containsInteger="1">
        <m/>
        <n v="4350.0"/>
        <n v="6200.0"/>
        <n v="7750.0"/>
        <n v="7300.0"/>
        <n v="3900.0"/>
        <n v="3500.0"/>
        <n v="3000.0"/>
        <n v="10350.0"/>
        <n v="8550.0"/>
        <n v="9100.0"/>
        <n v="5800.0"/>
        <n v="5650.0"/>
        <n v="5700.0"/>
        <n v="4750.0"/>
        <n v="5100.0"/>
        <n v="6000.0"/>
        <n v="7350.0"/>
        <n v="6900.0"/>
        <n v="4000.0"/>
        <n v="3700.0"/>
        <n v="4800.0"/>
        <n v="2300.0"/>
        <n v="4100.0"/>
        <n v="7500.0"/>
        <n v="4450.0"/>
        <n v="6600.0"/>
        <n v="5050.0"/>
        <n v="5400.0"/>
        <n v="10050.0"/>
        <n v="3600.0"/>
        <n v="2050.0"/>
        <n v="7650.0"/>
        <n v="3100.0"/>
        <n v="7800.0"/>
        <n v="3800.0"/>
        <n v="8000.0"/>
        <n v="3850.0"/>
        <n v="8300.0"/>
        <n v="8600.0"/>
        <n v="6500.0"/>
        <n v="6700.0"/>
        <n v="3450.0"/>
        <n v="10000.0"/>
        <n v="5900.0"/>
        <n v="13100.0"/>
        <n v="6150.0"/>
        <n v="6550.0"/>
        <n v="6450.0"/>
        <n v="3550.0"/>
        <n v="7200.0"/>
        <n v="4900.0"/>
        <n v="5300.0"/>
        <n v="2600.0"/>
        <n v="2400.0"/>
        <n v="4500.0"/>
        <n v="8700.0"/>
        <n v="1800.0"/>
        <n v="4400.0"/>
        <n v="4650.0"/>
        <n v="3400.0"/>
        <n v="4600.0"/>
        <n v="10900.0"/>
        <n v="10400.0"/>
        <n v="8200.0"/>
        <n v="4300.0"/>
        <n v="6850.0"/>
        <n v="6300.0"/>
        <n v="7100.0"/>
        <n v="8050.0"/>
        <n v="3750.0"/>
        <n v="8850.0"/>
        <n v="5200.0"/>
        <n v="3250.0"/>
        <n v="7000.0"/>
        <n v="6750.0"/>
        <n v="2200.0"/>
        <n v="5500.0"/>
        <n v="5950.0"/>
        <n v="7050.0"/>
        <n v="5000.0"/>
        <n v="2700.0"/>
        <n v="4200.0"/>
        <n v="3300.0"/>
      </sharedItems>
    </cacheField>
    <cacheField name="Opportunity ID 18" numFmtId="0">
      <sharedItems containsBlank="1">
        <m/>
        <s v="006VO00000TRgP3YAL"/>
        <s v="006VO00000dcowbYAA"/>
        <s v="006VO00000eOAaHYAW"/>
        <s v="0065G00000aCkVTQA0"/>
        <s v="0065G00000aCkVdQAK"/>
        <s v="0065G00000dMtwTQAS"/>
        <s v="0065G00000dOim7QAC"/>
        <s v="0065G00000dOswMQAS"/>
        <s v="0065G00000j3SK4QAM"/>
        <s v="0065G00000j4E5KQAU"/>
        <s v="0065G00000j6v2FQAQ"/>
        <s v="0065G00000mU6CvQAK"/>
        <s v="0065G00000nbKblQAE"/>
        <s v="0066T00001844JJQAY"/>
        <s v="0066T0000184tJ4QAI"/>
        <s v="0066T000018b7rkQAA"/>
        <s v="0066T000018bDNxQAM"/>
        <s v="0066T000018bs7UQAQ"/>
        <s v="0066T000019ERjEQAW"/>
        <s v="0066T000019FA3mQAG"/>
        <s v="0066T000019GB3vQAG"/>
        <s v="0066T000019HDVhQAO"/>
        <s v="0066T00001A4pZpQAJ"/>
        <s v="0066T00001A5klCQAR"/>
        <s v="0066T00001AsHoJQAV"/>
        <s v="0066T00001AsrQ5QAJ"/>
        <s v="0066T00001AuxztQAB"/>
        <s v="0066T00001BPrRZQA1"/>
        <s v="0066T00001BSjcOQAT"/>
        <s v="0066T00001BT9j8QAD"/>
        <s v="0066T00001BTUCuQAP"/>
        <s v="0066T00001Be6onQAB"/>
        <s v="0066T00001Be6p2QAB"/>
        <s v="0066T00001BfcSZQAZ"/>
        <s v="0066T00001BfcU6QAJ"/>
        <s v="0066T00001Bz180QAB"/>
        <s v="0066T00001BzizMQAR"/>
        <s v="0066T00001CHTH7QAP"/>
        <s v="0066T00001CHXrEQAX"/>
        <s v="0066T00001CsjWgQAJ"/>
        <s v="0066T00001Ct91EQAR"/>
        <s v="0066T00001CtK2vQAF"/>
        <s v="0066T00001CtaGGQAZ"/>
        <s v="0066T00001CtbF1QAJ"/>
        <s v="0066T00001D6yzEQAR"/>
        <s v="0066T00001D6z16QAB"/>
        <s v="0066T00001EOEjNQAX"/>
        <s v="0066T00001EOEkaQAH"/>
        <s v="0066T00001EOEkpQAH"/>
        <s v="0066T00001EPCEIQA5"/>
        <s v="0066T00001EPCHCQA5"/>
        <s v="0066T00001EPOodQAH"/>
        <s v="006VO000001PmaLYAS"/>
        <s v="006VO000001TBZ1YAO"/>
        <s v="006VO000001W04MYAS"/>
        <s v="006VO000001ifmsYAA"/>
        <s v="006VO000002IsQcYAK"/>
        <s v="006VO000002JXTlYAO"/>
        <s v="006VO000002ZwBGYA0"/>
        <s v="006VO000002cMfvYAE"/>
        <s v="006VO000003GDSdYAO"/>
        <s v="006VO000003nvrUYAQ"/>
        <s v="006VO000003q0jlYAA"/>
        <s v="006VO0000040d78YAA"/>
        <s v="006VO0000041JMWYA2"/>
        <s v="006VO0000041PQJYA2"/>
        <s v="006VO0000041ROtYAM"/>
        <s v="006VO0000041UF0YAM"/>
        <s v="006VO0000041Wd5YAE"/>
        <s v="006VO0000041WtCYAU"/>
        <s v="006VO0000041YqTYAU"/>
        <s v="006VO0000041aFaYAI"/>
        <s v="006VO0000041dcxYAA"/>
        <s v="006VO0000041deYYAQ"/>
        <s v="006VO0000041fhxYAA"/>
        <s v="006VO0000041fjZYAQ"/>
        <s v="006VO0000041fmnYAA"/>
        <s v="006VO0000041frdYAA"/>
        <s v="006VO0000041furYAA"/>
        <s v="006VO0000041fy5YAA"/>
        <s v="006VO0000041g2vYAA"/>
        <s v="006VO0000041g7lYAA"/>
        <s v="006VO0000041gAzYAI"/>
        <s v="006VO0000041gKfYAI"/>
        <s v="006VO0000041gNtYAI"/>
        <s v="006VO000004BOl0YAG"/>
        <s v="006VO000004IMmAYAW"/>
        <s v="006VO000004TtutYAC"/>
        <s v="006VO000004WcHZYA0"/>
        <s v="006VO000004h42rYAA"/>
        <s v="006VO000005n9YjYAI"/>
        <s v="006VO000005vzdNYAQ"/>
        <s v="006VO000005xIcLYAU"/>
        <s v="006VO0000067D9zYAE"/>
        <s v="006VO000006amkEYAQ"/>
        <s v="006VO0000081wDRYAY"/>
        <s v="006VO0000089DUVYA2"/>
        <s v="006VO000008DeHbYAK"/>
        <s v="006VO000008JNfRYAW"/>
        <s v="006VO000008NrqEYAS"/>
        <s v="006VO000008jEzuYAE"/>
        <s v="006VO000008v7RaYAI"/>
        <s v="006VO000008v90MYAQ"/>
        <s v="006VO000008vBWpYAM"/>
        <s v="006VO000008vCHZYA2"/>
        <s v="006VO000008vD2RYAU"/>
        <s v="006VO000008vE1eYAE"/>
        <s v="006VO000008vFTyYAM"/>
        <s v="006VO000008vFfGYAU"/>
        <s v="006VO000008vG1qYAE"/>
        <s v="006VO000008vGD7YAM"/>
        <s v="006VO000008vGHyYAM"/>
        <s v="006VO000008vGQ1YAM"/>
        <s v="006VO000008vGWTYA2"/>
        <s v="006VO000008vGhlYAE"/>
        <s v="006VO000008vGrRYAU"/>
        <s v="006VO000008vGufYAE"/>
        <s v="006VO000008vH17YAE"/>
        <s v="006VO000008vH2jYAE"/>
        <s v="006VO000008vH7aYAE"/>
        <s v="006VO000008vHAnYAM"/>
        <s v="006VO000008vHFdYAM"/>
        <s v="006VO0000090ZgYYAU"/>
        <s v="006VO0000093fcXYAQ"/>
        <s v="006VO0000096TAFYA2"/>
        <s v="006VO000009IM06YAG"/>
        <s v="006VO000009LDTLYA4"/>
        <s v="006VO000009Yss2YAC"/>
        <s v="006VO000009ckHZYAY"/>
        <s v="006VO00000A2zWIYAZ"/>
        <s v="006VO00000A7jfNYAR"/>
        <s v="006VO00000ANGmHYAX"/>
        <s v="006VO00000AmfuNYAR"/>
        <s v="006VO00000Amo9dYAB"/>
        <s v="006VO00000Ar2h3YAB"/>
        <s v="006VO00000AuOI1YAN"/>
        <s v="006VO00000BCVRWYA5"/>
        <s v="006VO00000BnMPGYA3"/>
        <s v="006VO00000C1saZYAR"/>
        <s v="006VO00000CIPIyYAP"/>
        <s v="006VO00000CISdFYAX"/>
        <s v="006VO00000CJyj7YAD"/>
        <s v="006VO00000CJypeYAD"/>
        <s v="006VO00000CKC2yYAH"/>
        <s v="006VO00000CKEO5YAP"/>
        <s v="006VO00000CKEvxYAH"/>
        <s v="006VO00000CKFyVYAX"/>
        <s v="006VO00000CKGPtYAP"/>
        <s v="006VO00000CKGRVYA5"/>
        <s v="006VO00000CKGcnYAH"/>
        <s v="006VO00000CKd4jYAD"/>
        <s v="006VO00000CKdPhYAL"/>
        <s v="006VO00000CNtRVYA1"/>
        <s v="006VO00000CNySoYAL"/>
        <s v="006VO00000CO0BFYA1"/>
        <s v="006VO00000CO54TYAT"/>
        <s v="006VO00000CO5VtYAL"/>
        <s v="006VO00000CONmBYAX"/>
        <s v="006VO00000COO5XYAX"/>
        <s v="006VO00000CReFNYA1"/>
        <s v="006VO00000CWJILYA5"/>
        <s v="006VO00000DO6RNYA1"/>
        <s v="006VO00000EBq6VYAT"/>
        <s v="006VO00000EjkUrYAJ"/>
        <s v="006VO00000EnQu9YAF"/>
        <s v="006VO00000Erz3hYAB"/>
        <s v="006VO00000EvYJRYA3"/>
        <s v="006VO00000Eyu5hYAB"/>
        <s v="006VO00000F7hArYAJ"/>
        <s v="006VO00000F7l9dYAB"/>
        <s v="006VO00000FD8ITYA1"/>
        <s v="006VO00000FDQk2YAH"/>
        <s v="006VO00000FWVMcYAP"/>
        <s v="006VO00000FZkLvYAL"/>
        <s v="006VO00000FaDnhYAF"/>
        <s v="006VO00000FtXynYAF"/>
        <s v="006VO00000Fws4FYAR"/>
        <s v="006VO00000FwsNaYAJ"/>
        <s v="006VO00000Fwwm9YAB"/>
        <s v="006VO00000FwwsbYAB"/>
        <s v="006VO00000FwwuDYAR"/>
        <s v="006VO00000FwwxRYAR"/>
        <s v="006VO00000Fwx0fYAB"/>
        <s v="006VO00000FxGJRYA3"/>
        <s v="006VO00000FxT70YAF"/>
        <s v="006VO00000GnwmPYAR"/>
        <s v="006VO00000H32I1YAJ"/>
        <s v="006VO00000H6RgTYAV"/>
        <s v="006VO00000HAz0QYAT"/>
        <s v="006VO00000Hh97tYAB"/>
        <s v="006VO00000HiYx3YAF"/>
        <s v="006VO00000Ht8CsYAJ"/>
        <s v="006VO00000I1cVWYAZ"/>
        <s v="006VO00000IClIZYA1"/>
        <s v="006VO00000IDriUYAT"/>
        <s v="006VO00000IOQmzYAH"/>
        <s v="006VO00000ISF3NYAX"/>
        <s v="006VO00000ISZrhYAH"/>
        <s v="006VO00000IWi6nYAD"/>
        <s v="006VO00000IacSbYAJ"/>
        <s v="006VO00000Ik4B8YAJ"/>
        <s v="006VO00000Ik5okYAB"/>
        <s v="006VO00000Ik6KzYAJ"/>
        <s v="006VO00000Ik6MbYAJ"/>
        <s v="006VO00000Ik6RRYAZ"/>
        <s v="006VO00000Ik6T3YAJ"/>
        <s v="006VO00000Ik6WHYAZ"/>
        <s v="006VO00000Ik6fxYAB"/>
        <s v="006VO00000Ik72XYAR"/>
        <s v="006VO00000Ik75lYAB"/>
        <s v="006VO00000Ik7AbYAJ"/>
        <s v="006VO00000Ik7P7YAJ"/>
        <s v="006VO00000IkAGXYA3"/>
        <s v="006VO00000IlgO2YAJ"/>
        <s v="006VO00000Imo9pYAB"/>
        <s v="006VO00000Iq4WbYAJ"/>
        <s v="006VO00000Iq4nIYAR"/>
        <s v="006VO00000JC1yHYAT"/>
        <s v="006VO00000JCAofYAH"/>
        <s v="006VO00000JCCGzYAP"/>
        <s v="006VO00000JCEPIYA5"/>
        <s v="006VO00000JFBxuYAH"/>
        <s v="006VO00000JNWicYAH"/>
        <s v="006VO00000JNhirYAD"/>
        <s v="006VO00000JNhnhYAD"/>
        <s v="006VO00000JT1sXYAT"/>
        <s v="006VO00000JYHTxYAP"/>
        <s v="006VO00000JiV5BYAV"/>
        <s v="006VO00000Jiy7CYAR"/>
        <s v="006VO00000JoFH3YAN"/>
        <s v="006VO00000KBi77YAD"/>
        <s v="006VO00000KEeA9YAL"/>
        <s v="006VO00000KIerXYAT"/>
        <s v="006VO00000KN305YAD"/>
        <s v="006VO00000KWTg6YAH"/>
        <s v="006VO00000KYKjzYAH"/>
        <s v="006VO00000KdLlqYAF"/>
        <s v="006VO00000Kxqf0YAB"/>
        <s v="006VO00000LKcZhYAL"/>
        <s v="006VO00000LMCrGYAX"/>
        <s v="006VO00000LMKJsYAP"/>
        <s v="006VO00000LMMPCYA5"/>
        <s v="006VO00000LMMSQYA5"/>
        <s v="006VO00000LMOR0YAP"/>
        <s v="006VO00000LMP8XYAX"/>
        <s v="006VO00000LMQCfYAP"/>
        <s v="006VO00000LMQUPYA5"/>
        <s v="006VO00000LMQfhYAH"/>
        <s v="006VO00000LQ9A2YAL"/>
        <s v="006VO00000LhtgIYAR"/>
        <s v="006VO00000LhycjYAB"/>
        <s v="006VO00000LjR6RYAV"/>
        <s v="006VO00000LkvlZYAR"/>
        <s v="006VO00000LnO0IYAV"/>
        <s v="006VO00000Lnn8LYAR"/>
        <s v="006VO00000LwaIMYAZ"/>
        <s v="006VO00000M5GHBYA3"/>
        <s v="006VO00000MAEY5YAP"/>
        <s v="006VO00000MAqa9YAD"/>
        <s v="006VO00000MEF8zYAH"/>
        <s v="006VO00000MRS3aYAH"/>
        <s v="006VO00000MRZLBYA5"/>
        <s v="006VO00000MoUawYAF"/>
        <s v="006VO00000MpuzbYAB"/>
        <s v="006VO00000Mq5mvYAB"/>
        <s v="006VO00000MvNOEYA3"/>
        <s v="006VO00000N4157YAB"/>
        <s v="006VO00000NBQy1YAH"/>
        <s v="006VO00000NK3KfYAL"/>
        <s v="006VO00000NLUxAYAX"/>
        <s v="006VO00000NPpIGYA1"/>
        <s v="006VO00000NQBYrYAP"/>
        <s v="006VO00000NQDCTYA5"/>
        <s v="006VO00000NQOuFYAX"/>
        <s v="006VO00000NQi6XYAT"/>
        <s v="006VO00000NQj4HYAT"/>
        <s v="006VO00000NQqtlYAD"/>
        <s v="006VO00000NR53BYAT"/>
        <s v="006VO00000NR8YvYAL"/>
        <s v="006VO00000NRARrYAP"/>
        <s v="006VO00000Nae8AYAR"/>
        <s v="006VO00000Oc545YAB"/>
        <s v="006VO00000OdYFJYA3"/>
        <s v="006VO00000OhS9hYAF"/>
        <s v="006VO00000OlNZeYAN"/>
        <s v="006VO00000PBQyTYAX"/>
        <s v="006VO00000PBREbYAP"/>
        <s v="006VO00000PBRL3YAP"/>
        <s v="006VO00000PBRbBYAX"/>
        <s v="006VO00000PBRkrYAH"/>
        <s v="006VO00000PBVoVYAX"/>
        <s v="006VO00000PBdR3YAL"/>
        <s v="006VO00000PBdm1YAD"/>
        <s v="006VO00000PBkNhYAL"/>
        <s v="006VO00000PIhswYAD"/>
        <s v="006VO00000PIkHKYA1"/>
        <s v="006VO00000PInDZYA1"/>
        <s v="006VO00000PInIPYA1"/>
        <s v="006VO00000PInQTYA1"/>
        <s v="006VO00000PInWvYAL"/>
        <s v="006VO00000PInblYAD"/>
        <s v="006VO00000PIrdmYAD"/>
        <s v="006VO00000PJ1reYAD"/>
        <s v="006VO00000PKPrtYAH"/>
        <s v="006VO00000PKac3YAD"/>
        <s v="006VO00000PRr9uYAD"/>
        <s v="006VO00000PRrrRYAT"/>
        <s v="006VO00000PS8VhYAL"/>
        <s v="006VO00000PebQhYAJ"/>
        <s v="006VO00000PekFSYAZ"/>
        <s v="006VO00000PemNhYAJ"/>
        <s v="006VO00000PoKd3YAF"/>
        <s v="006VO00000PoNizYAF"/>
        <s v="006VO00000Poat7YAB"/>
        <s v="006VO00000Pob1BYAR"/>
        <s v="006VO00000PsBBNYA3"/>
        <s v="006VO00000Q0EP0YAN"/>
        <s v="006VO00000Q0hXSYAZ"/>
        <s v="006VO00000QOIL0YAP"/>
        <s v="006VO00000QieAsYAJ"/>
        <s v="006VO00000QjmeDYAR"/>
        <s v="006VO00000QjoD0YAJ"/>
        <s v="006VO00000QlBKRYA3"/>
        <s v="006VO00000Qm34lYAB"/>
        <s v="006VO00000QtkHlYAJ"/>
        <s v="006VO00000R6TNxYAN"/>
        <s v="006VO00000R6ThJYAV"/>
        <s v="006VO00000RAjQvYAL"/>
        <s v="006VO00000RF6FFYA1"/>
        <s v="006VO00000RJjJdYAL"/>
        <s v="006VO00000RSma2YAD"/>
        <s v="006VO00000RT5rDYAT"/>
        <s v="006VO00000RT60xYAD"/>
        <s v="006VO00000RT84HYAT"/>
        <s v="006VO00000RTAvhYAH"/>
        <s v="006VO00000RdTyfYAF"/>
        <s v="006VO00000RwqoHYAR"/>
        <s v="006VO00000SdyNaYAJ"/>
        <s v="006VO00000SptvBYAR"/>
        <s v="006VO00000SzijxYAB"/>
        <s v="006VO00000SzjGDYAZ"/>
        <s v="006VO00000SzkCHYAZ"/>
        <s v="006VO00000T02xBYAR"/>
        <s v="006VO00000T1eIrYAJ"/>
        <s v="006VO00000T1fq1YAB"/>
        <s v="006VO00000T68WtYAJ"/>
        <s v="006VO00000TDnqDYAT"/>
        <s v="006VO00000TEGc7YAH"/>
        <s v="006VO00000TWDizYAH"/>
        <s v="006VO00000TjYMbYAN"/>
        <s v="006VO00000TjgaHYAR"/>
        <s v="006VO00000TjjRhYAJ"/>
        <s v="006VO00000TlZuTYAV"/>
        <s v="006VO00000Tle7lYAB"/>
        <s v="006VO00000TpbxjYAB"/>
        <s v="006VO00000Tpv0MYAR"/>
        <s v="006VO00000TuDEnYAN"/>
        <s v="006VO00000TuDbNYAV"/>
        <s v="006VO00000TxX0wYAF"/>
        <s v="006VO00000Ty5SMYAZ"/>
        <s v="006VO00000TyCf7YAF"/>
        <s v="006VO00000TyW5xYAF"/>
        <s v="006VO00000U7gZ7YAJ"/>
        <s v="006VO00000U9nLBYAZ"/>
        <s v="006VO00000UHtJlYAL"/>
        <s v="006VO00000UI4n3YAD"/>
        <s v="006VO00000UMD6zYAH"/>
        <s v="006VO00000UfUSIYA3"/>
        <s v="006VO00000UfXJhYAN"/>
        <s v="006VO00000UkLGHYA3"/>
        <s v="006VO00000UkNTNYA3"/>
        <s v="006VO00000UkZcdYAF"/>
        <s v="006VO00000UkicfYAB"/>
        <s v="006VO00000UuUDRYA3"/>
        <s v="006VO00000V5VirYAF"/>
        <s v="006VO00000VKOiiYAH"/>
        <s v="006VO00000VNwzAYAT"/>
        <s v="006VO00000VTIVyYAP"/>
        <s v="006VO00000Vi2STYAZ"/>
        <s v="006VO00000Vjm54YAB"/>
        <s v="006VO00000VngCMYAZ"/>
        <s v="006VO00000Vnr1JYAR"/>
        <s v="006VO00000Vs3ogYAB"/>
        <s v="006VO00000VwQDBYA3"/>
        <s v="006VO00000VwR1BYAV"/>
        <s v="006VO00000Vwa9JYAR"/>
        <s v="006VO00000W7njRYAR"/>
        <s v="006VO00000W7xc1YAB"/>
        <s v="006VO00000W7xk5YAB"/>
        <s v="006VO00000W7xs9YAB"/>
        <s v="006VO00000W7y1pYAB"/>
        <s v="006VO00000W7y6fYAB"/>
        <s v="006VO00000W8DdZYAV"/>
        <s v="006VO00000W8c7LYAR"/>
        <s v="006VO00000WHIxNYAX"/>
        <s v="006VO00000WKzBNYA1"/>
        <s v="006VO00000WLSJpYAP"/>
        <s v="006VO00000WYde1YAD"/>
        <s v="006VO00000WbTrpYAF"/>
        <s v="006VO00000Wbe7JYAR"/>
        <s v="006VO00000WhAhfYAF"/>
        <s v="006VO00000Wun5GYAR"/>
        <s v="006VO00000Wv3d3YAB"/>
        <s v="006VO00000X1mHJYAZ"/>
        <s v="006VO00000X6qIfYAJ"/>
        <s v="006VO00000XC1BqYAL"/>
        <s v="006VO00000XKeHfYAL"/>
        <s v="006VO00000XQdvZYAT"/>
        <s v="006VO00000XV9s1YAD"/>
        <s v="006VO00000XpSorYAF"/>
        <s v="006VO00000XtN12YAF"/>
        <s v="006VO00000XtS77YAF"/>
        <s v="006VO00000XtSGnYAN"/>
        <s v="006VO00000XxOksYAF"/>
        <s v="006VO00000Y7z3BYAR"/>
        <s v="006VO00000Y9s8sYAB"/>
        <s v="006VO00000YA9JNYA1"/>
        <s v="006VO00000YADmpYAH"/>
        <s v="006VO00000YEPnlYAH"/>
        <s v="006VO00000YEcjNYAT"/>
        <s v="006VO00000YHmhPYAT"/>
        <s v="006VO00000YIvdmYAD"/>
        <s v="006VO00000YJ2c1YAD"/>
        <s v="006VO00000YMlgJYAT"/>
        <s v="006VO00000YN6vaYAD"/>
        <s v="006VO00000YXWfDYAX"/>
        <s v="006VO00000YXmYXYA1"/>
        <s v="006VO00000YYCXqYAP"/>
        <s v="006VO00000YZcBhYAL"/>
        <s v="006VO00000YZd6AYAT"/>
        <s v="006VO00000YhcBLYAZ"/>
        <s v="006VO00000YhwupYAB"/>
        <s v="006VO00000Yi6voYAB"/>
        <s v="006VO00000YjOU2YAN"/>
        <s v="006VO00000YyKzcYAF"/>
        <s v="006VO00000YyidhYAB"/>
        <s v="006VO00000Yyik9YAB"/>
        <s v="006VO00000Yyxw6YAB"/>
        <s v="006VO00000YyyAbYAJ"/>
        <s v="006VO00000Yz2FsYAJ"/>
        <s v="006VO00000YzDWEYA3"/>
        <s v="006VO00000YzEKDYA3"/>
        <s v="006VO00000YzGU5YAN"/>
        <s v="006VO00000YzH5BYAV"/>
        <s v="006VO00000Z3G2VYAV"/>
        <s v="006VO00000ZCM0cYAH"/>
        <s v="006VO00000ZMir5YAD"/>
        <s v="006VO00000ZMiz7YAD"/>
        <s v="006VO00000ZMrG1YAL"/>
        <s v="006VO00000ZORW0YAP"/>
        <s v="006VO00000ZOW4DYAX"/>
        <s v="006VO00000ZOqUMYA1"/>
        <s v="006VO00000ZSm2LYAT"/>
        <s v="006VO00000ZWjXKYA1"/>
        <s v="006VO00000Zj0CcYAJ"/>
        <s v="006VO00000ZkjnaYAB"/>
        <s v="006VO00000ZmVOkYAN"/>
        <s v="006VO00000ZmYssYAF"/>
        <s v="006VO00000ZmiH8YAJ"/>
        <s v="006VO00000Zmk7eYAB"/>
        <s v="006VO00000ZmmcTYAR"/>
        <s v="006VO00000ZmmqzYAB"/>
        <s v="006VO00000Zmmz4YAB"/>
        <s v="006VO00000ZmnLeYAJ"/>
        <s v="006VO00000ZmnofYAB"/>
        <s v="006VO00000ZmoBFYAZ"/>
        <s v="006VO00000ZmoMXYAZ"/>
        <s v="006VO00000ZmoPlYAJ"/>
        <s v="006VO00000ZmoftYAB"/>
        <s v="006VO00000ZvuAzYAJ"/>
        <s v="006VO00000Zzk3OYAR"/>
        <s v="006VO00000aG1g9YAC"/>
        <s v="006VO00000aJe6fYAC"/>
        <s v="006VO00000aLERRYA4"/>
        <s v="006VO00000aRoQcYAK"/>
        <s v="006VO00000aS2TZYA0"/>
        <s v="006VO00000aS2oXYAS"/>
        <s v="006VO00000aS2rlYAC"/>
        <s v="006VO00000aXSK9YAO"/>
        <s v="006VO00000aZ87dYAC"/>
        <s v="006VO00000aZARBYA4"/>
        <s v="006VO00000adhlBYAQ"/>
        <s v="006VO00000ai7cAYAQ"/>
        <s v="006VO00000aiDhZYAU"/>
        <s v="006VO00000alpqLYAQ"/>
        <s v="006VO00000awuujYAA"/>
        <s v="006VO00000axbzjYAA"/>
        <s v="006VO00000b3H0cYAE"/>
        <s v="006VO00000b3L95YAE"/>
        <s v="006VO00000b3OLRYA2"/>
        <s v="006VO00000b3QgbYAE"/>
        <s v="006VO00000b3Qn3YAE"/>
        <s v="006VO00000b7BflYAE"/>
        <s v="006VO00000bLFupYAG"/>
        <s v="006VO00000bNC81YAG"/>
        <s v="006VO00000bNCG5YAO"/>
        <s v="006VO00000bNGpxYAG"/>
        <s v="006VO00000bNXdtYAG"/>
        <s v="006VO00000bVgqTYAS"/>
        <s v="006VO00000bVhBRYA0"/>
        <s v="006VO00000boc6PYAQ"/>
        <s v="006VO00000bogI6YAI"/>
        <s v="006VO00000bsnEXYAY"/>
        <s v="006VO00000bx6YjYAI"/>
        <s v="006VO00000cD1RpYAK"/>
        <s v="006VO00000cDCGnYAO"/>
        <s v="006VO00000cH9LyYAK"/>
        <s v="006VO00000cVHWXYA4"/>
        <s v="006VO00000cVZBiYAO"/>
        <s v="006VO00000ckXmJYAU"/>
        <s v="006VO00000ctiovYAA"/>
        <s v="006VO00000ctlLNYAY"/>
        <s v="006VO00000cv59zYAA"/>
        <s v="006VO00000cvI5ZYAU"/>
        <s v="006VO00000czUBNYA2"/>
        <s v="006VO00000czYAAYA2"/>
        <s v="006VO00000d33nhYAA"/>
        <s v="006VO00000dC9XKYA0"/>
        <s v="006VO00000dC9ibYAC"/>
        <s v="006VO00000dCCdFYAW"/>
        <s v="006VO00000dI1dWYAS"/>
        <s v="006VO00000dI2w9YAC"/>
        <s v="006VO00000dI8n3YAC"/>
        <s v="006VO00000dLljqYAC"/>
        <s v="006VO00000dP9CvYAK"/>
        <s v="006VO00000dti5BYAQ"/>
        <s v="006VO00000dvQH7YAM"/>
        <s v="006VO00000dvffuYAA"/>
        <s v="006VO00000dvj1yYAA"/>
        <s v="006VO00000dy7xsYAA"/>
        <s v="006VO00000eOGpNYAW"/>
        <s v="006VO00000eOPnpYAG"/>
        <s v="006VO00000eOriTYAS"/>
        <s v="006VO00000ecVyDYAU"/>
        <s v="006VO00000esb6oYAA"/>
        <s v="006VO00000fTCKjYAO"/>
        <s v="006VO00000SP18rYAD"/>
        <s v="006VO00000T5bFzYAJ"/>
        <s v="006VO00000T5eowYAB"/>
        <s v="006VO00000T5fRfYAJ"/>
        <s v="006VO00000T5hurYAB"/>
        <s v="006VO00000Ulb2rYAB"/>
        <s v="006VO00000bCIWvYAO"/>
        <s v="006VO00000biAPmYAM"/>
        <s v="006VO00000cVjEHYA0"/>
        <s v="006VO00000ckJY1YAM"/>
        <s v="006VO00000ckJeTYAU"/>
        <s v="006VO00000ctYO9YAM"/>
        <s v="006VO00000d5OXuYAM"/>
        <s v="006VO00000dcfrlYAA"/>
        <s v="006VO00000eXEhwYAG"/>
        <s v="006VO00000eXMtxYAG"/>
        <s v="006VO00000eXNI9YAO"/>
        <s v="006VO00000eXWlFYAW"/>
        <s v="006VO00000eXWy9YAG"/>
        <s v="006VO00000eopMtYAI"/>
        <s v="006VO00000eozKbYAI"/>
        <s v="006VO00000epHe5YAE"/>
        <s v="006VO00000f1sy1YAA"/>
        <s v="006VO00000fNQOnYAO"/>
        <s v="006VO00000fObObYAK"/>
        <s v="006VO00000fTCfhYAG"/>
        <s v="006VO00000fYpN3YAK"/>
        <s v="006VO00000QaaE9YAJ"/>
        <s v="006VO00000XjPosYAF"/>
        <s v="006VO00000ZTBojYAH"/>
        <s v="006VO00000bVfPlYAK"/>
        <s v="006VO00000biYtXYAU"/>
        <s v="006VO00000bkg3lYAA"/>
        <s v="006VO00000btDFRYA2"/>
        <s v="006VO00000btDYnYAM"/>
        <s v="006VO00000c9B1ZYAU"/>
        <s v="006VO00000cHAgEYAW"/>
        <s v="006VO00000cHQHxYAO"/>
        <s v="006VO00000ckPvCYAU"/>
        <s v="006VO00000cvJMbYAM"/>
        <s v="006VO00000dMB6PYAW"/>
        <s v="006VO00000dgVXGYA2"/>
        <s v="006VO00000dy3r0YAA"/>
        <s v="006VO00000e4AJVYA2"/>
        <s v="006VO00000eLya2YAC"/>
        <s v="006VO00000eMFxRYAW"/>
        <s v="006VO00000eOSAbYAO"/>
        <s v="006VO00000ePeRRYA0"/>
        <s v="006VO00000eSIhJYAW"/>
        <s v="006VO00000epGTVYA2"/>
        <s v="006VO00000fMlbnYAC"/>
        <s v="006VO00000fPeU5YAK"/>
        <s v="006VO00000fqKXiYAM"/>
      </sharedItems>
    </cacheField>
    <cacheField name="Opportunity Name" numFmtId="0">
      <sharedItems containsBlank="1">
        <m/>
        <s v="Samoli Ep"/>
        <s v="Nukhba al Wasal hofouf"/>
        <s v="Al Normani Khaleej"/>
        <s v="Logimat Mama Noura KSA - 4"/>
        <s v="Logimat Mama Noura KSA - 5"/>
        <s v="Burger King SA"/>
        <s v="Eat ha"/>
        <s v="Quizno's Sub - Malga"/>
        <s v="Cookies n Cream Khaleej"/>
        <s v="Cosmo Cafe - Olaya - KSA"/>
        <s v="Section-B"/>
        <s v="TAO"/>
        <s v="TAO - KLG"/>
        <s v="Eat ha - Dahrat Laban - KSA"/>
        <s v="TAO - King Fahad"/>
        <s v="TAO - SWD"/>
        <s v="Mol10 KSA (Member Transfer)"/>
        <s v="Diplomat - KHL"/>
        <s v="Cosmo Cafe - Khaleej - KSA"/>
        <s v="Raed Startup"/>
        <s v="Muneera Aabdullah Startup"/>
        <s v="BIRD (MEMBER TRANSFER)"/>
        <s v="Crunch Bakery Malga 2"/>
        <s v="TAO - Malga (MEMBER TRANSFER)"/>
        <s v="Section-B (Member Transfer)"/>
        <s v="Dar Al Raeda- Sweidi"/>
        <s v="Lolivo - Aqiq KSA"/>
        <s v="Arabian Food - Zohor 2"/>
        <s v="Hamam Abdoh Grills - K7 - malga 1 - KSA"/>
        <s v="Hamam Abdoh Grills - K4 - malga 1 - KSA"/>
        <s v="TAO - Aqrabiya"/>
        <s v="Tao (DMM RWD)"/>
        <s v="TAO - jarir"/>
        <s v="Molten - Member Transfer"/>
        <s v="Indian Palace - Indian Island - Samakatee"/>
        <s v="Soft Spot Desserts SA-"/>
        <s v="Indian Island"/>
        <s v="Cref cookies"/>
        <s v="Eye Wink Donut - KSA - KHALEEJ"/>
        <s v="avon cake"/>
        <s v="TAO - Qassim 1"/>
        <s v="Arabian Food Co. Dahrat Laban K17"/>
        <s v="Arabian Food Co - Swidi"/>
        <s v="TAO (KFD)"/>
        <s v="The Bakery &amp; Company - Member Transfer"/>
        <s v="TacoMania"/>
        <s v="Restaurant Franchise Co. for Trading (Give Me Five, Kantaka, Carton Mashwi)"/>
        <s v="TAO - DL Member Transfer - Member Transfer"/>
        <s v="First Friday"/>
        <s v="Grill it"/>
        <s v="Arabian Food Co Olaya"/>
        <s v="Hot Kunafa"/>
        <s v="Chicken Chops Sulaimania"/>
        <s v="Yogi"/>
        <s v="Abdullah start up - Member Transfer - Member Transfer"/>
        <s v="OverJar (Member Transfer) - Delayed Transfer Aqrabiya - Member Transfer"/>
        <s v="Avon Cake - Member Transfer - Delayed Transfer"/>
        <s v="TAO - Member Transfer"/>
        <s v="Kcal KSA - Arid - K21 (Cold)"/>
        <s v="Kcal KSA - Arid - K01 (Hot)"/>
        <s v="Kcal KSA - Arid - K15 (Hot)"/>
        <s v="Kcal KSA - Arid - K16 (Hot)"/>
        <s v="Kcal KSA - Arid - K07 (Hot)"/>
        <s v="Kcal KSA - Arid - K03 (Hot)"/>
        <s v="Kcal KSA - Arid - K18 (Hot)"/>
        <s v="Kcal KSA - Arid - K06 (Hot)"/>
        <s v="Kcal KSA - Arid - K13 (Hot)"/>
        <s v="Kcal KSA - Arid - K02 (Hot)"/>
        <s v="Kcal KSA - Arid - K04 (Hot)"/>
        <s v="Kcal KSA - Arid - K05 (Hot)"/>
        <s v="Kcal KSA - Arid - K08 (Hot)"/>
        <s v="Kcal KSA - Arid - K09 (Hot)"/>
        <s v="Kcal KSA - Arid - K10 (Hot)"/>
        <s v="Kcal KSA - Arid - K11 (Hot)"/>
        <s v="Kcal KSA - Arid - K12 (Hot)"/>
        <s v="Kcal KSA - Arid - K14 (Hot)"/>
        <s v="Kcal KSA - Arid - K17 (Hot)"/>
        <s v="Kcal KSA - Arid - K19 (Hot)"/>
        <s v="Kcal KSA - Arid - K20 (Cold)"/>
        <s v="Arabian Food Co - Delayed Transfer Delayed Transfer"/>
        <s v="Mol10 KSA - Member Transfer"/>
        <s v="Remosa Delights SA"/>
        <s v="Juice Item"/>
        <s v="Smox - Rosso - Member Transfer"/>
        <s v="Taj Holding - Member Transfer"/>
        <s v="Ganache"/>
        <s v="Framboise &amp; Olive"/>
        <s v="Fish and chips - KSA"/>
        <s v="Meats &amp;Cuts - Twice - SA"/>
        <s v="Over Jar - DMM (Rawda)"/>
        <s v="Am Qassem - Uncle Qassem"/>
        <s v="Joyn Bakery"/>
        <s v="Chocomelt Malga 2"/>
        <s v="Food Line Holding (FLH) - K01"/>
        <s v="Juice Item - Khaleej - Member Transfer"/>
        <s v="Food Line Holding (FLH) - K16"/>
        <s v="Food Line Holding (FLH) - K18"/>
        <s v="Food Line Holding (FLH) - K09"/>
        <s v="Sushi Yoshi - Aqiq - Member Transfer"/>
        <s v="Food Line Holding (FLH) - K20"/>
        <s v="Food Line Holding (FLH) - K08"/>
        <s v="Food Line Holding (FLH) - K06"/>
        <s v="Food Line Holding (FLH) - K19"/>
        <s v="Food Line Holding (FLH) - K05"/>
        <s v="Food Line Holding (FLH) - K02"/>
        <s v="Food Line Holding (FLH) - K11"/>
        <s v="Food Line Holding (FLH) - K03"/>
        <s v="Food Line Holding (FLH) - K04"/>
        <s v="Food Line Holding (FLH) - K07"/>
        <s v="Food Line Holding (FLH) - K10"/>
        <s v="Food Line Holding (FLH) - K12"/>
        <s v="Food Line Holding (FLH) - K13"/>
        <s v="Food Line Holding (FLH) - K14"/>
        <s v="Food Line Holding (FLH) - K21"/>
        <s v="Food Line Holding (FLH) - K15"/>
        <s v="Food Line Holding (FLH) - K17"/>
        <s v="Indian Palace - Indian Island - Samakatee - Member Transfer"/>
        <s v="Coffee Plus"/>
        <s v="Mahmaset Ard Al Sanawbar - Khaleej"/>
        <s v="Alrafden Grill (AQR)"/>
        <s v="Fish Face - Member Transfer"/>
        <s v="Taj Holding - (SUL)"/>
        <s v="TAO - Rawada - Delayed Transfer"/>
        <s v="Multaqa Alzad For Tourism ( Leila Min Lebnen - Omaimati - Greenbox )"/>
        <s v="TAO - Malga 1 - Delayed Transfer - Delayed Transfer"/>
        <s v="TAO - Qurtoba - Delayed Transfer - Delayed Transfer"/>
        <s v="Deboned KSA (Aqrabia)  - Delayed Transfer"/>
        <s v="TAO - Qurtoba K8 - Delayed Transfer"/>
        <s v="Dolce Ragusa Qurtoba - Member Transfer"/>
        <s v="Juice Items Malga - Member Transfer - Member Transfer"/>
        <s v="Banders Potato Yasmin"/>
        <s v="Stampa - KSA"/>
        <s v="Toga Rashi - KSA"/>
        <s v="Numou - KSA - TWG - K02"/>
        <s v="Numou - KSA - TWG - K14"/>
        <s v="Numou - KSA - TWG - K05"/>
        <s v="Numou - KSA - TWG - K15"/>
        <s v="Numou - KSA - TWG - K08"/>
        <s v="Numou - KSA - TWG - K16"/>
        <s v="Numou - KSA - TWG - K18"/>
        <s v="Numou - KSA - TWG - K10"/>
        <s v="Numou - KSA - TWG - K11"/>
        <s v="Numou - KSA - TWG - K04"/>
        <s v="Numou - KSA - TWG - K07"/>
        <s v="Numou - KSA - TWG - K17 COLD"/>
        <s v="Numou - KSA - TWG - K03"/>
        <s v="Numou - KSA - TWG - K06"/>
        <s v="Numou - KSA - TWG - K01"/>
        <s v="Numou - KSA - TWG - K09"/>
        <s v="Numou - KSA - TWG - K13"/>
        <s v="Numou - KSA - TWG - K12"/>
        <s v="Latifa Startup - ksa - Delayed Transfer - Delayed Transfer"/>
        <s v="Tofareya"/>
        <s v="BACO"/>
        <s v="Masami sushi - Dahrat Laban - Member Transfer"/>
        <s v="Chocomelt Olaya"/>
        <s v="Consulta Hospitality Experts (MAQSAF - BRE'ED - TRU BOWL), K18 Olaya"/>
        <s v="Sandwitch - Burger &amp; Me"/>
        <s v="Nafeeseh Sweets - Member Transfer"/>
        <s v="Namq Cafe SA"/>
        <s v="L'olivo Sanwiches- - Member Transfer - Delayed Transfer - Member Transfer"/>
        <s v="Susler - KSA"/>
        <s v="Ganache Qurtoba - Member Transfer - Member Transfer"/>
        <s v="Nawaf Alharbi  Startup - KSA-"/>
        <s v="ND Bakery - KSA"/>
        <s v="Feels"/>
        <s v="Tao Salam K20"/>
        <s v="Tao Salam K14"/>
        <s v="Tao Salam K13"/>
        <s v="Tao Salam K15"/>
        <s v="Tao Salam K17"/>
        <s v="Tao Salam K18"/>
        <s v="Tao Salam K19"/>
        <s v="Premium Food Company (Baytoti - Maki House)"/>
        <s v="Lasagna Box"/>
        <s v="Masgouf London"/>
        <s v="WK Burger"/>
        <s v="Krooz Almasiyah Co. - Member Transfer - Member Transfer"/>
        <s v="Crispish"/>
        <s v="Shawarma House, Narjis, K19"/>
        <s v="SNIM - The Butter Knife"/>
        <s v="Mshltt Alhaga"/>
        <s v="Premium Food Company (Baytoti - Wok -Maki House - Podo Moro - Zoud)"/>
        <s v="Keto care"/>
        <s v="Dyar Bakery, Khaleej"/>
        <s v="GNJ Group (UAH K1)"/>
        <s v="La creperie"/>
        <s v="Marble Cuisine SA"/>
        <s v="Shawarma House, Narjis, K27"/>
        <s v="Shawarma House, Narjis, K26"/>
        <s v="Shawarma House, Narjis, K20"/>
        <s v="Shawarma House, Narjis, K21"/>
        <s v="Shawarma House, Narjis, K22"/>
        <s v="Shawarma House, Narjis, K23"/>
        <s v="Shawarma House, Narjis, K25"/>
        <s v="Shawarma House, Narjis, K24"/>
        <s v="Shawarma House, Sulimaniah, K14"/>
        <s v="Shawarma House, Sulimaniah, K16"/>
        <s v="Shawarma House, Sulimaniah, K17"/>
        <s v="Shawarma House, Sulimaniah, K19"/>
        <s v="Gastronomica Wadi"/>
        <s v="Cref Cookies Dahrat Laban"/>
        <s v="Happiness Cookies"/>
        <s v="Signature Salam"/>
        <s v="Shawarma House, Sulimaniah, K13"/>
        <s v="Jedo Shaker Yasmin"/>
        <s v="La Creperie - KSA - Member Transfer"/>
        <s v="Aziz 88 (K3 UAH)"/>
        <s v="Shawarma House, Sulimaniah, K15"/>
        <s v="Cref Cookies Olaya"/>
        <s v="Shawarma House, Sulimaniah, K12"/>
        <s v="Shawarma House, Sulimaniah, K11"/>
        <s v="Delluci Cake - KSA"/>
        <s v="Shawarma House, Narjis, K13"/>
        <s v="Cref Cookies Salam"/>
        <s v="Raghad Start Up"/>
        <s v="Imran SU"/>
        <s v="Shawarma House, Sulimaniah, CPU"/>
        <s v="Shawarma House, Sulimaniah, K08"/>
        <s v="Shawarma House, Narjis, K06"/>
        <s v="Dip N Dip KSA"/>
        <s v="Smoothies Aqiq"/>
        <s v="Shawarma House, Narjis, K04"/>
        <s v="Baskin Robbins - K01 - KSA"/>
        <s v="mahmaset ard Al Sanawbar"/>
        <s v="Fermented Friends (K03 Isa) - Delayed Transfer"/>
        <s v="U.L.D. Trading Company (K16)"/>
        <s v="U.L.D. Trading Company (K05)"/>
        <s v="U.L.D. Trading Company (K14)"/>
        <s v="U.L.D. Trading Company (K13)"/>
        <s v="U.L.D. Trading Company (K04)"/>
        <s v="U.L.D. Trading Company (K15)"/>
        <s v="U.L.D. Trading Company (K12)"/>
        <s v="U.L.D. Trading Company (K11)"/>
        <s v="Right Calories King Faisal k15"/>
        <s v="Clever Juices - Beesket Juices"/>
        <s v="Healthy nation"/>
        <s v="BAKA - Member Transfer - Member Transfer"/>
        <s v="Neska Company (Biga Burger, Krnsh , Rosella , Shawarma Allawi, Bo Kees , Bakkar, Koshka, Varo), Khaleej"/>
        <s v="Suwairs Cold Kitchen - Wadi - Member Transfer"/>
        <s v="Chocomelt Aqrabiya"/>
        <s v="Shawarma House, Narjis, K17"/>
        <s v="Jo Drinks, Malga2"/>
        <s v="Shawarma House, Sulimaniah, K18"/>
        <s v="Godiva Chocolatier"/>
        <s v="Des Lis Delices (K11 UAH)"/>
        <s v="Petiole Foods (K14 UAH)"/>
        <s v="Soma's Kitchen Laban - Member Transfer"/>
        <s v="Almaris - Smarf Burger - Missimiss Fottor - Balla Chappati - Sizzle &amp; Smoke Grills - Ammiji.D Biryani"/>
        <s v="Candied riyadh SA - RUH - Qurtoba"/>
        <s v="Marta's Cake - KSA- - Member Transfer"/>
        <s v="Adyaf Gulf (Madeleine ) - SA - RUH - Qurtoba - Member Transfer"/>
        <s v="Sushi Demure"/>
        <s v="Baskin Robbins - K04 - KSA"/>
        <s v="Baskin Robbins - K05 - KSA"/>
        <s v="Baskin Robbins - K09 - KSA"/>
        <s v="Baskin Robbins - K08 - KSA"/>
        <s v="Baskin Robbins - K07 - KSA"/>
        <s v="Baskin Robbins - K06 - KSA"/>
        <s v="Baskin Robbins - K10 - KSA"/>
        <s v="Baskin Robbins - K11 - KSA"/>
        <s v="Baskin Robbins - K12 - KSA"/>
        <s v="Baskin Robbins - K25 - KSA"/>
        <s v="Munch bakery - Member Transfer"/>
        <s v="Fames burger"/>
        <s v="Boga Super Foods"/>
        <s v="Shawarma House, Qurtoba, K26"/>
        <s v="Shawarma House, Narjis, K18"/>
        <s v="Shawarma House, Narjis, CPU"/>
        <s v="Shawarma House, Sulimaniah, K09"/>
        <s v="Shawarma House, Sulimaniah, K21"/>
        <s v="Shawarma House, Qurtoba, K32"/>
        <s v="Shawarma House, Qurtoba, K28"/>
        <s v="Shawarma House, Qurtoba, K29"/>
        <s v="Shawarma House, Qurtoba, K33"/>
        <s v="Shawarma House, Qurtoba, K37"/>
        <s v="Shawarma House, Qurtoba, K41"/>
        <s v="Shawarma House, Qurtoba, K34"/>
        <s v="Shawarma House, Qurtoba, K35"/>
        <s v="Shawarma House, Qurtoba, K36"/>
        <s v="Shawarma House, Qurtoba, K39"/>
        <s v="Shawarma House, Qurtoba, K40"/>
        <s v="Feels KFD"/>
        <s v="Shawarma House, Qurtoba, K43"/>
        <s v="Anwar Bakery - SU"/>
        <s v="Roma company Kebab hub - Well done"/>
        <s v="Shawarma House, Qurtoba, K31"/>
        <s v="Shawarma House, Qurtoba, K42"/>
        <s v="Shawarma House, Qurtoba, K30"/>
        <s v="Shawarma House, Qurtoba, K45 (CPU)"/>
        <s v="Shawarma House, Qurtoba, K07"/>
        <s v="Shawarma House, Qurtoba, K44"/>
        <s v="Dar Al Raeda- Olaya - Member Transfer - Member Transfer - Member Transfer"/>
        <s v="Seedling Salad"/>
        <s v="Shawarma House, Qurtoba, K27"/>
        <s v="Shawarma House, Qurtoba, K38"/>
        <s v="Eat Ha - Member Transfer - Member Transfer"/>
        <s v="Copo"/>
        <s v="Applebee's"/>
        <s v="FireFly Burger - KSA - Kiwi"/>
        <s v="CoJo Cafe-"/>
        <s v="Manga Al Zaeem For Juices"/>
        <s v="Juice Item - Member Transfer"/>
        <s v="Petiole Foods (K15 UAH)"/>
        <s v="Abdulaziz Al Ahmari"/>
        <s v="Fruit Art"/>
        <s v="Cut Crush Company -KSA-"/>
        <s v="Shawarma House, Narjis, K15"/>
        <s v="Marta's Cake"/>
        <s v="Juice Item SA - Member Transfer"/>
        <s v="Half Tree (Al Malga)"/>
        <s v="Half Tree (Aqrabiya)"/>
        <s v="Half Tree (Hofuf)"/>
        <s v="Half Tree (Al Wadi)"/>
        <s v="Half Tree (Sweidi)"/>
        <s v="Kcal - KSA - Jarir"/>
        <s v="V60 Coffee Bar -KSA- - Member Transfer"/>
        <s v="Pret A Manger Saudi Arabia k1"/>
        <s v="Suwairs Cold Kitchen - Khaleej - Member Transfer - Member Transfer"/>
        <s v="Al Hamra Bukhari Restaurant - SA - RUH - Dahrat Laban - Delayed Transfer"/>
        <s v="Chocomelt Laban - Member Transfer - Member Transfer"/>
        <s v="Ganache - Member Transfer - Member Transfer"/>
        <s v="Maqloba - KSA"/>
        <s v="Quttna KSA"/>
        <s v="Al Hamra Bukhari Restaurant - SA - RUH"/>
        <s v="ISFC International Specialized Food Co- (Diet World - Madqoud Alsadra - Kiwi grill) Aqiq"/>
        <s v="The delicous"/>
        <s v="Hayat Alnokbaah company"/>
        <s v="Etoile Aqrabiya"/>
        <s v="ISFC International Specialized Food Co- (Diet World - Madqoud Alsadra - Kiwi grill) Sulimaniyah"/>
        <s v="Crisper"/>
        <s v="Fames burger Khaleej"/>
        <s v="Fames burger Sweidi 1"/>
        <s v="Etoile King Fahad"/>
        <s v="Etoile King Faisal"/>
        <s v="Etoile - Jarir"/>
        <s v="Shawaya House, Arid2"/>
        <s v="GOFA, Rakah"/>
        <s v="Hala Batta"/>
        <s v="Alreef Broasted"/>
        <s v="Cref Cookies Sweidi"/>
        <s v="Shawarma House, Sulimaniah, K07"/>
        <s v="Alreef Broastedx"/>
        <s v="Hajeen Roasters"/>
        <s v="Mashael SU"/>
        <s v="Ganache - Member Transfer"/>
        <s v="Al Ghalia Company - CAFÉ LILOU - RWD"/>
        <s v="Lolivo Yasmin"/>
        <s v="Haqwa Coffee"/>
        <s v="Loleta Sweets Rawdah - Member Transfer"/>
        <s v="Fullah"/>
        <s v="Sugarize"/>
        <s v="Biox - The Health Bar by RAW King Faisal"/>
        <s v="Al Ghalia Company - CAFÉ LILOU - KHJ"/>
        <s v="Al Ghalia Company - CAFÉ LILOU - SWD"/>
        <s v="Al Ghalia Company - CAFÉ LILOU - Malga"/>
        <s v="Pret A Manger Saudi Arabia K6"/>
        <s v="Pret A Manger Saudi Arabia K2"/>
        <s v="Pret A Manger Saudi Arabia K4"/>
        <s v="Pret A Manger Saudi Arabia K9"/>
        <s v="Pret A Manger Saudi Arabia K10"/>
        <s v="Pret A Manger Saudi Arabia K11"/>
        <s v="ISFC International Specialized Food Co- (Diet World - Madqoud Alsadra - Kiwi grill) Sweidi - Member Transfer"/>
        <s v="Chocomelt Rawda - Member Transfer"/>
        <s v="Etoile - Malga 2 - Member Transfer"/>
        <s v="Nakhati - Member Transfer"/>
        <s v="Strawberry and cheese - KSA-"/>
        <s v="Souffle Altahliyah-"/>
        <s v="Calo - RUH - King Faisal - KSA"/>
        <s v="Abdulrahman Alamer Start Up"/>
        <s v="Juice Item - Member Transfer - Member Transfer - Member Transfer"/>
        <s v="Paella Pan King Faisal"/>
        <s v="Cold Summer"/>
        <s v="The Fancy Fork (K13 UAH)"/>
        <s v="Misslawh - KSA- - Member Transfer"/>
        <s v="Lolivo King Fahad"/>
        <s v="Choply Salad"/>
        <s v="Copo laban"/>
        <s v="Sheffas Shack- K17 UAH"/>
        <s v="FASSCO international - K21 UAH"/>
        <s v="Seedling Salad - Member Transfer - Member Transfer"/>
        <s v="Gecat plastic factory - 1"/>
        <s v="Biox - The Health Bar by RAW Sulimaniyah - Delayed Transfer"/>
        <s v="Toby's Estate"/>
        <s v="Almaris - Smarf Burger - Missimiss Fottor - Balla Chappati - Sizzle &amp; Smoke Grills - Ammiji.D Biryani - Member Transfer"/>
        <s v="Wissam Su"/>
        <s v="Copo laban K19"/>
        <s v="Petiole Foods (K19 UAH)"/>
        <s v="Shawaya House, DHL - Member Transfer"/>
        <s v="Sushi Demure - Member Transfer"/>
        <s v="TAO Arid 2"/>
        <s v="Sushi do"/>
        <s v="Diet Center"/>
        <s v="Hak group"/>
        <s v="K24, Shawarma House, Sulimaniah"/>
        <s v="CK22, Shawarma House, Sulimaniah"/>
        <s v="K23, Shawarma House, Sulimaniah"/>
        <s v="Neska (Biga Burger, Krnsh , Rosella , Shawarma Allawi, Bo Kees , Bakkar, Koshka, Varo), Sweidi"/>
        <s v="Kcal - KSA - Aqiq"/>
        <s v="ALNahdi Catering  - KSA-"/>
        <s v="Kcal - KSA - Qurtoba"/>
        <s v="Pret A Manger Saudi Arabia K 05"/>
        <s v="Pret A Manger Saudi Arabia K7"/>
        <s v="Pret A Manger Saudi Arabia K 12"/>
        <s v="Pret A Manger Saudi Arabia K 08"/>
        <s v="Pret A Manger Saudi Arabia K 13"/>
        <s v="Pret A Manger Saudi Arabia K 03"/>
        <s v="Cocoli Cafe KFD"/>
        <s v="Cleanse and Glow - KSA"/>
        <s v="Meld"/>
        <s v="breakin bun"/>
        <s v="Big Matt"/>
        <s v="Nadoush Su"/>
        <s v="Meld - Member Transfer"/>
        <s v="REI Chocolate - KSA- Member Transfer"/>
        <s v="Maher  JAM - KSA- - Churn Transfer - Delayed Transfer - Member Transfer"/>
        <s v="Melted-"/>
        <s v="Protein plus - Olive Branches - yughamish zaman - KSA-"/>
        <s v="Gecat plastic factory - 3"/>
        <s v="Gecat plastic factory - 12"/>
        <s v="Gecat plastic factory - 5"/>
        <s v="Gecat plastic factory - 7"/>
        <s v="Gecat plastic factory - 2"/>
        <s v="Gecat plastic factory - 4"/>
        <s v="Gecat plastic factory - 8"/>
        <s v="Gecat plastic factory - 14"/>
        <s v="Gecat plastic factory - 6"/>
        <s v="Gecat plastic factory - 9"/>
        <s v="Gecat plastic factory - 10"/>
        <s v="Gecat plastic factory - 11"/>
        <s v="Gecat plastic factory - 13"/>
        <s v="Etoile - Arid 2 - Member Transfer"/>
        <s v="Al Ghalia Company - CAFÉ LILOU - HOF"/>
        <s v="Dr.Kabsa"/>
        <s v="ALNahdi Catering  - KSA"/>
        <s v="Dolce Ragusa Sulimaniya"/>
        <s v="FASSCO international - K24 UAH"/>
        <s v="FASSCO international - K22 UAH"/>
        <s v="FASSCO international - K23 UAH"/>
        <s v="FASSCO international - K25 UAH"/>
        <s v="Savory Dishes Restaurant- UAH K02"/>
        <s v="Success Creators Laban"/>
        <s v="Nahj Alghitha Company Salam K23"/>
        <s v="Nolia- KSA"/>
        <s v="Success Creators Arid - Member Transfer"/>
        <s v="Douven"/>
        <s v="Fresh House - KHL"/>
        <s v="FASSCO international - K27 UAH"/>
        <s v="FASSCO international - K29 UAH"/>
        <s v="Sandwitch - Burger &amp; Me - Member Transfer"/>
        <s v="FASSCO international - K26 UAH"/>
        <s v="FASSCO international - K28UAH"/>
        <s v="Sweet Evolution - BAH (18 UMH)"/>
        <s v="Mahboob"/>
        <s v="Dip N Dip KSA - Member Transfer"/>
        <s v="Tochka"/>
        <s v="Luqaimat W Sauce - Member Transfer"/>
        <s v="Protein plus - ALAhsaa K10"/>
        <s v="Noho Deli Salam"/>
        <s v="Shawayet Hasan  -KSA"/>
        <s v="Shawarma House, Qurtoba, K46"/>
        <s v="Premium Foods Company - Gulf Eye Co (We Burger - Wahed Falafel - We Bakery - LAROSE), HK8"/>
        <s v="Nahj Alghitha Company Salam K22"/>
        <s v="Keto Sar"/>
        <s v="IONIC KITCHEN"/>
        <s v="Bassam Burger Start Up - Member Transfer"/>
        <s v="Premium Foods Company - Gulf Eye Co (We Burger - Wahed Falafel - We Bakery - LAROSE), CK1"/>
        <s v="Chocomelt Jarir - Member Transfer - Member Transfer"/>
        <s v="Regal King Faisal K10 (Cold)"/>
        <s v="Regal King Faisal K09 (Hot)"/>
        <s v="Ez Bakery ( Khalia Aziz ) - Member Transfer - Member Transfer"/>
        <s v="Khush Muskhan"/>
        <s v="Saqyah - KSA"/>
        <s v="TBO - Hoba"/>
        <s v="German Doner Kebab"/>
        <s v="PLENTY SLD’S, Earth made, catcha."/>
        <s v="Donut Time Khaleej"/>
        <s v="Donut Time Malga"/>
        <s v="Donut Time Salam"/>
        <s v="Kcal - KSA  - Member Transfer"/>
        <s v="Somas Kitchen  - Member Transfer"/>
        <s v="NOURISHEFZ -KSA - Member Transfer"/>
        <s v="Najla's Cuisine - Member Transfer"/>
        <s v="Shawaya House, King Fahad"/>
        <s v="Nukhba al Wasal - Member Transfer"/>
        <s v="Usta Asim - KSA - Arid 2 - K02"/>
        <s v="Shawaya House, Rakah - Member Transfer"/>
        <s v="mahmaset ard Al Sanawbar - Member Transfer"/>
        <s v="Fantasy Recipe - Member Transfer"/>
        <s v="Hazim Aldahiree Start Up - Member Transfer"/>
        <s v="AL Amer Trading -KSA-"/>
        <s v="Yogi - Member Transfer - Member Transfer"/>
        <s v="Donuttery - K18 KSA-"/>
        <s v="Donuttery -  K21 KSA-"/>
        <s v="Donuttery -  K17 KSA-"/>
        <s v="Donuttery -  K20 KSA-"/>
        <s v="Donuttery - K19 KSA-"/>
        <s v="Donut Time Wadi"/>
        <s v="Sweet Evolution SA - RWD"/>
        <s v="chickin worx"/>
        <s v="Fat Bun"/>
        <s v="I'M Hungry Rawda"/>
        <s v="I'M Hungry Zuhur"/>
        <s v="Abdulaziz Alqarni Start Up"/>
        <s v="AlYasmen Company - Member Transfer"/>
        <s v="Healthy Style - KSA - Jarir - K17"/>
        <s v="Healthy Style - KSA - Jarir - K20"/>
        <s v="Healthy Style - KSA - Jarir - K22"/>
        <s v="Healthy Style - KSA - Jarir - K21"/>
        <s v="Etoile - Rawda Dmm"/>
        <s v="Etoile - Zuhor Dmm"/>
        <s v="Bait el kil Qurtuba"/>
        <s v="Biox - The Health Bar by RAW Laban - Delayed Transfer"/>
        <s v="Bait el kil Arid"/>
        <s v="Opa sweet"/>
        <s v="Rustic Grill"/>
        <s v="Shawaya House, Malga2 - Member Transfer"/>
        <s v="Ibrahim Melhem  SU - KSA - Member Transfer"/>
        <s v="Big Matt - Member Transfer"/>
        <s v="DN Gulf (UAH K36)"/>
        <s v="Glaze-"/>
        <s v="Wahib Start Up"/>
        <s v="Neska (Biga Burger, Krnsh , Rosella , Shawarma Allawi, Bo Kees , Bakkar, Koshka, Varo), Dahrat Laban"/>
        <s v="Alarrab Restaurant"/>
        <s v="National Catering Company - Rakah - 1"/>
        <s v="National Catering Company - Rakah - 2"/>
        <s v="National Catering Company - Rakah - 3"/>
        <s v="Neska (Biga Burger, Krnsh , Rosella , Shawarma Allawi, Bo Kees , Bakkar, Koshka, Varo), Salam"/>
        <s v="Pizza di Rocco - KSA - WUR - K16"/>
        <s v="Pizza di Rocco - KSA - Aqiq 2 - K05"/>
        <s v="D'PEARL CAFÉ HOUSE OF BOBA-"/>
        <s v="Canela Wadi"/>
        <s v="XY Noodles Malga 2"/>
        <s v="Meal Box KSA-"/>
        <s v="Food Axis - KSA - Khaleej - K34"/>
        <s v="Bread Loaf - KSA - Jarir - K34"/>
        <s v="National Catering Company - Rakah - 5"/>
        <s v="National Catering Company - Rakah - 4"/>
        <s v="Petiole Foods (K37 UAH)z"/>
        <s v="National Catering Company - Rakah - 6"/>
        <s v="National Catering Company - Rakah - 7"/>
        <s v="Ahmed AlBazar"/>
        <s v="Shawarma House, Narjis, K09"/>
        <s v="Al Hayat Restaurant / Tikka Mood"/>
        <s v="Calo - On Demand - RUH - King Fahad - K23 - KSA"/>
      </sharedItems>
    </cacheField>
    <cacheField name="Opportunity Owner: Full Name" numFmtId="0">
      <sharedItems containsBlank="1">
        <m/>
        <s v="Riyad Ali"/>
        <s v="Shiraz Ali"/>
        <s v="Omar Joumaa"/>
        <s v="Osama Eliewa"/>
        <s v="Ahmed Alghamdi"/>
        <s v="Jad Hajjar"/>
        <s v="Mohammed Alotaibi"/>
        <s v="Mohammed Alalyani"/>
        <s v="Ihab Ghoussainy"/>
        <s v="Abir Salame"/>
        <s v="Ahmad Abdulkareem"/>
        <s v="Mussad Al-battah"/>
        <s v="Yousif Almohammedali"/>
        <s v="Hamed Alrehaili"/>
        <s v="Ahmad El-Basst"/>
        <s v="Abrar Aldawoud"/>
        <s v="Mark Grehan"/>
        <s v="Anas Ahtiwash"/>
        <s v="Mohammad Farasha"/>
        <s v="Mohammad Majzoub"/>
        <s v="Nadim Kiwan"/>
        <s v="Mohammad Khair Bezzi"/>
        <s v="May Alayesh"/>
        <s v="Sara Alabbasi"/>
        <s v="Gadah Saud"/>
        <s v="Moayad Sami Abedalqader Yassin"/>
        <s v="Micheal Fahmy"/>
        <s v="Mohammad Masri"/>
        <s v="Abdelrahman Matar"/>
        <s v="Faisal Alajmah"/>
      </sharedItems>
    </cacheField>
    <cacheField name="Floor" numFmtId="0">
      <sharedItems containsBlank="1">
        <s v="GF"/>
        <s v="1st"/>
        <s v="2nd"/>
        <s v="1st Floor"/>
        <s v="G"/>
        <s v="Mez"/>
        <s v="2nd Floor"/>
        <s v="3rd"/>
        <s v="Roof"/>
        <m/>
        <s v="FF"/>
        <s v="Annex"/>
      </sharedItems>
    </cacheField>
    <cacheField name="County" numFmtId="0">
      <sharedItems containsBlank="1">
        <s v="North West"/>
        <s v="North"/>
        <s v="Center"/>
        <m/>
        <s v="East"/>
        <s v="North East"/>
        <s v="South West"/>
        <s v="South"/>
        <s v="South East"/>
      </sharedItems>
    </cacheField>
    <cacheField name="Churn Date">
      <sharedItems containsDate="1" containsBlank="1" containsMixedTypes="1">
        <s v=""/>
        <d v="2026-02-25T00:00:00Z"/>
        <d v="2026-02-12T00:00:00Z"/>
        <d v="2026-03-01T00:00:00Z"/>
        <d v="2026-02-28T00:00:00Z"/>
        <d v="2026-02-15T00:00:00Z"/>
        <d v="2026-04-15T00:00:00Z"/>
        <d v="2026-04-18T00:00:00Z"/>
        <d v="2026-02-20T00:00:00Z"/>
        <d v="2026-03-31T00:00:00Z"/>
        <d v="2026-03-04T00:00:00Z"/>
        <d v="2026-04-30T00:00:00Z"/>
        <d v="2026-03-10T00:00:00Z"/>
        <d v="2026-03-11T00:00:00Z"/>
        <d v="2026-03-29T00:00:00Z"/>
        <d v="2026-04-12T00:00:00Z"/>
        <d v="2026-02-11T00:00:00Z"/>
        <d v="2026-03-21T00:00:00Z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0" cacheId="0" dataCaption="" compact="0" compactData="0">
  <location ref="A3:C42" firstHeaderRow="0" firstDataRow="2" firstDataCol="0" rowPageCount="1" colPageCount="1"/>
  <pivotFields>
    <pivotField name="Account Name" axis="axisRow" compact="0" outline="0" multipleItemSelectionAllowed="1" showAll="0" sortType="ascending">
      <items>
        <item x="32"/>
        <item x="31"/>
        <item x="27"/>
        <item x="34"/>
        <item x="9"/>
        <item x="14"/>
        <item x="23"/>
        <item x="24"/>
        <item x="26"/>
        <item x="37"/>
        <item x="0"/>
        <item x="2"/>
        <item x="16"/>
        <item x="35"/>
        <item x="6"/>
        <item x="39"/>
        <item x="1"/>
        <item x="38"/>
        <item x="28"/>
        <item x="3"/>
        <item x="8"/>
        <item x="22"/>
        <item x="7"/>
        <item x="21"/>
        <item x="19"/>
        <item x="5"/>
        <item x="20"/>
        <item x="4"/>
        <item x="15"/>
        <item x="11"/>
        <item x="13"/>
        <item x="29"/>
        <item x="17"/>
        <item x="25"/>
        <item x="10"/>
        <item x="33"/>
        <item x="30"/>
        <item x="12"/>
        <item x="36"/>
        <item x="18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Kitchen Numb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tchen Size (Sq. Mete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t="default"/>
      </items>
    </pivotField>
    <pivotField name="Hood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Sell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t="default"/>
      </items>
    </pivotField>
    <pivotField name="Opportunity Name" axis="axisPage" compact="0" outline="0" multipleItemSelectionAllowed="1" showAll="0">
      <items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nthly License Fe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</pivotFields>
  <rowFields>
    <field x="0"/>
  </rowFields>
  <colFields>
    <field x="-2"/>
  </colFields>
  <pageFields>
    <pageField fld="12"/>
  </pageFields>
  <dataFields>
    <dataField name="AVERAGE of Floor Price" fld="8" subtotal="average" baseField="0"/>
    <dataField name="AVERAGE of Monthly License Fee" fld="16" subtotal="average" baseField="0"/>
  </dataFields>
</pivotTableDefinition>
</file>

<file path=xl/pivotTables/pivotTable2.xml><?xml version="1.0" encoding="utf-8"?>
<pivotTableDefinition xmlns="http://schemas.openxmlformats.org/spreadsheetml/2006/main" name="Pivot Table 4" cacheId="1" dataCaption="" compact="0" compactData="0">
  <location ref="A1:D38" firstHeaderRow="0" firstDataRow="2" firstDataCol="0"/>
  <pivotFields>
    <pivotField name="Account Name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tchen Size (Sq. Meter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Hood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loor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Floor Price" fld="8" baseField="0"/>
    <dataField name="SUM of Kitchen Size (Sq. Meters)" fld="6" baseField="0"/>
    <dataField name="COUNTA of Account Name" fld="0" subtotal="count" baseField="0"/>
  </dataFields>
</pivotTableDefinition>
</file>

<file path=xl/pivotTables/pivotTable3.xml><?xml version="1.0" encoding="utf-8"?>
<pivotTableDefinition xmlns="http://schemas.openxmlformats.org/spreadsheetml/2006/main" name="All Available Kitchens" cacheId="2" dataCaption="" compact="0" compactData="0">
  <location ref="A1:J138" firstHeaderRow="0" firstDataRow="9" firstDataCol="0"/>
  <pivotFields>
    <pivotField name="Account Name" axis="axisRow" compact="0" outline="0" multipleItemSelectionAllowed="1" showAll="0" sortType="ascending" defaultSubtotal="0">
      <items>
        <item x="26"/>
        <item x="25"/>
        <item x="6"/>
        <item x="30"/>
        <item x="33"/>
        <item x="15"/>
        <item x="12"/>
        <item x="13"/>
        <item x="29"/>
        <item x="5"/>
        <item x="0"/>
        <item x="32"/>
        <item x="21"/>
        <item x="1"/>
        <item x="11"/>
        <item x="20"/>
        <item x="7"/>
        <item x="19"/>
        <item x="27"/>
        <item x="4"/>
        <item x="17"/>
        <item x="3"/>
        <item x="2"/>
        <item x="8"/>
        <item x="10"/>
        <item x="22"/>
        <item x="24"/>
        <item x="16"/>
        <item x="18"/>
        <item x="28"/>
        <item x="23"/>
        <item x="9"/>
        <item x="31"/>
        <item x="14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Kitchen Number Name" axis="axisRow" compact="0" outline="0" multipleItemSelectionAllowed="1" showAll="0" sortType="ascending" defaultSubtotal="0">
      <items>
        <item x="276"/>
        <item x="2"/>
        <item x="662"/>
        <item x="535"/>
        <item x="332"/>
        <item x="217"/>
        <item x="572"/>
        <item x="626"/>
        <item x="149"/>
        <item x="544"/>
        <item x="570"/>
        <item x="259"/>
        <item x="221"/>
        <item x="478"/>
        <item x="607"/>
        <item x="299"/>
        <item x="95"/>
        <item x="592"/>
        <item x="11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300"/>
        <item x="49"/>
        <item x="107"/>
        <item x="540"/>
        <item x="522"/>
        <item x="96"/>
        <item x="608"/>
        <item x="630"/>
        <item x="10"/>
        <item x="152"/>
        <item x="707"/>
        <item x="135"/>
        <item x="591"/>
        <item x="486"/>
        <item x="476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301"/>
        <item x="282"/>
        <item x="518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52"/>
        <item x="250"/>
        <item x="545"/>
        <item x="333"/>
        <item x="1"/>
        <item x="443"/>
        <item x="284"/>
        <item x="175"/>
        <item x="68"/>
        <item x="603"/>
        <item x="198"/>
        <item x="306"/>
        <item x="523"/>
        <item x="610"/>
        <item x="719"/>
        <item x="8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366"/>
        <item x="674"/>
        <item x="487"/>
        <item x="343"/>
        <item x="569"/>
        <item x="584"/>
        <item x="427"/>
        <item x="395"/>
        <item x="303"/>
        <item x="520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171"/>
        <item x="499"/>
        <item x="65"/>
        <item x="205"/>
        <item x="636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526"/>
        <item x="56"/>
        <item x="338"/>
        <item x="44"/>
        <item x="718"/>
        <item x="4"/>
        <item x="508"/>
        <item x="695"/>
        <item x="133"/>
        <item x="682"/>
        <item x="534"/>
        <item x="106"/>
        <item x="246"/>
        <item x="295"/>
        <item x="650"/>
        <item x="331"/>
        <item x="514"/>
        <item x="448"/>
        <item x="663"/>
        <item x="216"/>
        <item x="490"/>
        <item x="556"/>
        <item x="433"/>
        <item x="32"/>
        <item x="573"/>
        <item x="93"/>
        <item x="154"/>
        <item x="328"/>
        <item x="371"/>
        <item x="148"/>
        <item x="521"/>
        <item x="405"/>
        <item x="337"/>
        <item x="595"/>
        <item x="5"/>
        <item x="297"/>
        <item x="697"/>
        <item x="130"/>
        <item x="412"/>
        <item x="108"/>
        <item x="162"/>
        <item x="457"/>
        <item x="585"/>
        <item x="430"/>
        <item x="176"/>
        <item x="428"/>
        <item x="500"/>
        <item x="66"/>
        <item x="213"/>
        <item x="35"/>
        <item x="237"/>
        <item x="195"/>
        <item x="336"/>
        <item x="660"/>
        <item x="516"/>
        <item x="207"/>
        <item x="321"/>
        <item x="105"/>
        <item x="524"/>
        <item x="725"/>
        <item x="157"/>
        <item x="717"/>
        <item x="6"/>
        <item x="410"/>
        <item x="704"/>
        <item x="138"/>
        <item x="114"/>
        <item x="559"/>
        <item x="469"/>
        <item x="30"/>
        <item x="506"/>
        <item x="104"/>
        <item x="124"/>
        <item x="168"/>
        <item x="489"/>
        <item x="294"/>
        <item x="502"/>
        <item x="477"/>
        <item x="56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527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159"/>
        <item x="232"/>
        <item x="408"/>
        <item x="460"/>
        <item x="574"/>
        <item x="281"/>
        <item x="316"/>
        <item x="51"/>
        <item x="528"/>
        <item x="98"/>
        <item x="339"/>
        <item x="638"/>
        <item x="26"/>
        <item x="577"/>
        <item x="703"/>
        <item x="140"/>
        <item x="684"/>
        <item x="597"/>
        <item x="99"/>
        <item x="62"/>
        <item x="459"/>
        <item x="654"/>
        <item x="177"/>
        <item x="452"/>
        <item x="578"/>
        <item x="210"/>
        <item x="667"/>
        <item x="557"/>
        <item x="37"/>
        <item x="561"/>
        <item x="440"/>
        <item x="327"/>
        <item x="54"/>
        <item x="290"/>
        <item x="286"/>
        <item x="325"/>
        <item x="480"/>
        <item x="576"/>
        <item x="309"/>
        <item x="322"/>
        <item x="529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173"/>
        <item x="453"/>
        <item x="454"/>
        <item x="211"/>
        <item x="596"/>
        <item x="75"/>
        <item x="397"/>
        <item x="70"/>
        <item x="123"/>
        <item x="382"/>
        <item x="308"/>
        <item x="706"/>
        <item x="519"/>
        <item x="55"/>
        <item x="341"/>
        <item x="631"/>
        <item x="23"/>
        <item x="699"/>
        <item x="142"/>
        <item x="383"/>
        <item x="646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229"/>
        <item x="617"/>
        <item x="689"/>
        <item x="616"/>
        <item x="305"/>
        <item x="466"/>
        <item x="530"/>
        <item x="609"/>
        <item x="632"/>
        <item x="24"/>
        <item x="90"/>
        <item x="698"/>
        <item x="134"/>
        <item x="257"/>
        <item x="437"/>
        <item x="97"/>
        <item x="401"/>
        <item x="589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254"/>
        <item x="680"/>
        <item x="690"/>
        <item x="103"/>
        <item x="91"/>
        <item x="304"/>
        <item x="323"/>
        <item x="525"/>
        <item x="517"/>
        <item x="642"/>
        <item x="20"/>
        <item x="606"/>
        <item x="143"/>
        <item x="533"/>
        <item x="473"/>
        <item x="399"/>
        <item x="253"/>
        <item x="661"/>
        <item x="180"/>
        <item x="239"/>
        <item x="270"/>
        <item x="89"/>
        <item x="204"/>
        <item x="378"/>
        <item x="280"/>
        <item x="532"/>
        <item x="160"/>
        <item x="241"/>
        <item x="307"/>
        <item x="384"/>
        <item x="571"/>
        <item x="709"/>
        <item x="43"/>
        <item x="641"/>
        <item x="21"/>
        <item x="547"/>
        <item x="128"/>
        <item x="158"/>
        <item x="474"/>
        <item x="310"/>
        <item x="388"/>
        <item x="657"/>
        <item x="182"/>
        <item x="283"/>
        <item x="587"/>
        <item x="206"/>
        <item x="391"/>
        <item x="155"/>
        <item x="47"/>
        <item x="691"/>
        <item x="163"/>
        <item x="208"/>
        <item x="386"/>
        <item x="302"/>
        <item x="705"/>
        <item x="379"/>
        <item x="715"/>
        <item x="42"/>
        <item x="644"/>
        <item x="17"/>
        <item x="166"/>
        <item x="129"/>
        <item x="546"/>
        <item x="38"/>
        <item x="41"/>
        <item x="432"/>
        <item x="27"/>
        <item x="223"/>
        <item x="34"/>
        <item x="271"/>
        <item x="685"/>
        <item x="511"/>
        <item x="634"/>
        <item x="46"/>
        <item x="692"/>
        <item x="214"/>
        <item x="455"/>
        <item x="471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192"/>
        <item x="330"/>
        <item x="57"/>
        <item x="84"/>
        <item x="320"/>
        <item x="314"/>
        <item x="554"/>
        <item x="722"/>
        <item x="713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156"/>
        <item x="45"/>
        <item x="693"/>
        <item x="100"/>
        <item x="81"/>
        <item x="147"/>
        <item x="485"/>
        <item x="723"/>
        <item x="224"/>
        <item x="710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200"/>
        <item x="415"/>
        <item x="329"/>
        <item x="146"/>
        <item x="583"/>
        <item x="86"/>
        <item x="238"/>
        <item x="700"/>
        <item x="560"/>
        <item x="60"/>
        <item x="15"/>
        <item x="411"/>
        <item x="470"/>
        <item x="612"/>
        <item x="601"/>
        <item x="264"/>
        <item x="167"/>
        <item x="119"/>
        <item x="666"/>
        <item x="247"/>
        <item x="681"/>
        <item x="112"/>
        <item x="69"/>
        <item x="260"/>
        <item x="230"/>
        <item x="126"/>
        <item x="475"/>
        <item x="563"/>
        <item x="463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373"/>
        <item x="233"/>
        <item x="493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425"/>
        <item x="193"/>
        <item x="367"/>
        <item x="548"/>
        <item x="671"/>
        <item x="352"/>
        <item x="721"/>
        <item x="670"/>
        <item x="355"/>
        <item x="639"/>
        <item x="679"/>
        <item x="358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h="1" x="0"/>
        <item x="1"/>
        <item h="1" x="2"/>
        <item h="1" x="3"/>
        <item x="4"/>
      </items>
    </pivotField>
    <pivotField name="Kitchen Size (Sq. Meters)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261"/>
        <item x="404"/>
        <item x="221"/>
        <item x="190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146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393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164"/>
        <item x="137"/>
        <item x="43"/>
        <item x="177"/>
        <item x="27"/>
        <item x="424"/>
        <item x="81"/>
        <item x="197"/>
        <item x="143"/>
        <item x="178"/>
        <item x="311"/>
        <item x="80"/>
        <item x="328"/>
        <item x="456"/>
        <item x="18"/>
        <item x="204"/>
        <item x="98"/>
        <item x="114"/>
        <item x="344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64"/>
        <item x="380"/>
        <item x="97"/>
        <item x="3"/>
        <item x="4"/>
        <item x="179"/>
        <item x="338"/>
        <item x="278"/>
        <item x="6"/>
        <item x="467"/>
        <item x="299"/>
        <item x="214"/>
        <item x="377"/>
        <item x="281"/>
        <item x="287"/>
        <item x="258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387"/>
        <item x="48"/>
        <item x="460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266"/>
        <item x="25"/>
        <item x="95"/>
        <item x="101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162"/>
        <item x="280"/>
        <item x="141"/>
        <item x="7"/>
        <item x="466"/>
        <item x="289"/>
        <item x="134"/>
        <item x="8"/>
        <item x="473"/>
        <item x="269"/>
        <item x="307"/>
        <item x="351"/>
        <item x="185"/>
        <item x="88"/>
        <item x="72"/>
        <item x="441"/>
        <item x="356"/>
        <item x="388"/>
        <item x="451"/>
        <item x="111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327"/>
        <item x="446"/>
        <item x="168"/>
        <item x="232"/>
        <item x="312"/>
        <item x="105"/>
        <item x="156"/>
        <item x="218"/>
        <item x="54"/>
        <item x="199"/>
        <item x="382"/>
        <item x="274"/>
        <item x="172"/>
        <item x="159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349"/>
        <item x="44"/>
        <item x="442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416"/>
        <item x="334"/>
        <item x="79"/>
        <item x="250"/>
        <item x="386"/>
        <item x="381"/>
        <item x="414"/>
        <item x="415"/>
        <item x="93"/>
        <item x="120"/>
        <item x="155"/>
        <item x="318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axis="axisRow" compact="0" outline="0" multipleItemSelectionAllowed="1" showAll="0" sortType="descending" defaultSubtotal="0">
      <items>
        <item x="66"/>
        <item x="137"/>
        <item x="165"/>
        <item x="172"/>
        <item x="93"/>
        <item x="173"/>
        <item x="13"/>
        <item x="176"/>
        <item x="40"/>
        <item x="62"/>
        <item x="75"/>
        <item x="164"/>
        <item x="145"/>
        <item x="136"/>
        <item x="15"/>
        <item x="178"/>
        <item x="94"/>
        <item x="6"/>
        <item x="84"/>
        <item x="103"/>
        <item x="55"/>
        <item x="14"/>
        <item x="116"/>
        <item x="143"/>
        <item x="97"/>
        <item x="53"/>
        <item x="5"/>
        <item x="163"/>
        <item x="101"/>
        <item x="109"/>
        <item x="129"/>
        <item x="50"/>
        <item x="138"/>
        <item x="95"/>
        <item x="141"/>
        <item x="69"/>
        <item x="47"/>
        <item x="161"/>
        <item x="102"/>
        <item x="8"/>
        <item x="4"/>
        <item x="3"/>
        <item x="44"/>
        <item x="33"/>
        <item x="38"/>
        <item x="27"/>
        <item x="22"/>
        <item x="166"/>
        <item x="9"/>
        <item x="25"/>
        <item x="108"/>
        <item x="153"/>
        <item x="131"/>
        <item x="177"/>
        <item x="23"/>
        <item x="43"/>
        <item x="106"/>
        <item x="58"/>
        <item x="142"/>
        <item x="74"/>
        <item x="60"/>
        <item x="35"/>
        <item x="56"/>
        <item x="68"/>
        <item x="155"/>
        <item x="112"/>
        <item x="70"/>
        <item x="99"/>
        <item x="107"/>
        <item x="54"/>
        <item x="7"/>
        <item x="1"/>
        <item x="135"/>
        <item x="67"/>
        <item x="21"/>
        <item x="126"/>
        <item x="45"/>
        <item x="159"/>
        <item x="98"/>
        <item x="65"/>
        <item x="16"/>
        <item x="18"/>
        <item x="170"/>
        <item x="37"/>
        <item x="140"/>
        <item x="17"/>
        <item x="39"/>
        <item x="154"/>
        <item x="124"/>
        <item x="133"/>
        <item x="147"/>
        <item x="64"/>
        <item x="127"/>
        <item x="82"/>
        <item x="79"/>
        <item x="76"/>
        <item x="175"/>
        <item x="121"/>
        <item x="20"/>
        <item x="174"/>
        <item x="92"/>
        <item x="171"/>
        <item x="100"/>
        <item x="36"/>
        <item x="117"/>
        <item x="30"/>
        <item x="149"/>
        <item x="152"/>
        <item x="120"/>
        <item x="78"/>
        <item x="150"/>
        <item x="57"/>
        <item x="91"/>
        <item x="19"/>
        <item x="26"/>
        <item x="162"/>
        <item x="88"/>
        <item x="157"/>
        <item x="77"/>
        <item x="144"/>
        <item x="87"/>
        <item x="134"/>
        <item x="24"/>
        <item x="34"/>
        <item x="2"/>
        <item x="104"/>
        <item x="32"/>
        <item x="160"/>
        <item x="59"/>
        <item x="86"/>
        <item x="168"/>
        <item x="28"/>
        <item x="10"/>
        <item x="139"/>
        <item x="52"/>
        <item x="81"/>
        <item x="29"/>
        <item x="49"/>
        <item x="41"/>
        <item x="122"/>
        <item x="156"/>
        <item x="158"/>
        <item x="146"/>
        <item x="11"/>
        <item x="89"/>
        <item x="125"/>
        <item x="51"/>
        <item x="61"/>
        <item x="130"/>
        <item x="90"/>
        <item x="96"/>
        <item x="46"/>
        <item x="48"/>
        <item x="12"/>
        <item x="118"/>
        <item x="72"/>
        <item x="73"/>
        <item x="80"/>
        <item x="83"/>
        <item x="111"/>
        <item x="128"/>
        <item x="71"/>
        <item x="132"/>
        <item x="31"/>
        <item x="119"/>
        <item x="63"/>
        <item x="167"/>
        <item x="0"/>
        <item x="42"/>
        <item x="123"/>
        <item x="85"/>
        <item x="113"/>
        <item x="105"/>
        <item x="148"/>
        <item x="114"/>
        <item x="110"/>
        <item x="151"/>
        <item x="115"/>
        <item x="169"/>
      </items>
    </pivotField>
    <pivotField name="Li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0"/>
    <field x="1"/>
    <field x="8"/>
    <field x="4"/>
    <field x="5"/>
    <field x="6"/>
    <field x="7"/>
    <field x="14"/>
    <field x="12"/>
  </rowFields>
</pivotTableDefinition>
</file>

<file path=xl/pivotTables/pivotTable4.xml><?xml version="1.0" encoding="utf-8"?>
<pivotTableDefinition xmlns="http://schemas.openxmlformats.org/spreadsheetml/2006/main" name="Qurtoba" cacheId="3" dataCaption="" rowGrandTotals="0" compact="0" compactData="0">
  <location ref="A3:J56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5.xml><?xml version="1.0" encoding="utf-8"?>
<pivotTableDefinition xmlns="http://schemas.openxmlformats.org/spreadsheetml/2006/main" name="Olaya" cacheId="3" dataCaption="" rowGrandTotals="0" compact="0" compactData="0">
  <location ref="A3:J25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6.xml><?xml version="1.0" encoding="utf-8"?>
<pivotTableDefinition xmlns="http://schemas.openxmlformats.org/spreadsheetml/2006/main" name="Sulimaniah" cacheId="3" dataCaption="" rowGrandTotals="0" compact="0" compactData="0">
  <location ref="A3:J28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7.xml><?xml version="1.0" encoding="utf-8"?>
<pivotTableDefinition xmlns="http://schemas.openxmlformats.org/spreadsheetml/2006/main" name="Wadi" cacheId="3" dataCaption="" rowGrandTotals="0" compact="0" compactData="0">
  <location ref="A3:J59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8.xml><?xml version="1.0" encoding="utf-8"?>
<pivotTableDefinition xmlns="http://schemas.openxmlformats.org/spreadsheetml/2006/main" name="Dahrat Laban" cacheId="3" dataCaption="" rowGrandTotals="0" compact="0" compactData="0">
  <location ref="A3:J41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9.xml><?xml version="1.0" encoding="utf-8"?>
<pivotTableDefinition xmlns="http://schemas.openxmlformats.org/spreadsheetml/2006/main" name="Suweidi" cacheId="3" dataCaption="" rowGrandTotals="0" compact="0" compactData="0">
  <location ref="A3:J27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10.xml><?xml version="1.0" encoding="utf-8"?>
<pivotTableDefinition xmlns="http://schemas.openxmlformats.org/spreadsheetml/2006/main" name="Suweidi 2" cacheId="3" dataCaption="" rowGrandTotals="0" compact="0" compactData="0">
  <location ref="A3:J16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11.xml><?xml version="1.0" encoding="utf-8"?>
<pivotTableDefinition xmlns="http://schemas.openxmlformats.org/spreadsheetml/2006/main" name="Malga 1" cacheId="3" dataCaption="" rowGrandTotals="0" compact="0" compactData="0">
  <location ref="A3:J24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12.xml><?xml version="1.0" encoding="utf-8"?>
<pivotTableDefinition xmlns="http://schemas.openxmlformats.org/spreadsheetml/2006/main" name="Malga 2" cacheId="3" dataCaption="" rowGrandTotals="0" compact="0" compactData="0">
  <location ref="A3:J32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13.xml><?xml version="1.0" encoding="utf-8"?>
<pivotTableDefinition xmlns="http://schemas.openxmlformats.org/spreadsheetml/2006/main" name="Khaleej" cacheId="3" dataCaption="" rowGrandTotals="0" compact="0" compactData="0">
  <location ref="A3:J37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14.xml><?xml version="1.0" encoding="utf-8"?>
<pivotTableDefinition xmlns="http://schemas.openxmlformats.org/spreadsheetml/2006/main" name="Salam" cacheId="3" dataCaption="" rowGrandTotals="0" compact="0" compactData="0">
  <location ref="A3:J25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15.xml><?xml version="1.0" encoding="utf-8"?>
<pivotTableDefinition xmlns="http://schemas.openxmlformats.org/spreadsheetml/2006/main" name="Aqiq" cacheId="3" dataCaption="" rowGrandTotals="0" compact="0" compactData="0">
  <location ref="A3:J24" firstHeaderRow="0" firstDataRow="9" firstDataCol="0" rowPageCount="1" colPageCount="1"/>
  <pivotFields>
    <pivotField name="Account Name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16.xml><?xml version="1.0" encoding="utf-8"?>
<pivotTableDefinition xmlns="http://schemas.openxmlformats.org/spreadsheetml/2006/main" name="Aqiq 2" cacheId="3" dataCaption="" rowGrandTotals="0" compact="0" compactData="0">
  <location ref="A3:J16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17.xml><?xml version="1.0" encoding="utf-8"?>
<pivotTableDefinition xmlns="http://schemas.openxmlformats.org/spreadsheetml/2006/main" name="Jarir" cacheId="3" dataCaption="" rowGrandTotals="0" compact="0" compactData="0">
  <location ref="A3:J26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18.xml><?xml version="1.0" encoding="utf-8"?>
<pivotTableDefinition xmlns="http://schemas.openxmlformats.org/spreadsheetml/2006/main" name="King Fahd" cacheId="3" dataCaption="" rowGrandTotals="0" compact="0" compactData="0">
  <location ref="A3:J32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19.xml><?xml version="1.0" encoding="utf-8"?>
<pivotTableDefinition xmlns="http://schemas.openxmlformats.org/spreadsheetml/2006/main" name="Arid 2" cacheId="3" dataCaption="" rowGrandTotals="0" compact="0" compactData="0">
  <location ref="A3:J23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20.xml><?xml version="1.0" encoding="utf-8"?>
<pivotTableDefinition xmlns="http://schemas.openxmlformats.org/spreadsheetml/2006/main" name="Narjis" cacheId="3" dataCaption="" rowGrandTotals="0" compact="0" compactData="0">
  <location ref="A3:J31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21.xml><?xml version="1.0" encoding="utf-8"?>
<pivotTableDefinition xmlns="http://schemas.openxmlformats.org/spreadsheetml/2006/main" name="King Faisal" cacheId="3" dataCaption="" rowGrandTotals="0" compact="0" compactData="0">
  <location ref="A3:J26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22.xml><?xml version="1.0" encoding="utf-8"?>
<pivotTableDefinition xmlns="http://schemas.openxmlformats.org/spreadsheetml/2006/main" name="Yasmin" cacheId="3" dataCaption="" rowGrandTotals="0" compact="0" compactData="0">
  <location ref="A3:J23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23.xml><?xml version="1.0" encoding="utf-8"?>
<pivotTableDefinition xmlns="http://schemas.openxmlformats.org/spreadsheetml/2006/main" name="Wurud" cacheId="3" dataCaption="" rowGrandTotals="0" compact="0" compactData="0">
  <location ref="A3:J25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24.xml><?xml version="1.0" encoding="utf-8"?>
<pivotTableDefinition xmlns="http://schemas.openxmlformats.org/spreadsheetml/2006/main" name="Copy of Wurud" cacheId="3" dataCaption="" rowGrandTotals="0" compact="0" compactData="0">
  <location ref="A3:E12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25.xml><?xml version="1.0" encoding="utf-8"?>
<pivotTableDefinition xmlns="http://schemas.openxmlformats.org/spreadsheetml/2006/main" name="Aqrabiya - KBR" cacheId="3" dataCaption="" rowGrandTotals="0" compact="0" compactData="0">
  <location ref="A3:J33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26.xml><?xml version="1.0" encoding="utf-8"?>
<pivotTableDefinition xmlns="http://schemas.openxmlformats.org/spreadsheetml/2006/main" name="Rakah - KBR" cacheId="3" dataCaption="" rowGrandTotals="0" compact="0" compactData="0">
  <location ref="A3:J20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27.xml><?xml version="1.0" encoding="utf-8"?>
<pivotTableDefinition xmlns="http://schemas.openxmlformats.org/spreadsheetml/2006/main" name="Zuhur - DMM" cacheId="3" dataCaption="" rowGrandTotals="0" compact="0" compactData="0">
  <location ref="A3:J27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28.xml><?xml version="1.0" encoding="utf-8"?>
<pivotTableDefinition xmlns="http://schemas.openxmlformats.org/spreadsheetml/2006/main" name="Rawda - DMM" cacheId="3" dataCaption="" rowGrandTotals="0" compact="0" compactData="0">
  <location ref="A3:J27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8"/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29.xml><?xml version="1.0" encoding="utf-8"?>
<pivotTableDefinition xmlns="http://schemas.openxmlformats.org/spreadsheetml/2006/main" name="Hofuf" cacheId="1" dataCaption="" rowGrandTotals="0" compact="0" compactData="0">
  <location ref="A3:J23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30.xml><?xml version="1.0" encoding="utf-8"?>
<pivotTableDefinition xmlns="http://schemas.openxmlformats.org/spreadsheetml/2006/main" name="Bishr" cacheId="1" dataCaption="" rowGrandTotals="0" compact="0" compactData="0">
  <location ref="A3:J21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axis="axisRow" compact="0" outline="0" multipleItemSelectionAllowed="1" showAll="0" sortType="ascending" defaultSubtotal="0">
      <items>
        <item x="16"/>
        <item x="2"/>
        <item x="5"/>
        <item x="8"/>
        <item x="1"/>
        <item x="4"/>
        <item x="3"/>
        <item x="10"/>
        <item x="12"/>
        <item x="13"/>
        <item x="17"/>
        <item x="14"/>
        <item x="9"/>
        <item x="15"/>
        <item x="6"/>
        <item x="7"/>
        <item x="11"/>
        <item x="0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6"/>
    <field x="6"/>
    <field x="7"/>
    <field x="14"/>
    <field x="12"/>
  </rowFields>
  <pageFields>
    <pageField fld="0"/>
  </pageFields>
</pivotTableDefinition>
</file>

<file path=xl/pivotTables/pivotTable31.xml><?xml version="1.0" encoding="utf-8"?>
<pivotTableDefinition xmlns="http://schemas.openxmlformats.org/spreadsheetml/2006/main" name="Olaya - Old" cacheId="1" dataCaption="" rowGrandTotals="0" compact="0" compactData="0">
  <location ref="A3:I25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Kitchen Size (Sq. Meters)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32.xml><?xml version="1.0" encoding="utf-8"?>
<pivotTableDefinition xmlns="http://schemas.openxmlformats.org/spreadsheetml/2006/main" name="Sulimaniah - Old" cacheId="1" dataCaption="" rowGrandTotals="0" compact="0" compactData="0">
  <location ref="A3:I28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33.xml><?xml version="1.0" encoding="utf-8"?>
<pivotTableDefinition xmlns="http://schemas.openxmlformats.org/spreadsheetml/2006/main" name="Qurtoba - Old" cacheId="1" dataCaption="" rowGrandTotals="0" compact="0" compactData="0">
  <location ref="A3:J56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h="1"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axis="axisRow" compact="0" outline="0" multipleItemSelectionAllowed="1" showAll="0" sortType="ascending" defaultSubtotal="0">
      <items>
        <item x="0"/>
        <item x="57"/>
        <item x="31"/>
        <item x="76"/>
        <item x="22"/>
        <item x="54"/>
        <item x="53"/>
        <item x="81"/>
        <item x="7"/>
        <item x="33"/>
        <item x="73"/>
        <item x="83"/>
        <item x="60"/>
        <item x="42"/>
        <item x="6"/>
        <item x="49"/>
        <item x="30"/>
        <item x="20"/>
        <item x="70"/>
        <item x="35"/>
        <item x="37"/>
        <item x="5"/>
        <item x="19"/>
        <item x="23"/>
        <item x="82"/>
        <item x="65"/>
        <item x="1"/>
        <item x="58"/>
        <item x="25"/>
        <item x="55"/>
        <item x="61"/>
        <item x="59"/>
        <item x="14"/>
        <item x="21"/>
        <item x="51"/>
        <item x="80"/>
        <item x="27"/>
        <item x="15"/>
        <item x="72"/>
        <item x="52"/>
        <item x="28"/>
        <item x="77"/>
        <item x="12"/>
        <item x="13"/>
        <item x="11"/>
        <item x="44"/>
        <item x="78"/>
        <item x="16"/>
        <item x="46"/>
        <item x="2"/>
        <item x="67"/>
        <item x="48"/>
        <item x="40"/>
        <item x="47"/>
        <item x="26"/>
        <item x="41"/>
        <item x="75"/>
        <item x="66"/>
        <item x="18"/>
        <item x="74"/>
        <item x="79"/>
        <item x="68"/>
        <item x="50"/>
        <item x="4"/>
        <item x="17"/>
        <item x="24"/>
        <item x="32"/>
        <item x="3"/>
        <item x="34"/>
        <item x="36"/>
        <item x="69"/>
        <item x="64"/>
        <item x="38"/>
        <item x="9"/>
        <item x="39"/>
        <item x="56"/>
        <item x="71"/>
        <item x="10"/>
        <item x="43"/>
        <item x="29"/>
        <item x="8"/>
        <item x="63"/>
        <item x="62"/>
        <item x="45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descending" defaultSubtotal="0">
      <items>
        <item x="8"/>
        <item x="5"/>
        <item x="0"/>
        <item x="4"/>
        <item x="10"/>
        <item x="11"/>
        <item x="7"/>
        <item x="6"/>
        <item x="2"/>
        <item x="3"/>
        <item x="1"/>
        <item x="9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10"/>
    <field x="4"/>
    <field x="5"/>
    <field x="6"/>
    <field x="7"/>
    <field x="14"/>
    <field x="12"/>
  </rowFields>
  <pageFields>
    <pageField fld="0"/>
  </pageFields>
</pivotTableDefinition>
</file>

<file path=xl/pivotTables/pivotTable34.xml><?xml version="1.0" encoding="utf-8"?>
<pivotTableDefinition xmlns="http://schemas.openxmlformats.org/spreadsheetml/2006/main" name="Dahrat Laban - Old" cacheId="1" dataCaption="" rowGrandTotals="0" compact="0" compactData="0">
  <location ref="A3:I41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35.xml><?xml version="1.0" encoding="utf-8"?>
<pivotTableDefinition xmlns="http://schemas.openxmlformats.org/spreadsheetml/2006/main" name="Suweidi - Old" cacheId="1" dataCaption="" rowGrandTotals="0" compact="0" compactData="0">
  <location ref="A3:I27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36.xml><?xml version="1.0" encoding="utf-8"?>
<pivotTableDefinition xmlns="http://schemas.openxmlformats.org/spreadsheetml/2006/main" name="Malga 1 - Old" cacheId="1" dataCaption="" rowGrandTotals="0" compact="0" compactData="0">
  <location ref="A3:I24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37.xml><?xml version="1.0" encoding="utf-8"?>
<pivotTableDefinition xmlns="http://schemas.openxmlformats.org/spreadsheetml/2006/main" name="Malga 2 - Old" cacheId="1" dataCaption="" rowGrandTotals="0" compact="0" compactData="0">
  <location ref="A3:I32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38.xml><?xml version="1.0" encoding="utf-8"?>
<pivotTableDefinition xmlns="http://schemas.openxmlformats.org/spreadsheetml/2006/main" name="Aqiq - Old" cacheId="1" dataCaption="" rowGrandTotals="0" compact="0" compactData="0">
  <location ref="A3:J24" firstHeaderRow="0" firstDataRow="9" firstDataCol="0" rowPageCount="1" colPageCount="1"/>
  <pivotFields>
    <pivotField name="Account Name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Kitchen Size (Sq. Meters)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axis="axisRow" compact="0" outline="0" multipleItemSelectionAllowed="1" showAll="0" sortType="ascending" defaultSubtotal="0">
      <items>
        <item x="0"/>
        <item x="57"/>
        <item x="31"/>
        <item x="76"/>
        <item x="22"/>
        <item x="54"/>
        <item x="53"/>
        <item x="81"/>
        <item x="7"/>
        <item x="33"/>
        <item x="73"/>
        <item x="83"/>
        <item x="60"/>
        <item x="42"/>
        <item x="6"/>
        <item x="49"/>
        <item x="30"/>
        <item x="20"/>
        <item x="70"/>
        <item x="35"/>
        <item x="37"/>
        <item x="5"/>
        <item x="19"/>
        <item x="23"/>
        <item x="82"/>
        <item x="65"/>
        <item x="1"/>
        <item x="58"/>
        <item x="25"/>
        <item x="55"/>
        <item x="61"/>
        <item x="59"/>
        <item x="14"/>
        <item x="21"/>
        <item x="51"/>
        <item x="80"/>
        <item x="27"/>
        <item x="15"/>
        <item x="72"/>
        <item x="52"/>
        <item x="28"/>
        <item x="77"/>
        <item x="12"/>
        <item x="13"/>
        <item x="11"/>
        <item x="44"/>
        <item x="78"/>
        <item x="16"/>
        <item x="46"/>
        <item x="2"/>
        <item x="67"/>
        <item x="48"/>
        <item x="40"/>
        <item x="47"/>
        <item x="26"/>
        <item x="41"/>
        <item x="75"/>
        <item x="66"/>
        <item x="18"/>
        <item x="74"/>
        <item x="79"/>
        <item x="68"/>
        <item x="50"/>
        <item x="4"/>
        <item x="17"/>
        <item x="24"/>
        <item x="32"/>
        <item x="3"/>
        <item x="34"/>
        <item x="36"/>
        <item x="69"/>
        <item x="64"/>
        <item x="38"/>
        <item x="9"/>
        <item x="39"/>
        <item x="56"/>
        <item x="71"/>
        <item x="10"/>
        <item x="43"/>
        <item x="29"/>
        <item x="8"/>
        <item x="63"/>
        <item x="62"/>
        <item x="45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10"/>
    <field x="4"/>
    <field x="5"/>
    <field x="6"/>
    <field x="7"/>
    <field x="14"/>
    <field x="12"/>
  </rowFields>
  <pageFields>
    <pageField fld="0"/>
  </pageFields>
</pivotTableDefinition>
</file>

<file path=xl/pivotTables/pivotTable39.xml><?xml version="1.0" encoding="utf-8"?>
<pivotTableDefinition xmlns="http://schemas.openxmlformats.org/spreadsheetml/2006/main" name="Jarir - Old" cacheId="1" dataCaption="" rowGrandTotals="0" compact="0" compactData="0">
  <location ref="A3:I26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40.xml><?xml version="1.0" encoding="utf-8"?>
<pivotTableDefinition xmlns="http://schemas.openxmlformats.org/spreadsheetml/2006/main" name="Khaleej - Old" cacheId="1" dataCaption="" rowGrandTotals="0" compact="0" compactData="0">
  <location ref="A3:I37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41.xml><?xml version="1.0" encoding="utf-8"?>
<pivotTableDefinition xmlns="http://schemas.openxmlformats.org/spreadsheetml/2006/main" name="King Fahad - Old" cacheId="1" dataCaption="" rowGrandTotals="0" compact="0" compactData="0">
  <location ref="A3:I32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QM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42.xml><?xml version="1.0" encoding="utf-8"?>
<pivotTableDefinition xmlns="http://schemas.openxmlformats.org/spreadsheetml/2006/main" name="Salam - Old" cacheId="1" dataCaption="" rowGrandTotals="0" compact="0" compactData="0">
  <location ref="A3:I25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43.xml><?xml version="1.0" encoding="utf-8"?>
<pivotTableDefinition xmlns="http://schemas.openxmlformats.org/spreadsheetml/2006/main" name="Narjis - Old" cacheId="1" dataCaption="" rowGrandTotals="0" compact="0" compactData="0">
  <location ref="A3:I31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44.xml><?xml version="1.0" encoding="utf-8"?>
<pivotTableDefinition xmlns="http://schemas.openxmlformats.org/spreadsheetml/2006/main" name="Yasmin - Old" cacheId="1" dataCaption="" rowGrandTotals="0" compact="0" compactData="0">
  <location ref="A3:I23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45.xml><?xml version="1.0" encoding="utf-8"?>
<pivotTableDefinition xmlns="http://schemas.openxmlformats.org/spreadsheetml/2006/main" name="Aqrabiya - Old" cacheId="1" dataCaption="" rowGrandTotals="0" compact="0" compactData="0">
  <location ref="A3:I33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46.xml><?xml version="1.0" encoding="utf-8"?>
<pivotTableDefinition xmlns="http://schemas.openxmlformats.org/spreadsheetml/2006/main" name="Rawdah - DMM - Old" cacheId="1" dataCaption="" rowGrandTotals="0" compact="0" compactData="0">
  <location ref="A3:I27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47.xml><?xml version="1.0" encoding="utf-8"?>
<pivotTableDefinition xmlns="http://schemas.openxmlformats.org/spreadsheetml/2006/main" name="Zuhur - Old" cacheId="1" dataCaption="" rowGrandTotals="0" compact="0" compactData="0">
  <location ref="A3:I27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48.xml><?xml version="1.0" encoding="utf-8"?>
<pivotTableDefinition xmlns="http://schemas.openxmlformats.org/spreadsheetml/2006/main" name="Hofuf - Old" cacheId="1" dataCaption="" rowGrandTotals="0" compact="0" compactData="0">
  <location ref="A3:I23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49.xml><?xml version="1.0" encoding="utf-8"?>
<pivotTableDefinition xmlns="http://schemas.openxmlformats.org/spreadsheetml/2006/main" name="Qassim - Old" cacheId="1" dataCaption="" rowGrandTotals="0" compact="0" compactData="0">
  <location ref="A3:I21" firstHeaderRow="0" firstDataRow="8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6"/>
    <field x="7"/>
    <field x="14"/>
    <field x="12"/>
  </rowFields>
  <pageFields>
    <pageField fld="0"/>
  </pageFields>
</pivotTableDefinition>
</file>

<file path=xl/pivotTables/pivotTable50.xml><?xml version="1.0" encoding="utf-8"?>
<pivotTableDefinition xmlns="http://schemas.openxmlformats.org/spreadsheetml/2006/main" name="Tuwaiq" cacheId="1" dataCaption="" rowGrandTotals="0" compact="0" compactData="0">
  <location ref="A3:J21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axis="axisRow" compact="0" outline="0" multipleItemSelectionAllowed="1" showAll="0" sortType="ascending" defaultSubtotal="0">
      <items>
        <item x="3"/>
        <item x="2"/>
        <item x="4"/>
        <item x="1"/>
        <item x="5"/>
        <item x="0"/>
        <item x="7"/>
        <item x="8"/>
        <item x="6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5"/>
    <field x="6"/>
    <field x="7"/>
    <field x="14"/>
    <field x="12"/>
  </rowFields>
  <pageFields>
    <pageField fld="0"/>
  </pageFields>
</pivotTableDefinition>
</file>

<file path=xl/pivotTables/pivotTable51.xml><?xml version="1.0" encoding="utf-8"?>
<pivotTableDefinition xmlns="http://schemas.openxmlformats.org/spreadsheetml/2006/main" name="Arid 1" cacheId="1" dataCaption="" rowGrandTotals="0" compact="0" compactData="0">
  <location ref="A3:J24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axis="axisRow" compact="0" outline="0" multipleItemSelectionAllowed="1" showAll="0" sortType="ascending" defaultSubtotal="0">
      <items>
        <item x="3"/>
        <item x="2"/>
        <item x="4"/>
        <item x="1"/>
        <item x="5"/>
        <item x="0"/>
        <item x="7"/>
        <item x="8"/>
        <item x="6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5"/>
    <field x="6"/>
    <field x="7"/>
    <field x="14"/>
    <field x="12"/>
  </rowFields>
  <pageFields>
    <pageField fld="0"/>
  </pageFields>
</pivotTableDefinition>
</file>

<file path=xl/pivotTables/pivotTable52.xml><?xml version="1.0" encoding="utf-8"?>
<pivotTableDefinition xmlns="http://schemas.openxmlformats.org/spreadsheetml/2006/main" name="Rawda" cacheId="1" dataCaption="" rowGrandTotals="0" compact="0" compactData="0">
  <location ref="A3:J24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axis="axisRow" compact="0" outline="0" multipleItemSelectionAllowed="1" showAll="0" sortType="ascending" defaultSubtotal="0">
      <items>
        <item x="3"/>
        <item x="2"/>
        <item x="4"/>
        <item x="1"/>
        <item x="5"/>
        <item x="0"/>
        <item x="7"/>
        <item x="8"/>
        <item x="6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5"/>
    <field x="6"/>
    <field x="7"/>
    <field x="14"/>
    <field x="12"/>
  </rowFields>
  <pageFields>
    <pageField fld="0"/>
  </pageFields>
</pivotTableDefinition>
</file>

<file path=xl/pivotTables/pivotTable53.xml><?xml version="1.0" encoding="utf-8"?>
<pivotTableDefinition xmlns="http://schemas.openxmlformats.org/spreadsheetml/2006/main" name="Mursalat" cacheId="1" dataCaption="" rowGrandTotals="0" compact="0" compactData="0">
  <location ref="A3:J26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t="default"/>
      </items>
    </pivotField>
    <pivotField name="Type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t="default"/>
      </items>
    </pivotField>
    <pivotField name="Kitchen Number Name" axis="axisRow" compact="0" outline="0" multipleItemSelectionAllowed="1" showAll="0" sortType="ascending" defaultSubtotal="0">
      <items>
        <item x="844"/>
        <item x="276"/>
        <item x="2"/>
        <item x="662"/>
        <item x="535"/>
        <item x="332"/>
        <item x="217"/>
        <item x="572"/>
        <item x="626"/>
        <item x="149"/>
        <item x="755"/>
        <item x="544"/>
        <item x="570"/>
        <item x="259"/>
        <item x="221"/>
        <item x="478"/>
        <item x="742"/>
        <item x="607"/>
        <item x="299"/>
        <item x="95"/>
        <item x="592"/>
        <item x="11"/>
        <item x="824"/>
        <item x="655"/>
        <item x="127"/>
        <item x="624"/>
        <item x="190"/>
        <item x="398"/>
        <item x="255"/>
        <item x="648"/>
        <item x="374"/>
        <item x="85"/>
        <item x="656"/>
        <item x="161"/>
        <item x="771"/>
        <item x="400"/>
        <item x="419"/>
        <item x="481"/>
        <item x="326"/>
        <item x="593"/>
        <item x="235"/>
        <item x="226"/>
        <item x="172"/>
        <item x="109"/>
        <item x="203"/>
        <item x="385"/>
        <item x="811"/>
        <item x="300"/>
        <item x="49"/>
        <item x="753"/>
        <item x="107"/>
        <item x="540"/>
        <item x="522"/>
        <item x="732"/>
        <item x="96"/>
        <item x="608"/>
        <item x="768"/>
        <item x="630"/>
        <item x="10"/>
        <item x="152"/>
        <item x="707"/>
        <item x="135"/>
        <item x="591"/>
        <item x="486"/>
        <item x="476"/>
        <item x="743"/>
        <item x="390"/>
        <item x="472"/>
        <item x="417"/>
        <item x="324"/>
        <item x="416"/>
        <item x="449"/>
        <item x="79"/>
        <item x="515"/>
        <item x="274"/>
        <item x="694"/>
        <item x="436"/>
        <item x="289"/>
        <item x="467"/>
        <item x="659"/>
        <item x="174"/>
        <item x="446"/>
        <item x="381"/>
        <item x="387"/>
        <item x="785"/>
        <item x="843"/>
        <item x="301"/>
        <item x="282"/>
        <item x="518"/>
        <item x="733"/>
        <item x="791"/>
        <item x="424"/>
        <item x="458"/>
        <item x="7"/>
        <item x="115"/>
        <item x="708"/>
        <item x="131"/>
        <item x="431"/>
        <item x="623"/>
        <item x="222"/>
        <item x="588"/>
        <item x="464"/>
        <item x="116"/>
        <item x="291"/>
        <item x="117"/>
        <item x="633"/>
        <item x="409"/>
        <item x="504"/>
        <item x="71"/>
        <item x="215"/>
        <item x="296"/>
        <item x="812"/>
        <item x="52"/>
        <item x="250"/>
        <item x="545"/>
        <item x="333"/>
        <item x="1"/>
        <item x="443"/>
        <item x="284"/>
        <item x="829"/>
        <item x="175"/>
        <item x="68"/>
        <item x="603"/>
        <item x="198"/>
        <item x="754"/>
        <item x="306"/>
        <item x="523"/>
        <item x="730"/>
        <item x="610"/>
        <item x="769"/>
        <item x="719"/>
        <item x="8"/>
        <item x="825"/>
        <item x="696"/>
        <item x="136"/>
        <item x="618"/>
        <item x="497"/>
        <item x="258"/>
        <item x="627"/>
        <item x="421"/>
        <item x="94"/>
        <item x="637"/>
        <item x="298"/>
        <item x="346"/>
        <item x="434"/>
        <item x="191"/>
        <item x="450"/>
        <item x="586"/>
        <item x="212"/>
        <item x="39"/>
        <item x="809"/>
        <item x="366"/>
        <item x="674"/>
        <item x="487"/>
        <item x="343"/>
        <item x="569"/>
        <item x="584"/>
        <item x="427"/>
        <item x="395"/>
        <item x="776"/>
        <item x="750"/>
        <item x="303"/>
        <item x="520"/>
        <item x="731"/>
        <item x="58"/>
        <item x="334"/>
        <item x="406"/>
        <item x="720"/>
        <item x="9"/>
        <item x="496"/>
        <item x="635"/>
        <item x="137"/>
        <item x="50"/>
        <item x="658"/>
        <item x="344"/>
        <item x="88"/>
        <item x="620"/>
        <item x="87"/>
        <item x="622"/>
        <item x="261"/>
        <item x="651"/>
        <item x="828"/>
        <item x="171"/>
        <item x="499"/>
        <item x="65"/>
        <item x="205"/>
        <item x="636"/>
        <item x="810"/>
        <item x="439"/>
        <item x="426"/>
        <item x="187"/>
        <item x="543"/>
        <item x="194"/>
        <item x="287"/>
        <item x="169"/>
        <item x="404"/>
        <item x="396"/>
        <item x="531"/>
        <item x="234"/>
        <item x="751"/>
        <item x="526"/>
        <item x="728"/>
        <item x="56"/>
        <item x="338"/>
        <item x="44"/>
        <item x="718"/>
        <item x="4"/>
        <item x="508"/>
        <item x="695"/>
        <item x="133"/>
        <item x="777"/>
        <item x="682"/>
        <item x="534"/>
        <item x="106"/>
        <item x="246"/>
        <item x="814"/>
        <item x="295"/>
        <item x="650"/>
        <item x="331"/>
        <item x="514"/>
        <item x="448"/>
        <item x="663"/>
        <item x="216"/>
        <item x="490"/>
        <item x="556"/>
        <item x="778"/>
        <item x="433"/>
        <item x="32"/>
        <item x="573"/>
        <item x="93"/>
        <item x="154"/>
        <item x="758"/>
        <item x="328"/>
        <item x="371"/>
        <item x="148"/>
        <item x="752"/>
        <item x="521"/>
        <item x="729"/>
        <item x="405"/>
        <item x="337"/>
        <item x="766"/>
        <item x="595"/>
        <item x="5"/>
        <item x="297"/>
        <item x="697"/>
        <item x="130"/>
        <item x="412"/>
        <item x="108"/>
        <item x="830"/>
        <item x="162"/>
        <item x="457"/>
        <item x="585"/>
        <item x="430"/>
        <item x="842"/>
        <item x="176"/>
        <item x="770"/>
        <item x="428"/>
        <item x="500"/>
        <item x="66"/>
        <item x="213"/>
        <item x="35"/>
        <item x="808"/>
        <item x="237"/>
        <item x="195"/>
        <item x="336"/>
        <item x="660"/>
        <item x="516"/>
        <item x="207"/>
        <item x="321"/>
        <item x="727"/>
        <item x="105"/>
        <item x="784"/>
        <item x="524"/>
        <item x="725"/>
        <item x="157"/>
        <item x="767"/>
        <item x="717"/>
        <item x="6"/>
        <item x="410"/>
        <item x="704"/>
        <item x="138"/>
        <item x="834"/>
        <item x="114"/>
        <item x="831"/>
        <item x="559"/>
        <item x="469"/>
        <item x="30"/>
        <item x="506"/>
        <item x="104"/>
        <item x="124"/>
        <item x="840"/>
        <item x="168"/>
        <item x="489"/>
        <item x="294"/>
        <item x="502"/>
        <item x="477"/>
        <item x="567"/>
        <item x="797"/>
        <item x="429"/>
        <item x="197"/>
        <item x="441"/>
        <item x="77"/>
        <item x="377"/>
        <item x="582"/>
        <item x="102"/>
        <item x="53"/>
        <item x="218"/>
        <item x="311"/>
        <item x="394"/>
        <item x="748"/>
        <item x="527"/>
        <item x="726"/>
        <item x="335"/>
        <item x="462"/>
        <item x="716"/>
        <item x="25"/>
        <item x="701"/>
        <item x="139"/>
        <item x="407"/>
        <item x="101"/>
        <item x="575"/>
        <item x="63"/>
        <item x="647"/>
        <item x="479"/>
        <item x="590"/>
        <item x="165"/>
        <item x="562"/>
        <item x="350"/>
        <item x="451"/>
        <item x="581"/>
        <item x="414"/>
        <item x="798"/>
        <item x="159"/>
        <item x="232"/>
        <item x="408"/>
        <item x="460"/>
        <item x="574"/>
        <item x="281"/>
        <item x="316"/>
        <item x="51"/>
        <item x="787"/>
        <item x="528"/>
        <item x="740"/>
        <item x="98"/>
        <item x="339"/>
        <item x="638"/>
        <item x="26"/>
        <item x="577"/>
        <item x="703"/>
        <item x="140"/>
        <item x="832"/>
        <item x="684"/>
        <item x="597"/>
        <item x="823"/>
        <item x="99"/>
        <item x="62"/>
        <item x="459"/>
        <item x="654"/>
        <item x="827"/>
        <item x="177"/>
        <item x="772"/>
        <item x="452"/>
        <item x="578"/>
        <item x="210"/>
        <item x="667"/>
        <item x="557"/>
        <item x="37"/>
        <item x="561"/>
        <item x="440"/>
        <item x="327"/>
        <item x="54"/>
        <item x="757"/>
        <item x="290"/>
        <item x="286"/>
        <item x="325"/>
        <item x="480"/>
        <item x="749"/>
        <item x="576"/>
        <item x="309"/>
        <item x="322"/>
        <item x="529"/>
        <item x="741"/>
        <item x="615"/>
        <item x="340"/>
        <item x="594"/>
        <item x="712"/>
        <item x="22"/>
        <item x="83"/>
        <item x="702"/>
        <item x="141"/>
        <item x="488"/>
        <item x="113"/>
        <item x="566"/>
        <item x="509"/>
        <item x="72"/>
        <item x="839"/>
        <item x="173"/>
        <item x="453"/>
        <item x="454"/>
        <item x="211"/>
        <item x="596"/>
        <item x="802"/>
        <item x="75"/>
        <item x="397"/>
        <item x="70"/>
        <item x="123"/>
        <item x="382"/>
        <item x="783"/>
        <item x="308"/>
        <item x="706"/>
        <item x="519"/>
        <item x="738"/>
        <item x="55"/>
        <item x="341"/>
        <item x="763"/>
        <item x="631"/>
        <item x="23"/>
        <item x="826"/>
        <item x="699"/>
        <item x="142"/>
        <item x="836"/>
        <item x="383"/>
        <item x="646"/>
        <item x="817"/>
        <item x="444"/>
        <item x="447"/>
        <item x="251"/>
        <item x="228"/>
        <item x="652"/>
        <item x="178"/>
        <item x="231"/>
        <item x="285"/>
        <item x="501"/>
        <item x="245"/>
        <item x="220"/>
        <item x="275"/>
        <item x="803"/>
        <item x="229"/>
        <item x="617"/>
        <item x="689"/>
        <item x="616"/>
        <item x="789"/>
        <item x="745"/>
        <item x="305"/>
        <item x="466"/>
        <item x="530"/>
        <item x="739"/>
        <item x="609"/>
        <item x="765"/>
        <item x="632"/>
        <item x="24"/>
        <item x="90"/>
        <item x="698"/>
        <item x="134"/>
        <item x="257"/>
        <item x="437"/>
        <item x="97"/>
        <item x="401"/>
        <item x="589"/>
        <item x="813"/>
        <item x="73"/>
        <item x="288"/>
        <item x="664"/>
        <item x="31"/>
        <item x="179"/>
        <item x="240"/>
        <item x="279"/>
        <item x="503"/>
        <item x="248"/>
        <item x="219"/>
        <item x="510"/>
        <item x="800"/>
        <item x="254"/>
        <item x="680"/>
        <item x="690"/>
        <item x="103"/>
        <item x="91"/>
        <item x="746"/>
        <item x="304"/>
        <item x="323"/>
        <item x="525"/>
        <item x="736"/>
        <item x="517"/>
        <item x="764"/>
        <item x="642"/>
        <item x="20"/>
        <item x="606"/>
        <item x="143"/>
        <item x="835"/>
        <item x="533"/>
        <item x="473"/>
        <item x="819"/>
        <item x="399"/>
        <item x="788"/>
        <item x="253"/>
        <item x="756"/>
        <item x="661"/>
        <item x="838"/>
        <item x="180"/>
        <item x="239"/>
        <item x="270"/>
        <item x="89"/>
        <item x="204"/>
        <item x="378"/>
        <item x="801"/>
        <item x="280"/>
        <item x="775"/>
        <item x="532"/>
        <item x="160"/>
        <item x="241"/>
        <item x="786"/>
        <item x="307"/>
        <item x="384"/>
        <item x="737"/>
        <item x="571"/>
        <item x="709"/>
        <item x="43"/>
        <item x="641"/>
        <item x="21"/>
        <item x="547"/>
        <item x="128"/>
        <item x="833"/>
        <item x="158"/>
        <item x="474"/>
        <item x="821"/>
        <item x="310"/>
        <item x="790"/>
        <item x="388"/>
        <item x="657"/>
        <item x="841"/>
        <item x="182"/>
        <item x="283"/>
        <item x="587"/>
        <item x="206"/>
        <item x="391"/>
        <item x="799"/>
        <item x="155"/>
        <item x="47"/>
        <item x="691"/>
        <item x="163"/>
        <item x="208"/>
        <item x="386"/>
        <item x="747"/>
        <item x="302"/>
        <item x="705"/>
        <item x="734"/>
        <item x="379"/>
        <item x="715"/>
        <item x="42"/>
        <item x="644"/>
        <item x="17"/>
        <item x="166"/>
        <item x="129"/>
        <item x="546"/>
        <item x="38"/>
        <item x="41"/>
        <item x="822"/>
        <item x="432"/>
        <item x="27"/>
        <item x="223"/>
        <item x="759"/>
        <item x="34"/>
        <item x="837"/>
        <item x="271"/>
        <item x="685"/>
        <item x="511"/>
        <item x="634"/>
        <item x="46"/>
        <item x="692"/>
        <item x="214"/>
        <item x="455"/>
        <item x="744"/>
        <item x="471"/>
        <item x="735"/>
        <item x="604"/>
        <item x="714"/>
        <item x="189"/>
        <item x="645"/>
        <item x="18"/>
        <item x="64"/>
        <item x="144"/>
        <item x="3"/>
        <item x="653"/>
        <item x="611"/>
        <item x="482"/>
        <item x="78"/>
        <item x="600"/>
        <item x="199"/>
        <item x="512"/>
        <item x="318"/>
        <item x="558"/>
        <item x="621"/>
        <item x="183"/>
        <item x="242"/>
        <item x="272"/>
        <item x="495"/>
        <item x="380"/>
        <item x="806"/>
        <item x="192"/>
        <item x="330"/>
        <item x="57"/>
        <item x="84"/>
        <item x="320"/>
        <item x="796"/>
        <item x="314"/>
        <item x="554"/>
        <item x="722"/>
        <item x="713"/>
        <item x="760"/>
        <item x="16"/>
        <item x="132"/>
        <item x="619"/>
        <item x="555"/>
        <item x="640"/>
        <item x="513"/>
        <item x="110"/>
        <item x="598"/>
        <item x="28"/>
        <item x="507"/>
        <item x="348"/>
        <item x="227"/>
        <item x="164"/>
        <item x="243"/>
        <item x="153"/>
        <item x="209"/>
        <item x="92"/>
        <item x="807"/>
        <item x="156"/>
        <item x="45"/>
        <item x="693"/>
        <item x="100"/>
        <item x="81"/>
        <item x="147"/>
        <item x="793"/>
        <item x="485"/>
        <item x="723"/>
        <item x="224"/>
        <item x="710"/>
        <item x="761"/>
        <item x="19"/>
        <item x="145"/>
        <item x="423"/>
        <item x="483"/>
        <item x="422"/>
        <item x="345"/>
        <item x="602"/>
        <item x="29"/>
        <item x="61"/>
        <item x="252"/>
        <item x="170"/>
        <item x="244"/>
        <item x="273"/>
        <item x="579"/>
        <item x="804"/>
        <item x="200"/>
        <item x="773"/>
        <item x="415"/>
        <item x="329"/>
        <item x="146"/>
        <item x="583"/>
        <item x="86"/>
        <item x="238"/>
        <item x="700"/>
        <item x="792"/>
        <item x="560"/>
        <item x="60"/>
        <item x="15"/>
        <item x="411"/>
        <item x="470"/>
        <item x="612"/>
        <item x="818"/>
        <item x="601"/>
        <item x="264"/>
        <item x="167"/>
        <item x="119"/>
        <item x="666"/>
        <item x="805"/>
        <item x="247"/>
        <item x="681"/>
        <item x="112"/>
        <item x="69"/>
        <item x="260"/>
        <item x="230"/>
        <item x="794"/>
        <item x="126"/>
        <item x="475"/>
        <item x="563"/>
        <item x="463"/>
        <item x="762"/>
        <item x="14"/>
        <item x="484"/>
        <item x="683"/>
        <item x="614"/>
        <item x="76"/>
        <item x="256"/>
        <item x="599"/>
        <item x="265"/>
        <item x="181"/>
        <item x="351"/>
        <item x="665"/>
        <item x="816"/>
        <item x="373"/>
        <item x="233"/>
        <item x="493"/>
        <item x="795"/>
        <item x="0"/>
        <item x="537"/>
        <item x="438"/>
        <item x="40"/>
        <item x="317"/>
        <item x="13"/>
        <item x="225"/>
        <item x="613"/>
        <item x="249"/>
        <item x="468"/>
        <item x="435"/>
        <item x="319"/>
        <item x="266"/>
        <item x="568"/>
        <item x="564"/>
        <item x="815"/>
        <item x="48"/>
        <item x="80"/>
        <item x="185"/>
        <item x="392"/>
        <item x="538"/>
        <item x="442"/>
        <item x="12"/>
        <item x="628"/>
        <item x="605"/>
        <item x="649"/>
        <item x="461"/>
        <item x="120"/>
        <item x="267"/>
        <item x="542"/>
        <item x="494"/>
        <item x="67"/>
        <item x="498"/>
        <item x="465"/>
        <item x="313"/>
        <item x="125"/>
        <item x="292"/>
        <item x="536"/>
        <item x="711"/>
        <item x="688"/>
        <item x="724"/>
        <item x="363"/>
        <item x="269"/>
        <item x="278"/>
        <item x="492"/>
        <item x="74"/>
        <item x="774"/>
        <item x="491"/>
        <item x="505"/>
        <item x="118"/>
        <item x="342"/>
        <item x="539"/>
        <item x="402"/>
        <item x="418"/>
        <item x="268"/>
        <item x="59"/>
        <item x="201"/>
        <item x="629"/>
        <item x="393"/>
        <item x="456"/>
        <item x="293"/>
        <item x="552"/>
        <item x="687"/>
        <item x="33"/>
        <item x="580"/>
        <item x="263"/>
        <item x="236"/>
        <item x="347"/>
        <item x="186"/>
        <item x="389"/>
        <item x="549"/>
        <item x="686"/>
        <item x="82"/>
        <item x="151"/>
        <item x="262"/>
        <item x="375"/>
        <item x="122"/>
        <item x="349"/>
        <item x="553"/>
        <item x="541"/>
        <item x="315"/>
        <item x="121"/>
        <item x="820"/>
        <item x="111"/>
        <item x="353"/>
        <item x="413"/>
        <item x="420"/>
        <item x="150"/>
        <item x="550"/>
        <item x="403"/>
        <item x="312"/>
        <item x="672"/>
        <item x="354"/>
        <item x="277"/>
        <item x="196"/>
        <item x="202"/>
        <item x="369"/>
        <item x="780"/>
        <item x="425"/>
        <item x="193"/>
        <item x="367"/>
        <item x="779"/>
        <item x="548"/>
        <item x="671"/>
        <item x="352"/>
        <item x="721"/>
        <item x="670"/>
        <item x="355"/>
        <item x="782"/>
        <item x="639"/>
        <item x="679"/>
        <item x="358"/>
        <item x="781"/>
        <item x="188"/>
        <item x="678"/>
        <item x="359"/>
        <item x="625"/>
        <item x="445"/>
        <item x="675"/>
        <item x="360"/>
        <item x="643"/>
        <item x="551"/>
        <item x="356"/>
        <item x="365"/>
        <item x="376"/>
        <item x="361"/>
        <item x="673"/>
        <item x="362"/>
        <item x="669"/>
        <item x="357"/>
        <item x="668"/>
        <item x="368"/>
        <item x="364"/>
        <item x="677"/>
        <item x="372"/>
        <item x="370"/>
        <item x="36"/>
        <item x="676"/>
        <item x="565"/>
        <item x="184"/>
      </items>
    </pivotField>
    <pivotField name="Status" axis="axisRow" compact="0" outline="0" multipleItemSelectionAllowed="1" showAll="0" sortType="ascending" defaultSubtotal="0">
      <items>
        <item x="0"/>
        <item x="5"/>
        <item x="1"/>
        <item x="2"/>
        <item x="3"/>
        <item x="4"/>
      </items>
    </pivotField>
    <pivotField name="Size" axis="axisRow" compact="0" outline="0" multipleItemSelectionAllowed="1" showAll="0" sortType="ascending" defaultSubtotal="0">
      <items>
        <item x="0"/>
        <item x="449"/>
        <item x="182"/>
        <item x="228"/>
        <item x="450"/>
        <item x="409"/>
        <item x="194"/>
        <item x="234"/>
        <item x="271"/>
        <item x="173"/>
        <item x="83"/>
        <item x="336"/>
        <item x="231"/>
        <item x="290"/>
        <item x="87"/>
        <item x="90"/>
        <item x="119"/>
        <item x="59"/>
        <item x="499"/>
        <item x="521"/>
        <item x="261"/>
        <item x="404"/>
        <item x="221"/>
        <item x="190"/>
        <item x="501"/>
        <item x="45"/>
        <item x="192"/>
        <item x="2"/>
        <item x="257"/>
        <item x="340"/>
        <item x="73"/>
        <item x="324"/>
        <item x="47"/>
        <item x="262"/>
        <item x="308"/>
        <item x="174"/>
        <item x="532"/>
        <item x="210"/>
        <item x="124"/>
        <item x="342"/>
        <item x="61"/>
        <item x="92"/>
        <item x="260"/>
        <item x="369"/>
        <item x="75"/>
        <item x="256"/>
        <item x="233"/>
        <item x="193"/>
        <item x="399"/>
        <item x="56"/>
        <item x="34"/>
        <item x="283"/>
        <item x="157"/>
        <item x="160"/>
        <item x="39"/>
        <item x="322"/>
        <item x="186"/>
        <item x="303"/>
        <item x="46"/>
        <item x="428"/>
        <item x="30"/>
        <item x="291"/>
        <item x="53"/>
        <item x="292"/>
        <item x="77"/>
        <item x="163"/>
        <item x="31"/>
        <item x="1"/>
        <item x="432"/>
        <item x="230"/>
        <item x="498"/>
        <item x="537"/>
        <item x="401"/>
        <item x="133"/>
        <item x="226"/>
        <item x="273"/>
        <item x="335"/>
        <item x="325"/>
        <item x="26"/>
        <item x="127"/>
        <item x="359"/>
        <item x="368"/>
        <item x="129"/>
        <item x="345"/>
        <item x="300"/>
        <item x="288"/>
        <item x="243"/>
        <item x="136"/>
        <item x="12"/>
        <item x="384"/>
        <item x="99"/>
        <item x="222"/>
        <item x="198"/>
        <item x="171"/>
        <item x="40"/>
        <item x="309"/>
        <item x="439"/>
        <item x="370"/>
        <item x="9"/>
        <item x="391"/>
        <item x="15"/>
        <item x="373"/>
        <item x="138"/>
        <item x="235"/>
        <item x="28"/>
        <item x="241"/>
        <item x="142"/>
        <item x="188"/>
        <item x="139"/>
        <item x="148"/>
        <item x="264"/>
        <item x="525"/>
        <item x="146"/>
        <item x="529"/>
        <item x="427"/>
        <item x="403"/>
        <item x="263"/>
        <item x="147"/>
        <item x="169"/>
        <item x="151"/>
        <item x="422"/>
        <item x="125"/>
        <item x="200"/>
        <item x="128"/>
        <item x="455"/>
        <item x="207"/>
        <item x="237"/>
        <item x="189"/>
        <item x="360"/>
        <item x="239"/>
        <item x="57"/>
        <item x="419"/>
        <item x="211"/>
        <item x="398"/>
        <item x="475"/>
        <item x="516"/>
        <item x="393"/>
        <item x="524"/>
        <item x="471"/>
        <item x="375"/>
        <item x="255"/>
        <item x="429"/>
        <item x="326"/>
        <item x="42"/>
        <item x="216"/>
        <item x="321"/>
        <item x="175"/>
        <item x="284"/>
        <item x="357"/>
        <item x="251"/>
        <item x="310"/>
        <item x="112"/>
        <item x="458"/>
        <item x="84"/>
        <item x="507"/>
        <item x="164"/>
        <item x="137"/>
        <item x="43"/>
        <item x="177"/>
        <item x="27"/>
        <item x="424"/>
        <item x="81"/>
        <item x="197"/>
        <item x="474"/>
        <item x="143"/>
        <item x="486"/>
        <item x="178"/>
        <item x="506"/>
        <item x="311"/>
        <item x="528"/>
        <item x="80"/>
        <item x="328"/>
        <item x="456"/>
        <item x="18"/>
        <item x="204"/>
        <item x="98"/>
        <item x="114"/>
        <item x="344"/>
        <item x="530"/>
        <item x="248"/>
        <item x="383"/>
        <item x="187"/>
        <item x="149"/>
        <item x="240"/>
        <item x="104"/>
        <item x="14"/>
        <item x="461"/>
        <item x="170"/>
        <item x="374"/>
        <item x="150"/>
        <item x="358"/>
        <item x="483"/>
        <item x="503"/>
        <item x="64"/>
        <item x="380"/>
        <item x="97"/>
        <item x="3"/>
        <item x="4"/>
        <item x="179"/>
        <item x="338"/>
        <item x="533"/>
        <item x="278"/>
        <item x="536"/>
        <item x="476"/>
        <item x="6"/>
        <item x="518"/>
        <item x="467"/>
        <item x="299"/>
        <item x="214"/>
        <item x="538"/>
        <item x="377"/>
        <item x="281"/>
        <item x="505"/>
        <item x="287"/>
        <item x="258"/>
        <item x="523"/>
        <item x="522"/>
        <item x="277"/>
        <item x="21"/>
        <item x="32"/>
        <item x="203"/>
        <item x="213"/>
        <item x="402"/>
        <item x="376"/>
        <item x="295"/>
        <item x="38"/>
        <item x="313"/>
        <item x="116"/>
        <item x="298"/>
        <item x="166"/>
        <item x="389"/>
        <item x="22"/>
        <item x="413"/>
        <item x="144"/>
        <item x="297"/>
        <item x="448"/>
        <item x="167"/>
        <item x="302"/>
        <item x="411"/>
        <item x="11"/>
        <item x="102"/>
        <item x="394"/>
        <item x="319"/>
        <item x="371"/>
        <item x="305"/>
        <item x="417"/>
        <item x="223"/>
        <item x="504"/>
        <item x="387"/>
        <item x="48"/>
        <item x="460"/>
        <item x="517"/>
        <item x="132"/>
        <item x="106"/>
        <item x="217"/>
        <item x="265"/>
        <item x="459"/>
        <item x="301"/>
        <item x="37"/>
        <item x="49"/>
        <item x="209"/>
        <item x="212"/>
        <item x="400"/>
        <item x="91"/>
        <item x="103"/>
        <item x="130"/>
        <item x="140"/>
        <item x="361"/>
        <item x="161"/>
        <item x="86"/>
        <item x="242"/>
        <item x="153"/>
        <item x="227"/>
        <item x="152"/>
        <item x="10"/>
        <item x="526"/>
        <item x="266"/>
        <item x="25"/>
        <item x="95"/>
        <item x="101"/>
        <item x="534"/>
        <item x="109"/>
        <item x="238"/>
        <item x="5"/>
        <item x="425"/>
        <item x="244"/>
        <item x="431"/>
        <item x="412"/>
        <item x="135"/>
        <item x="60"/>
        <item x="74"/>
        <item x="463"/>
        <item x="96"/>
        <item x="447"/>
        <item x="440"/>
        <item x="468"/>
        <item x="220"/>
        <item x="55"/>
        <item x="438"/>
        <item x="195"/>
        <item x="267"/>
        <item x="445"/>
        <item x="67"/>
        <item x="183"/>
        <item x="406"/>
        <item x="279"/>
        <item x="201"/>
        <item x="352"/>
        <item x="362"/>
        <item x="294"/>
        <item x="286"/>
        <item x="259"/>
        <item x="405"/>
        <item x="272"/>
        <item x="16"/>
        <item x="181"/>
        <item x="457"/>
        <item x="36"/>
        <item x="346"/>
        <item x="78"/>
        <item x="249"/>
        <item x="348"/>
        <item x="122"/>
        <item x="23"/>
        <item x="511"/>
        <item x="205"/>
        <item x="35"/>
        <item x="268"/>
        <item x="145"/>
        <item x="196"/>
        <item x="50"/>
        <item x="41"/>
        <item x="165"/>
        <item x="390"/>
        <item x="176"/>
        <item x="323"/>
        <item x="118"/>
        <item x="71"/>
        <item x="29"/>
        <item x="107"/>
        <item x="276"/>
        <item x="520"/>
        <item x="162"/>
        <item x="280"/>
        <item x="141"/>
        <item x="7"/>
        <item x="466"/>
        <item x="289"/>
        <item x="497"/>
        <item x="134"/>
        <item x="8"/>
        <item x="473"/>
        <item x="269"/>
        <item x="307"/>
        <item x="527"/>
        <item x="351"/>
        <item x="185"/>
        <item x="531"/>
        <item x="88"/>
        <item x="72"/>
        <item x="441"/>
        <item x="535"/>
        <item x="356"/>
        <item x="388"/>
        <item x="451"/>
        <item x="111"/>
        <item x="479"/>
        <item x="58"/>
        <item x="452"/>
        <item x="426"/>
        <item x="435"/>
        <item x="20"/>
        <item x="65"/>
        <item x="418"/>
        <item x="117"/>
        <item x="454"/>
        <item x="385"/>
        <item x="110"/>
        <item x="508"/>
        <item x="519"/>
        <item x="327"/>
        <item x="446"/>
        <item x="168"/>
        <item x="232"/>
        <item x="477"/>
        <item x="312"/>
        <item x="105"/>
        <item x="156"/>
        <item x="218"/>
        <item x="54"/>
        <item x="199"/>
        <item x="482"/>
        <item x="382"/>
        <item x="480"/>
        <item x="274"/>
        <item x="172"/>
        <item x="159"/>
        <item x="478"/>
        <item x="515"/>
        <item x="236"/>
        <item x="247"/>
        <item x="337"/>
        <item x="85"/>
        <item x="108"/>
        <item x="63"/>
        <item x="469"/>
        <item x="17"/>
        <item x="100"/>
        <item x="366"/>
        <item x="180"/>
        <item x="315"/>
        <item x="13"/>
        <item x="500"/>
        <item x="434"/>
        <item x="126"/>
        <item x="436"/>
        <item x="208"/>
        <item x="420"/>
        <item x="184"/>
        <item x="410"/>
        <item x="364"/>
        <item x="472"/>
        <item x="470"/>
        <item x="372"/>
        <item x="131"/>
        <item x="395"/>
        <item x="51"/>
        <item x="275"/>
        <item x="24"/>
        <item x="246"/>
        <item x="353"/>
        <item x="423"/>
        <item x="229"/>
        <item x="437"/>
        <item x="465"/>
        <item x="285"/>
        <item x="430"/>
        <item x="485"/>
        <item x="349"/>
        <item x="44"/>
        <item x="442"/>
        <item x="484"/>
        <item x="462"/>
        <item x="407"/>
        <item x="69"/>
        <item x="70"/>
        <item x="252"/>
        <item x="33"/>
        <item x="392"/>
        <item x="254"/>
        <item x="224"/>
        <item x="339"/>
        <item x="62"/>
        <item x="350"/>
        <item x="317"/>
        <item x="270"/>
        <item x="76"/>
        <item x="316"/>
        <item x="215"/>
        <item x="191"/>
        <item x="219"/>
        <item x="343"/>
        <item x="502"/>
        <item x="444"/>
        <item x="68"/>
        <item x="347"/>
        <item x="202"/>
        <item x="225"/>
        <item x="94"/>
        <item x="421"/>
        <item x="293"/>
        <item x="19"/>
        <item x="121"/>
        <item x="245"/>
        <item x="443"/>
        <item x="123"/>
        <item x="330"/>
        <item x="397"/>
        <item x="314"/>
        <item x="481"/>
        <item x="304"/>
        <item x="363"/>
        <item x="154"/>
        <item x="296"/>
        <item x="408"/>
        <item x="433"/>
        <item x="206"/>
        <item x="453"/>
        <item x="52"/>
        <item x="365"/>
        <item x="354"/>
        <item x="82"/>
        <item x="329"/>
        <item x="333"/>
        <item x="378"/>
        <item x="379"/>
        <item x="282"/>
        <item x="331"/>
        <item x="332"/>
        <item x="320"/>
        <item x="367"/>
        <item x="306"/>
        <item x="355"/>
        <item x="253"/>
        <item x="115"/>
        <item x="539"/>
        <item x="416"/>
        <item x="334"/>
        <item x="79"/>
        <item x="250"/>
        <item x="386"/>
        <item x="381"/>
        <item x="414"/>
        <item x="415"/>
        <item x="495"/>
        <item x="489"/>
        <item x="494"/>
        <item x="93"/>
        <item x="509"/>
        <item x="488"/>
        <item x="120"/>
        <item x="496"/>
        <item x="492"/>
        <item x="510"/>
        <item x="155"/>
        <item x="493"/>
        <item x="512"/>
        <item x="318"/>
        <item x="491"/>
        <item x="514"/>
        <item x="490"/>
        <item x="487"/>
        <item x="513"/>
        <item x="113"/>
        <item x="341"/>
        <item x="158"/>
        <item x="89"/>
        <item x="464"/>
        <item x="66"/>
        <item x="396"/>
      </items>
    </pivotField>
    <pivotField name="Hood Size" axis="axisRow" compact="0" outline="0" multipleItemSelectionAllowed="1" showAll="0" sortType="ascending" defaultSubtotal="0">
      <items>
        <item x="11"/>
        <item x="5"/>
        <item x="14"/>
        <item x="2"/>
        <item x="3"/>
        <item x="6"/>
        <item x="4"/>
        <item x="12"/>
        <item x="10"/>
        <item x="7"/>
        <item x="9"/>
        <item x="13"/>
        <item x="1"/>
        <item x="8"/>
        <item x="0"/>
      </items>
    </pivotField>
    <pivotField name="Floor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List Price" axis="axisRow" compact="0" outline="0" multipleItemSelectionAllowed="1" showAll="0" sortType="ascending" defaultSubtotal="0">
      <items>
        <item x="111"/>
        <item x="117"/>
        <item x="95"/>
        <item x="112"/>
        <item x="90"/>
        <item x="94"/>
        <item x="110"/>
        <item x="86"/>
        <item x="93"/>
        <item x="58"/>
        <item x="73"/>
        <item x="63"/>
        <item x="98"/>
        <item x="91"/>
        <item x="96"/>
        <item x="71"/>
        <item x="0"/>
        <item x="30"/>
        <item x="67"/>
        <item x="11"/>
        <item x="42"/>
        <item x="10"/>
        <item x="116"/>
        <item x="44"/>
        <item x="78"/>
        <item x="106"/>
        <item x="82"/>
        <item x="77"/>
        <item x="100"/>
        <item x="56"/>
        <item x="122"/>
        <item x="68"/>
        <item x="12"/>
        <item x="103"/>
        <item x="74"/>
        <item x="28"/>
        <item x="59"/>
        <item x="47"/>
        <item x="75"/>
        <item x="39"/>
        <item x="2"/>
        <item x="126"/>
        <item x="31"/>
        <item x="76"/>
        <item x="33"/>
        <item x="118"/>
        <item x="64"/>
        <item x="48"/>
        <item x="45"/>
        <item x="27"/>
        <item x="80"/>
        <item x="17"/>
        <item x="79"/>
        <item x="53"/>
        <item x="97"/>
        <item x="20"/>
        <item x="70"/>
        <item x="29"/>
        <item x="23"/>
        <item x="25"/>
        <item x="85"/>
        <item x="66"/>
        <item x="36"/>
        <item x="109"/>
        <item x="99"/>
        <item x="55"/>
        <item x="54"/>
        <item x="69"/>
        <item x="18"/>
        <item x="19"/>
        <item x="34"/>
        <item x="37"/>
        <item x="1"/>
        <item x="92"/>
        <item x="52"/>
        <item x="4"/>
        <item x="125"/>
        <item x="87"/>
        <item x="35"/>
        <item x="83"/>
        <item x="50"/>
        <item x="16"/>
        <item x="88"/>
        <item x="5"/>
        <item x="102"/>
        <item x="101"/>
        <item x="14"/>
        <item x="119"/>
        <item x="24"/>
        <item x="7"/>
        <item x="6"/>
        <item x="61"/>
        <item x="124"/>
        <item x="40"/>
        <item x="62"/>
        <item x="15"/>
        <item x="3"/>
        <item x="43"/>
        <item x="107"/>
        <item x="114"/>
        <item x="22"/>
        <item x="26"/>
        <item x="32"/>
        <item x="113"/>
        <item x="38"/>
        <item x="9"/>
        <item x="21"/>
        <item x="51"/>
        <item x="84"/>
        <item x="123"/>
        <item x="89"/>
        <item x="41"/>
        <item x="46"/>
        <item x="8"/>
        <item x="104"/>
        <item x="72"/>
        <item x="13"/>
        <item x="57"/>
        <item x="49"/>
        <item x="121"/>
        <item x="81"/>
        <item x="108"/>
        <item x="65"/>
        <item x="120"/>
        <item x="60"/>
        <item x="105"/>
        <item x="115"/>
      </items>
    </pivotField>
    <pivotField name="Activation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Opportunity Name" axis="axisRow" compact="0" outline="0" multipleItemSelectionAllowed="1" showAll="0" sortType="ascending">
      <items>
        <item x="0"/>
        <item x="305"/>
        <item x="504"/>
        <item x="55"/>
        <item x="370"/>
        <item x="252"/>
        <item x="542"/>
        <item x="491"/>
        <item x="433"/>
        <item x="354"/>
        <item x="356"/>
        <item x="347"/>
        <item x="355"/>
        <item x="325"/>
        <item x="320"/>
        <item x="544"/>
        <item x="3"/>
        <item x="524"/>
        <item x="249"/>
        <item x="385"/>
        <item x="435"/>
        <item x="400"/>
        <item x="120"/>
        <item x="340"/>
        <item x="343"/>
        <item x="505"/>
        <item x="91"/>
        <item x="285"/>
        <item x="299"/>
        <item x="28"/>
        <item x="80"/>
        <item x="43"/>
        <item x="51"/>
        <item x="42"/>
        <item x="40"/>
        <item x="57"/>
        <item x="208"/>
        <item x="154"/>
        <item x="514"/>
        <item x="512"/>
        <item x="238"/>
        <item x="131"/>
        <item x="224"/>
        <item x="254"/>
        <item x="255"/>
        <item x="259"/>
        <item x="258"/>
        <item x="257"/>
        <item x="256"/>
        <item x="260"/>
        <item x="261"/>
        <item x="262"/>
        <item x="263"/>
        <item x="466"/>
        <item x="412"/>
        <item x="519"/>
        <item x="353"/>
        <item x="513"/>
        <item x="383"/>
        <item x="22"/>
        <item x="266"/>
        <item x="536"/>
        <item x="411"/>
        <item x="6"/>
        <item x="545"/>
        <item x="369"/>
        <item x="250"/>
        <item x="532"/>
        <item x="53"/>
        <item x="500"/>
        <item x="241"/>
        <item x="468"/>
        <item x="321"/>
        <item x="93"/>
        <item x="156"/>
        <item x="364"/>
        <item x="377"/>
        <item x="396"/>
        <item x="409"/>
        <item x="236"/>
        <item x="408"/>
        <item x="118"/>
        <item x="301"/>
        <item x="373"/>
        <item x="157"/>
        <item x="9"/>
        <item x="298"/>
        <item x="378"/>
        <item x="387"/>
        <item x="19"/>
        <item x="10"/>
        <item x="38"/>
        <item x="202"/>
        <item x="210"/>
        <item x="215"/>
        <item x="341"/>
        <item x="331"/>
        <item x="179"/>
        <item x="23"/>
        <item x="307"/>
        <item x="531"/>
        <item x="293"/>
        <item x="26"/>
        <item x="127"/>
        <item x="213"/>
        <item x="246"/>
        <item x="393"/>
        <item x="221"/>
        <item x="455"/>
        <item x="18"/>
        <item x="520"/>
        <item x="129"/>
        <item x="436"/>
        <item x="477"/>
        <item x="478"/>
        <item x="479"/>
        <item x="498"/>
        <item x="495"/>
        <item x="496"/>
        <item x="494"/>
        <item x="493"/>
        <item x="497"/>
        <item x="446"/>
        <item x="434"/>
        <item x="185"/>
        <item x="7"/>
        <item x="14"/>
        <item x="297"/>
        <item x="432"/>
        <item x="336"/>
        <item x="365"/>
        <item x="510"/>
        <item x="511"/>
        <item x="329"/>
        <item x="334"/>
        <item x="335"/>
        <item x="39"/>
        <item x="471"/>
        <item x="265"/>
        <item x="332"/>
        <item x="333"/>
        <item x="489"/>
        <item x="380"/>
        <item x="438"/>
        <item x="439"/>
        <item x="437"/>
        <item x="440"/>
        <item x="451"/>
        <item x="448"/>
        <item x="452"/>
        <item x="449"/>
        <item x="501"/>
        <item x="166"/>
        <item x="283"/>
        <item x="226"/>
        <item x="300"/>
        <item x="49"/>
        <item x="88"/>
        <item x="121"/>
        <item x="535"/>
        <item x="94"/>
        <item x="105"/>
        <item x="107"/>
        <item x="108"/>
        <item x="104"/>
        <item x="102"/>
        <item x="109"/>
        <item x="101"/>
        <item x="98"/>
        <item x="110"/>
        <item x="106"/>
        <item x="111"/>
        <item x="112"/>
        <item x="113"/>
        <item x="115"/>
        <item x="96"/>
        <item x="116"/>
        <item x="97"/>
        <item x="103"/>
        <item x="100"/>
        <item x="114"/>
        <item x="87"/>
        <item x="447"/>
        <item x="306"/>
        <item x="351"/>
        <item x="86"/>
        <item x="346"/>
        <item x="322"/>
        <item x="163"/>
        <item x="201"/>
        <item x="382"/>
        <item x="429"/>
        <item x="430"/>
        <item x="420"/>
        <item x="431"/>
        <item x="426"/>
        <item x="423"/>
        <item x="419"/>
        <item x="424"/>
        <item x="421"/>
        <item x="427"/>
        <item x="422"/>
        <item x="425"/>
        <item x="428"/>
        <item x="475"/>
        <item x="521"/>
        <item x="186"/>
        <item x="245"/>
        <item x="338"/>
        <item x="50"/>
        <item x="344"/>
        <item x="394"/>
        <item x="339"/>
        <item x="311"/>
        <item x="314"/>
        <item x="312"/>
        <item x="313"/>
        <item x="315"/>
        <item x="30"/>
        <item x="29"/>
        <item x="203"/>
        <item x="349"/>
        <item x="328"/>
        <item x="490"/>
        <item x="237"/>
        <item x="506"/>
        <item x="507"/>
        <item x="509"/>
        <item x="508"/>
        <item x="52"/>
        <item x="502"/>
        <item x="503"/>
        <item x="518"/>
        <item x="217"/>
        <item x="37"/>
        <item x="35"/>
        <item x="117"/>
        <item x="465"/>
        <item x="326"/>
        <item x="330"/>
        <item x="363"/>
        <item x="206"/>
        <item x="243"/>
        <item x="92"/>
        <item x="83"/>
        <item x="95"/>
        <item x="303"/>
        <item x="371"/>
        <item x="310"/>
        <item x="130"/>
        <item x="397"/>
        <item x="395"/>
        <item x="480"/>
        <item x="399"/>
        <item x="316"/>
        <item x="401"/>
        <item x="60"/>
        <item x="68"/>
        <item x="64"/>
        <item x="69"/>
        <item x="70"/>
        <item x="66"/>
        <item x="63"/>
        <item x="71"/>
        <item x="72"/>
        <item x="73"/>
        <item x="74"/>
        <item x="75"/>
        <item x="67"/>
        <item x="76"/>
        <item x="61"/>
        <item x="62"/>
        <item x="77"/>
        <item x="65"/>
        <item x="78"/>
        <item x="79"/>
        <item x="59"/>
        <item x="184"/>
        <item x="464"/>
        <item x="472"/>
        <item x="178"/>
        <item x="161"/>
        <item x="187"/>
        <item x="207"/>
        <item x="175"/>
        <item x="152"/>
        <item x="4"/>
        <item x="5"/>
        <item x="350"/>
        <item x="27"/>
        <item x="376"/>
        <item x="348"/>
        <item x="457"/>
        <item x="454"/>
        <item x="416"/>
        <item x="225"/>
        <item x="119"/>
        <item x="488"/>
        <item x="302"/>
        <item x="323"/>
        <item x="188"/>
        <item x="309"/>
        <item x="251"/>
        <item x="155"/>
        <item x="176"/>
        <item x="345"/>
        <item x="534"/>
        <item x="89"/>
        <item x="410"/>
        <item x="414"/>
        <item x="417"/>
        <item x="375"/>
        <item x="81"/>
        <item x="17"/>
        <item x="34"/>
        <item x="182"/>
        <item x="124"/>
        <item x="264"/>
        <item x="21"/>
        <item x="413"/>
        <item x="159"/>
        <item x="463"/>
        <item x="443"/>
        <item x="483"/>
        <item x="366"/>
        <item x="160"/>
        <item x="525"/>
        <item x="526"/>
        <item x="527"/>
        <item x="538"/>
        <item x="537"/>
        <item x="540"/>
        <item x="541"/>
        <item x="164"/>
        <item x="165"/>
        <item x="523"/>
        <item x="528"/>
        <item x="398"/>
        <item x="239"/>
        <item x="459"/>
        <item x="444"/>
        <item x="482"/>
        <item x="485"/>
        <item x="2"/>
        <item x="148"/>
        <item x="134"/>
        <item x="146"/>
        <item x="143"/>
        <item x="136"/>
        <item x="147"/>
        <item x="144"/>
        <item x="138"/>
        <item x="149"/>
        <item x="141"/>
        <item x="142"/>
        <item x="151"/>
        <item x="150"/>
        <item x="135"/>
        <item x="137"/>
        <item x="139"/>
        <item x="145"/>
        <item x="140"/>
        <item x="515"/>
        <item x="90"/>
        <item x="56"/>
        <item x="372"/>
        <item x="247"/>
        <item x="304"/>
        <item x="388"/>
        <item x="539"/>
        <item x="530"/>
        <item x="529"/>
        <item x="476"/>
        <item x="174"/>
        <item x="183"/>
        <item x="467"/>
        <item x="462"/>
        <item x="407"/>
        <item x="402"/>
        <item x="405"/>
        <item x="404"/>
        <item x="406"/>
        <item x="318"/>
        <item x="361"/>
        <item x="362"/>
        <item x="358"/>
        <item x="359"/>
        <item x="357"/>
        <item x="403"/>
        <item x="360"/>
        <item x="458"/>
        <item x="418"/>
        <item x="8"/>
        <item x="324"/>
        <item x="20"/>
        <item x="216"/>
        <item x="470"/>
        <item x="469"/>
        <item x="415"/>
        <item x="82"/>
        <item x="47"/>
        <item x="235"/>
        <item x="286"/>
        <item x="516"/>
        <item x="1"/>
        <item x="158"/>
        <item x="450"/>
        <item x="473"/>
        <item x="441"/>
        <item x="11"/>
        <item x="25"/>
        <item x="294"/>
        <item x="381"/>
        <item x="269"/>
        <item x="223"/>
        <item x="220"/>
        <item x="543"/>
        <item x="214"/>
        <item x="308"/>
        <item x="242"/>
        <item x="268"/>
        <item x="180"/>
        <item x="191"/>
        <item x="192"/>
        <item x="193"/>
        <item x="194"/>
        <item x="196"/>
        <item x="195"/>
        <item x="190"/>
        <item x="189"/>
        <item x="291"/>
        <item x="267"/>
        <item x="295"/>
        <item x="273"/>
        <item x="274"/>
        <item x="289"/>
        <item x="287"/>
        <item x="272"/>
        <item x="275"/>
        <item x="278"/>
        <item x="279"/>
        <item x="280"/>
        <item x="276"/>
        <item x="296"/>
        <item x="281"/>
        <item x="282"/>
        <item x="277"/>
        <item x="288"/>
        <item x="284"/>
        <item x="292"/>
        <item x="290"/>
        <item x="461"/>
        <item x="218"/>
        <item x="342"/>
        <item x="219"/>
        <item x="270"/>
        <item x="212"/>
        <item x="211"/>
        <item x="205"/>
        <item x="197"/>
        <item x="209"/>
        <item x="198"/>
        <item x="199"/>
        <item x="244"/>
        <item x="200"/>
        <item x="271"/>
        <item x="337"/>
        <item x="389"/>
        <item x="484"/>
        <item x="517"/>
        <item x="487"/>
        <item x="460"/>
        <item x="379"/>
        <item x="204"/>
        <item x="222"/>
        <item x="84"/>
        <item x="181"/>
        <item x="36"/>
        <item x="248"/>
        <item x="481"/>
        <item x="368"/>
        <item x="132"/>
        <item x="367"/>
        <item x="445"/>
        <item x="442"/>
        <item x="352"/>
        <item x="253"/>
        <item x="390"/>
        <item x="392"/>
        <item x="99"/>
        <item x="162"/>
        <item x="319"/>
        <item x="240"/>
        <item x="453"/>
        <item x="499"/>
        <item x="46"/>
        <item x="122"/>
        <item x="85"/>
        <item x="12"/>
        <item x="31"/>
        <item x="48"/>
        <item x="33"/>
        <item x="15"/>
        <item x="13"/>
        <item x="24"/>
        <item x="125"/>
        <item x="58"/>
        <item x="41"/>
        <item x="126"/>
        <item x="128"/>
        <item x="123"/>
        <item x="16"/>
        <item x="32"/>
        <item x="44"/>
        <item x="391"/>
        <item x="169"/>
        <item x="168"/>
        <item x="170"/>
        <item x="171"/>
        <item x="172"/>
        <item x="173"/>
        <item x="167"/>
        <item x="474"/>
        <item x="45"/>
        <item x="327"/>
        <item x="374"/>
        <item x="384"/>
        <item x="456"/>
        <item x="153"/>
        <item x="133"/>
        <item x="231"/>
        <item x="228"/>
        <item x="234"/>
        <item x="233"/>
        <item x="230"/>
        <item x="229"/>
        <item x="232"/>
        <item x="227"/>
        <item x="486"/>
        <item x="317"/>
        <item x="522"/>
        <item x="386"/>
        <item x="177"/>
        <item x="533"/>
        <item x="54"/>
        <item x="492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loor" axis="axisRow" compact="0" outline="0" multipleItemSelectionAllowed="1" showAll="0" sortType="ascending" defaultSubtotal="0">
      <items>
        <item x="9"/>
        <item x="1"/>
        <item x="3"/>
        <item x="2"/>
        <item x="6"/>
        <item x="7"/>
        <item x="11"/>
        <item x="10"/>
        <item x="4"/>
        <item x="0"/>
        <item x="5"/>
        <item x="8"/>
      </items>
    </pivotField>
    <pivotField name="County" axis="axisRow" compact="0" outline="0" multipleItemSelectionAllowed="1" showAll="0" sortType="ascending" defaultSubtotal="0">
      <items>
        <item x="3"/>
        <item x="2"/>
        <item x="4"/>
        <item x="1"/>
        <item x="5"/>
        <item x="0"/>
        <item x="7"/>
        <item x="8"/>
        <item x="6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  <field x="9"/>
    <field x="4"/>
    <field x="5"/>
    <field x="15"/>
    <field x="6"/>
    <field x="7"/>
    <field x="14"/>
    <field x="12"/>
  </rowFields>
  <pageFields>
    <pageField fld="0"/>
  </page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9-17T11:26:56.00" personId="{ed0d0f69-1142-4fca-9236-27f985ce2678}" id="{0c86671e-baa1-44fb-83e4-b18e85c40fc1}" done="1">
    <x18tc:text xml:space="preserve">if we can do Wadi 0.9 to get it closer to yasmin prices if TT approves @jad.hajjar@cloudkitchens.com
Assigned to jad.hajjar@cloudkitchens.com</x18tc:text>
    <x18tc:mentions>
      <x18tc:mention mentionpersonId="{b6e25def-f7c8-4623-9e80-46bb43fed0e7}" mentionId="{3738c0f7-218e-4629-b334-2324ae07b2e4}" startIndex="71" length="29"/>
    </x18tc:mentions>
  </x18tc:threadedComment>
  <x18tc:threadedComment ref="A1" dT="2024-09-17T11:35:29.00" personId="{0dd1fc10-5f62-4a7e-8071-4f6e12c8d5de}" id="{a72eaabf-ed06-43d7-a9ac-5fce473aae72}" parentId="{0c86671e-baa1-44fb-83e4-b18e85c40fc1}">
    <x18tc:text xml:space="preserve">Not me, tell Maher.</x18tc:text>
  </x18tc:threadedComment>
  <x18tc:threadedComment ref="A1" dT="2024-02-08T07:31:17.00" personId="{0dd1fc10-5f62-4a7e-8071-4f6e12c8d5de}" id="{57ca615f-15ea-47fc-b13e-368dadf67335}" done="1">
    <x18tc:text xml:space="preserve">@mark.grehan@cloudkitchens.com</x18tc:text>
    <x18tc:mentions>
      <x18tc:mention mentionpersonId="{dd39ffc0-13b3-40fa-b6f7-d22242acfc20}" mentionId="{6401ea05-d2fa-404b-87cb-ab03b64b3c8d}" startIndex="0" length="30"/>
    </x18tc:mentions>
  </x18tc:threadedComment>
  <x18tc:threadedComment ref="A1" dT="2024-07-05T12:18:29.00" personId="{bcb289bd-6f14-4f63-bce9-6dd2fb944f55}" id="{8a3eafe4-adaa-4360-8fc4-2c41c542e6c1}" done="1">
    <x18tc:text xml:space="preserve">@jad.hajjar@cloudkitchens.com I assume you made this outrageous formula. Can you please add the same logic for the below kitchens. 
K17 (Hot) - SA - RUH - Yasmin
K18 (Hot) - SA - RUH - Yasmin
K19 (Hot) - SA - RUH - Yasmin
Assigned to jad.hajjar@cloudkitchens.com</x18tc:text>
    <x18tc:mentions>
      <x18tc:mention mentionpersonId="{b6e25def-f7c8-4623-9e80-46bb43fed0e7}" mentionId="{5ebd1dda-b7f2-4cac-9ce7-a515bdd22294}" startIndex="0" length="29"/>
    </x18tc:mentions>
  </x18tc:threadedComment>
  <x18tc:threadedComment ref="A1" dT="2024-10-01T07:13:36.00" personId="{bcb289bd-6f14-4f63-bce9-6dd2fb944f55}" id="{42f6ac60-432c-429b-9ca8-6b2f2348f948}" done="1">
    <x18tc:text xml:space="preserve">@jad.hajjar@cloudkitchens.com Can we add MSRP please? Same for UAH.
Assigned to jad.hajjar@cloudkitchens.com</x18tc:text>
    <x18tc:mentions>
      <x18tc:mention mentionpersonId="{b6e25def-f7c8-4623-9e80-46bb43fed0e7}" mentionId="{98275f32-160b-4acf-a126-3d1395d6afde}" startIndex="0" length="29"/>
    </x18tc:mentions>
  </x18tc:threadedComment>
  <x18tc:threadedComment ref="A1" dT="2024-11-20T14:07:30.00" personId="{0dd1fc10-5f62-4a7e-8071-4f6e12c8d5de}" id="{e36eca21-6850-48fc-9c6e-80adf191d830}" parentId="{42f6ac60-432c-429b-9ca8-6b2f2348f948}">
    <x18tc:text xml:space="preserve">Done</x18tc:text>
  </x18tc:threadedComment>
  <x18tc:threadedComment ref="A1" dT="2024-09-17T11:25:19.00" personId="{ed0d0f69-1142-4fca-9236-27f985ce2678}" id="{65dff0f1-ff49-44a4-b1ac-dcd2611e8b63}" done="1">
    <x18tc:text xml:space="preserve">if we can do wadi 0.90 to make it near to yasmin prices if TT approves @jad.hajjar@cloudkitchens.com</x18tc:text>
    <x18tc:mentions>
      <x18tc:mention mentionpersonId="{b6e25def-f7c8-4623-9e80-46bb43fed0e7}" mentionId="{8eb086f2-226a-42ee-bfda-53a19a9508bc}" startIndex="71" length="29"/>
    </x18tc:mentions>
  </x18tc:threadedComment>
  <x18tc:threadedComment ref="A1" dT="2024-04-29T12:28:17.00" personId="{6a9191c7-4e4e-49ac-b3f7-4fa287cbf379}" id="{a411ed3e-1b54-4acf-a328-afb8bcaf0292}" done="0">
    <x18tc:text xml:space="preserve">@tala.zeineddine@cloudkitchens.com</x18tc:text>
    <x18tc:mentions>
      <x18tc:mention mentionpersonId="{343d3d60-dff0-484e-8d10-ab2a3f2ea7ff}" mentionId="{eea2f266-c4b9-4eaa-b105-3eba9648e27a}" startIndex="0" length="3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4" dT="2024-09-17T09:38:57.00" personId="{0dd1fc10-5f62-4a7e-8071-4f6e12c8d5de}" id="{3695b8d8-db80-423b-8c67-519acdde1044}" done="1">
    <x18tc:text xml:space="preserve">@toufic.daher@cloudkitchens.com K17 (hot) should be K18 (hot)</x18tc:text>
    <x18tc:mentions>
      <x18tc:mention mentionpersonId="{c482bb0f-ed38-4492-8605-2f217d0cda01}" mentionId="{a4813bc6-2fa1-4bc5-85c2-f2c2294a77cf}" startIndex="0" length="31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7" dT="2023-12-04T06:24:18.00" personId="{0dd1fc10-5f62-4a7e-8071-4f6e12c8d5de}" id="{2cf0fd05-9c45-4d18-9308-eafe9a0e102c}" done="1">
    <x18tc:text xml:space="preserve">Tao Transfer</x18tc:text>
  </x18tc:threadedComment>
  <x18tc:threadedComment ref="E16" dT="2023-12-04T06:24:12.00" personId="{0dd1fc10-5f62-4a7e-8071-4f6e12c8d5de}" id="{7495a398-2096-47df-baea-205e538f3aa2}" done="1">
    <x18tc:text xml:space="preserve">Tao transfer</x18tc:text>
  </x18tc:threadedComment>
  <x18tc:threadedComment ref="D13" dT="2023-12-06T10:35:52.00" personId="{bcb289bd-6f14-4f63-bce9-6dd2fb944f55}" id="{818ace08-5d3d-44f6-b2bb-f602638e498f}" done="1">
    <x18tc:text xml:space="preserve">@jad.hajjar@cloudkitchens.com Can you fix the conditional formatting please?
Assigned to jad.hajjar@cloudkitchens.com</x18tc:text>
    <x18tc:mentions>
      <x18tc:mention mentionpersonId="{b6e25def-f7c8-4623-9e80-46bb43fed0e7}" mentionId="{675dc349-72ff-457f-86d8-ddcd3d08b8c7}" startIndex="0" length="29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1" dT="2024-07-04T10:58:00.00" personId="{ed0d0f69-1142-4fca-9236-27f985ce2678}" id="{fad9a645-c4d9-4b47-b35c-2a08147b71e0}" done="1">
    <x18tc:text xml:space="preserve">fix price @mark.grehan@cloudkitchens.com
Assigned to mark.grehan@cloudkitchens.com</x18tc:text>
    <x18tc:mentions>
      <x18tc:mention mentionpersonId="{dd39ffc0-13b3-40fa-b6f7-d22242acfc20}" mentionId="{bee51f43-8511-4618-bfeb-586d91acb6bf}" startIndex="10" length="30"/>
    </x18tc:mentions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0" dT="2023-10-05T09:04:47.00" personId="{0dd1fc10-5f62-4a7e-8071-4f6e12c8d5de}" id="{ad7e76b4-9a36-4cac-acd1-2a664b7af927}" done="1">
    <x18tc:text xml:space="preserve">Mohammad SU</x18tc:text>
  </x18tc:threadedComment>
  <x18tc:threadedComment ref="D31" dT="2023-11-12T08:48:03.00" personId="{0dd1fc10-5f62-4a7e-8071-4f6e12c8d5de}" id="{7e247b1e-4711-4d82-ae1f-e3b043a7e997}" done="0">
    <x18tc:text xml:space="preserve">Wok to Wok Transfer</x18tc:text>
  </x18tc:threadedComment>
  <x18tc:threadedComment ref="D9" dT="2023-10-05T09:04:35.00" personId="{0dd1fc10-5f62-4a7e-8071-4f6e12c8d5de}" id="{a683ad49-4bd1-48c1-b992-b85bf1e1a069}" done="1">
    <x18tc:text xml:space="preserve">Wok to Wok</x18tc:text>
  </x18tc:threadedComment>
  <x18tc:threadedComment ref="D11" dT="2023-10-05T09:04:25.00" personId="{0dd1fc10-5f62-4a7e-8071-4f6e12c8d5de}" id="{43046702-40ba-430d-b42d-fa84c3d5cf08}" done="1">
    <x18tc:text xml:space="preserve">Deboned</x18tc:text>
  </x18tc:threadedComment>
  <x18tc:threadedComment ref="D10" dT="2023-10-29T09:27:49.00" personId="{0dd1fc10-5f62-4a7e-8071-4f6e12c8d5de}" id="{8b48b8b4-6bca-4fab-bc39-9184b08279c5}" done="1">
    <x18tc:text xml:space="preserve">Wok to Wok transfer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7HRG75RW%2BW26/@26.2827761,50.1940113,13.75z/data=!4m5!3m4!1s0x0:0x27773e56ebb1757c!8m2!3d26.2922875!4d50.1950156" TargetMode="External"/><Relationship Id="rId190" Type="http://schemas.openxmlformats.org/officeDocument/2006/relationships/hyperlink" Target="https://drive.google.com/file/d/1vCoI8M6Xw_WSR0Iw_-mSkDRBsX903IlZ/view?usp=sharing" TargetMode="External"/><Relationship Id="rId42" Type="http://schemas.openxmlformats.org/officeDocument/2006/relationships/hyperlink" Target="https://drive.google.com/file/d/1hI8EMQqXIkUP23wvGJqIRrjL4jE4uYkL/view?usp=drive_link" TargetMode="External"/><Relationship Id="rId41" Type="http://schemas.openxmlformats.org/officeDocument/2006/relationships/hyperlink" Target="https://drive.google.com/file/d/1PerxMI-FuCizH6429MbRyudqEsoQGZes/view?usp=sharing" TargetMode="External"/><Relationship Id="rId44" Type="http://schemas.openxmlformats.org/officeDocument/2006/relationships/hyperlink" Target="https://docs.google.com/spreadsheets/d/17VJk6oBLtzJV3VnHDYs5IBSou9WR2GkCAXf5MsvzXY4/edit?usp=sharing" TargetMode="External"/><Relationship Id="rId194" Type="http://schemas.openxmlformats.org/officeDocument/2006/relationships/hyperlink" Target="https://drive.google.com/file/d/1ExbK5iGiOly9mBBs2H7dyTtyjbdwyBgo/view?usp=sharing" TargetMode="External"/><Relationship Id="rId43" Type="http://schemas.openxmlformats.org/officeDocument/2006/relationships/hyperlink" Target="https://goo.gl/maps/2Kj2CbSSxK5SCAsP8" TargetMode="External"/><Relationship Id="rId193" Type="http://schemas.openxmlformats.org/officeDocument/2006/relationships/hyperlink" Target="https://maps.app.goo.gl/9uriVSrvRdiZ9QHs9" TargetMode="External"/><Relationship Id="rId46" Type="http://schemas.openxmlformats.org/officeDocument/2006/relationships/hyperlink" Target="https://drive.google.com/file/d/1SCe_iQac7GOKt5LBV_AFNgX3c34qkueX/view?usp=sharing" TargetMode="External"/><Relationship Id="rId192" Type="http://schemas.openxmlformats.org/officeDocument/2006/relationships/hyperlink" Target="https://docs.google.com/spreadsheets/d/1wC9gmGnhlbZgHLamSbdXVzDqRw7QC11pFLUZ7AcXCmA/edit?usp=sharing" TargetMode="External"/><Relationship Id="rId45" Type="http://schemas.openxmlformats.org/officeDocument/2006/relationships/hyperlink" Target="https://maps.app.goo.gl/1pdnhLVWjzoe8n8C8" TargetMode="External"/><Relationship Id="rId191" Type="http://schemas.openxmlformats.org/officeDocument/2006/relationships/hyperlink" Target="https://maps.app.goo.gl/mEmX4N6m9y2qRVjQ8" TargetMode="External"/><Relationship Id="rId48" Type="http://schemas.openxmlformats.org/officeDocument/2006/relationships/hyperlink" Target="https://goo.gl/maps/8uZkdEoQ3wtiVPC99" TargetMode="External"/><Relationship Id="rId187" Type="http://schemas.openxmlformats.org/officeDocument/2006/relationships/hyperlink" Target="https://maps.app.goo.gl/zYgxbekNrNt49dR3A" TargetMode="External"/><Relationship Id="rId47" Type="http://schemas.openxmlformats.org/officeDocument/2006/relationships/hyperlink" Target="https://drive.google.com/file/d/1mlX0jw_kDH51Wj2Ic1rqSgp_6aZ2qnmc/view?usp=sharing" TargetMode="External"/><Relationship Id="rId186" Type="http://schemas.openxmlformats.org/officeDocument/2006/relationships/hyperlink" Target="https://drive.google.com/file/d/1Gyc11-RJcxgtNAAAnMTfbxezDaq4xqiU/view?usp=sharing" TargetMode="External"/><Relationship Id="rId185" Type="http://schemas.openxmlformats.org/officeDocument/2006/relationships/hyperlink" Target="https://maps.app.goo.gl/H17FSY2yQZ1X8TZM9" TargetMode="External"/><Relationship Id="rId49" Type="http://schemas.openxmlformats.org/officeDocument/2006/relationships/hyperlink" Target="https://docs.google.com/spreadsheets/d/1HAObmaVpHeqjDptHYkB84_2v8WhGZbLV25e1Od2pSC4/edit?usp=sharing" TargetMode="External"/><Relationship Id="rId184" Type="http://schemas.openxmlformats.org/officeDocument/2006/relationships/hyperlink" Target="https://docs.google.com/spreadsheets/d/1XeqnMVe8B7cck7WPm31sH-8uzddTBYxrqcJ1r30PR9k/edit?usp=sharing" TargetMode="External"/><Relationship Id="rId189" Type="http://schemas.openxmlformats.org/officeDocument/2006/relationships/hyperlink" Target="https://maps.app.goo.gl/AWGD7iHSvUhJejgL6" TargetMode="External"/><Relationship Id="rId188" Type="http://schemas.openxmlformats.org/officeDocument/2006/relationships/hyperlink" Target="https://docs.google.com/spreadsheets/d/1b2SUMOJymRr_aXxhR-CxTxA3EzLTyBJkxxF4HniVjAM/edit?usp=sharing" TargetMode="External"/><Relationship Id="rId31" Type="http://schemas.openxmlformats.org/officeDocument/2006/relationships/hyperlink" Target="https://drive.google.com/file/d/1sN3hTfUCw1HKWZW8k0eUp7SSRQ-A7cdq/view" TargetMode="External"/><Relationship Id="rId30" Type="http://schemas.openxmlformats.org/officeDocument/2006/relationships/hyperlink" Target="https://maps.app.goo.gl/SUMWBsWDQ8jahC8K6" TargetMode="External"/><Relationship Id="rId33" Type="http://schemas.openxmlformats.org/officeDocument/2006/relationships/hyperlink" Target="https://goo.gl/maps/o28qR4f87yimx5xe7" TargetMode="External"/><Relationship Id="rId183" Type="http://schemas.openxmlformats.org/officeDocument/2006/relationships/hyperlink" Target="https://maps.app.goo.gl/q65ueWuDNuwF2s9P8" TargetMode="External"/><Relationship Id="rId32" Type="http://schemas.openxmlformats.org/officeDocument/2006/relationships/hyperlink" Target="https://drive.google.com/file/d/19ewxDUkoKhmdx42SuSkWyMS_aJ0FjSsm/view?usp=drive_link" TargetMode="External"/><Relationship Id="rId182" Type="http://schemas.openxmlformats.org/officeDocument/2006/relationships/hyperlink" Target="https://drive.google.com/drive/u/1/folders/15bQejZ2YfccMuWs7i4MqYbJRmfTFu7kY" TargetMode="External"/><Relationship Id="rId35" Type="http://schemas.openxmlformats.org/officeDocument/2006/relationships/hyperlink" Target="https://www.google.com/maps/place/24%C2%B046'35.2%22N+46%C2%B047'20.8%22E/@24.7761313,46.7880177,17.57z/data=!4m5!3m4!1s0x0:0xdef1b73ac8bd1193!8m2!3d24.77644!4d46.78911" TargetMode="External"/><Relationship Id="rId181" Type="http://schemas.openxmlformats.org/officeDocument/2006/relationships/hyperlink" Target="https://drive.google.com/file/d/1nTz1tSdnS1ifIXfiHLpl6KDTxlZX-muO/view?usp=sharing" TargetMode="External"/><Relationship Id="rId34" Type="http://schemas.openxmlformats.org/officeDocument/2006/relationships/hyperlink" Target="https://docs.google.com/spreadsheets/d/1FsyN76MC859C_fviD7Puh2Ii17IXORcSIn_dfA7tRcE/edit?usp=sharing" TargetMode="External"/><Relationship Id="rId180" Type="http://schemas.openxmlformats.org/officeDocument/2006/relationships/hyperlink" Target="https://maps.app.goo.gl/q65ueWuDNuwF2s9P8" TargetMode="External"/><Relationship Id="rId37" Type="http://schemas.openxmlformats.org/officeDocument/2006/relationships/hyperlink" Target="https://drive.google.com/file/d/1nEQWcAY7t6UB0wLwXcvuq9de48pKoAlA/view?usp=sharing" TargetMode="External"/><Relationship Id="rId176" Type="http://schemas.openxmlformats.org/officeDocument/2006/relationships/hyperlink" Target="https://maps.app.goo.gl/48aU71eAro8KopMw6" TargetMode="External"/><Relationship Id="rId36" Type="http://schemas.openxmlformats.org/officeDocument/2006/relationships/hyperlink" Target="https://drive.google.com/file/d/19HwKQJGGgoVLgwVfg3pKAUKDC7mhXlCI/view?usp=sharing" TargetMode="External"/><Relationship Id="rId175" Type="http://schemas.openxmlformats.org/officeDocument/2006/relationships/hyperlink" Target="https://docs.google.com/spreadsheets/d/1NQUH0Eq8EzhotVWLf9zWpAzXFxUsV15InknZL3uw0OA/edit?usp=sharing" TargetMode="External"/><Relationship Id="rId39" Type="http://schemas.openxmlformats.org/officeDocument/2006/relationships/hyperlink" Target="https://docs.google.com/spreadsheets/d/1C6x_qVoeNx3pIHFw0HYgwf-wgAgdMLfFslpGWULp0RY/edit?usp=sharing" TargetMode="External"/><Relationship Id="rId174" Type="http://schemas.openxmlformats.org/officeDocument/2006/relationships/hyperlink" Target="https://maps.app.goo.gl/cLhqavHcParVCdrt8" TargetMode="External"/><Relationship Id="rId38" Type="http://schemas.openxmlformats.org/officeDocument/2006/relationships/hyperlink" Target="https://www.google.com/maps/place/24%C2%B046'35.2%22N+46%C2%B047'20.8%22E/@24.7761313,46.7880177,17.57z/data=!4m5!3m4!1s0x0:0xdef1b73ac8bd1193!8m2!3d24.77644!4d46.78911" TargetMode="External"/><Relationship Id="rId173" Type="http://schemas.openxmlformats.org/officeDocument/2006/relationships/hyperlink" Target="https://drive.google.com/drive/u/1/folders/157QkNZwrui-M8OlsfwCCOeet0MFReZa_" TargetMode="External"/><Relationship Id="rId179" Type="http://schemas.openxmlformats.org/officeDocument/2006/relationships/hyperlink" Target="https://docs.google.com/spreadsheets/d/1uhLR6MqwCeSC6fyDzyRVBqR8ryh_TSMODt_LLdmUPYk/edit?usp=sharing" TargetMode="External"/><Relationship Id="rId178" Type="http://schemas.openxmlformats.org/officeDocument/2006/relationships/hyperlink" Target="https://maps.app.goo.gl/rqLsQ7gDE7fpyDW68" TargetMode="External"/><Relationship Id="rId177" Type="http://schemas.openxmlformats.org/officeDocument/2006/relationships/hyperlink" Target="https://drive.google.com/file/d/1OuxsrwS-UrrlBxYEt3xawS-Qpfg4ZKiO/view?usp=sharing" TargetMode="External"/><Relationship Id="rId20" Type="http://schemas.openxmlformats.org/officeDocument/2006/relationships/hyperlink" Target="https://www.google.com/maps/place/24%C2%B039'13.0%22N+46%C2%B035'17.5%22E/@24.6536249,46.5860013,17z/data=!3m1!4b1!4m5!3m4!1s0x0:0x2d91fafcd8e1db08!8m2!3d24.65362!4d46.58819" TargetMode="External"/><Relationship Id="rId22" Type="http://schemas.openxmlformats.org/officeDocument/2006/relationships/hyperlink" Target="https://drive.google.com/file/d/1a61iNvtaOj4HeZXLTc-7CYBpOZz5_qdt/view?usp=drive_link" TargetMode="External"/><Relationship Id="rId21" Type="http://schemas.openxmlformats.org/officeDocument/2006/relationships/hyperlink" Target="https://drive.google.com/file/d/113xKmbjzgVGMRvmC62Jt11B7AAUCdwLp/view?usp=share_link" TargetMode="External"/><Relationship Id="rId24" Type="http://schemas.openxmlformats.org/officeDocument/2006/relationships/hyperlink" Target="https://docs.google.com/spreadsheets/d/12b15VuaiizwMvSJ2JA-7pfcrDlUUBxKYzrnHbNpr-zE/edit?usp=sharing" TargetMode="External"/><Relationship Id="rId23" Type="http://schemas.openxmlformats.org/officeDocument/2006/relationships/hyperlink" Target="https://goo.gl/maps/NTGSLjACdTdsVcWz7" TargetMode="External"/><Relationship Id="rId26" Type="http://schemas.openxmlformats.org/officeDocument/2006/relationships/hyperlink" Target="https://drive.google.com/file/d/1qzBtfjxrriXfCZbY_SNNzox0eo9jxTgE/view?usp=share_link" TargetMode="External"/><Relationship Id="rId25" Type="http://schemas.openxmlformats.org/officeDocument/2006/relationships/hyperlink" Target="https://www.google.com/maps/place/24%C2%B035'20.0%22N+46%C2%B040'11.4%22E/@24.6078756,46.6559578,12z/data=!4m5!3m4!1s0x0:0xba718a1b95b066d!8m2!3d24.5889!4d46.66983" TargetMode="External"/><Relationship Id="rId28" Type="http://schemas.openxmlformats.org/officeDocument/2006/relationships/hyperlink" Target="https://goo.gl/maps/neQH8dYwt7FfcvUo6" TargetMode="External"/><Relationship Id="rId27" Type="http://schemas.openxmlformats.org/officeDocument/2006/relationships/hyperlink" Target="https://drive.google.com/file/d/1sRkgcu4rUvclRh3YQu2zZ_L6O3ryp2Jp/view?usp=drive_link" TargetMode="External"/><Relationship Id="rId29" Type="http://schemas.openxmlformats.org/officeDocument/2006/relationships/hyperlink" Target="https://docs.google.com/spreadsheets/d/1ceh9iYMZovLsU-Ad7RWXjBT3HYzO7nrwyqVQe5FhXTA/edit?usp=sharing" TargetMode="External"/><Relationship Id="rId11" Type="http://schemas.openxmlformats.org/officeDocument/2006/relationships/hyperlink" Target="https://drive.google.com/file/d/1fDuMWSaW__N2hRsUvX9e8HOZY1w7ovRO/view?usp=drive_link" TargetMode="External"/><Relationship Id="rId10" Type="http://schemas.openxmlformats.org/officeDocument/2006/relationships/hyperlink" Target="https://www.google.com/maps/place/24%C2%B047'14.5%22N+46%C2%B040'54.5%22E/@24.7873758,46.6773183,17z/data=!3m1!4b1!4m14!1m7!3m6!1s0x0:0x5ea2e09ee9634d3a!2zMjTCsDQ3JzE2LjIiTiA0NsKwNDAnNTUuMiJF!3b1!8m2!3d24.78783!4d46.682!3m5!1s0x0:0x2cf78ebd2a197af7!7e2!8m2!3d24.7873714!4d46.6818028" TargetMode="External"/><Relationship Id="rId13" Type="http://schemas.openxmlformats.org/officeDocument/2006/relationships/hyperlink" Target="https://goo.gl/maps/EHNxAscHrQcu5iwt5" TargetMode="External"/><Relationship Id="rId12" Type="http://schemas.openxmlformats.org/officeDocument/2006/relationships/hyperlink" Target="https://drive.google.com/file/d/17DPfT01GpRY7Vrl_FtWXzmgDoVinK4hG/view?usp=drive_link" TargetMode="External"/><Relationship Id="rId15" Type="http://schemas.openxmlformats.org/officeDocument/2006/relationships/hyperlink" Target="https://www.google.com/maps/place/24%C2%B041'34.1%22N+46%C2%B041'44.2%22E/@24.6930803,46.6958067,19.07z/data=!4m5!3m4!1s0x0:0x1e74f11bfa0bf890!8m2!3d24.69281!4d46.69561" TargetMode="External"/><Relationship Id="rId198" Type="http://schemas.openxmlformats.org/officeDocument/2006/relationships/hyperlink" Target="https://drive.google.com/file/d/1n9-DhrqXDxiJnXMBV_ainHXfoz8TaVq4/view?usp=sharing" TargetMode="External"/><Relationship Id="rId14" Type="http://schemas.openxmlformats.org/officeDocument/2006/relationships/hyperlink" Target="https://docs.google.com/spreadsheets/d/1tma5CF__7r8UyBgMdx8HpSgpj-UeyrhVthoORMi9CYk/edit?usp=sharing" TargetMode="External"/><Relationship Id="rId197" Type="http://schemas.openxmlformats.org/officeDocument/2006/relationships/hyperlink" Target="https://maps.app.goo.gl/tKAFYbpBUjgs8y728" TargetMode="External"/><Relationship Id="rId17" Type="http://schemas.openxmlformats.org/officeDocument/2006/relationships/hyperlink" Target="https://drive.google.com/file/d/1iFaqoC5ypU01Y7F161leWgD2z-yXwQxs/view?usp=drive_link" TargetMode="External"/><Relationship Id="rId196" Type="http://schemas.openxmlformats.org/officeDocument/2006/relationships/hyperlink" Target="https://docs.google.com/spreadsheets/d/1LQjrrb2LZjA9ZyTIpwbU-QGiL6gdbJwy3D3WuRLMUzY/edit?usp=sharing" TargetMode="External"/><Relationship Id="rId16" Type="http://schemas.openxmlformats.org/officeDocument/2006/relationships/hyperlink" Target="https://drive.google.com/file/d/1zJaIMC1yW8EBgQO8M-O89ZsHwEAn2IUv/view" TargetMode="External"/><Relationship Id="rId195" Type="http://schemas.openxmlformats.org/officeDocument/2006/relationships/hyperlink" Target="https://www.google.com/maps/place/24%C2%B048'24.9%22N+46%C2%B047'33.2%22E/@24.8069167,46.7899807,817m/data=!3m2!1e3!4b1!4m4!3m3!8m2!3d24.8069167!4d46.7925556!5m1!1e2?entry=ttu&amp;g_ep=EgoyMDI1MDYxNy4wIKXMDSoASAFQAw%3D%3D" TargetMode="External"/><Relationship Id="rId19" Type="http://schemas.openxmlformats.org/officeDocument/2006/relationships/hyperlink" Target="https://docs.google.com/spreadsheets/d/1OzkXGVbs7WfYWy7a_nQyOjdMMuy_Zjl6reoGr4KngWA/edit?usp=sharing" TargetMode="External"/><Relationship Id="rId18" Type="http://schemas.openxmlformats.org/officeDocument/2006/relationships/hyperlink" Target="https://goo.gl/maps/MXfMu3T8fqHw5BRt5" TargetMode="External"/><Relationship Id="rId199" Type="http://schemas.openxmlformats.org/officeDocument/2006/relationships/hyperlink" Target="https://maps.app.goo.gl/tKAFYbpBUjgs8y728" TargetMode="External"/><Relationship Id="rId84" Type="http://schemas.openxmlformats.org/officeDocument/2006/relationships/hyperlink" Target="https://drive.google.com/drive/folders/1J13qy-AQOFehdaBkUUhDMG7MGS4meC-x" TargetMode="External"/><Relationship Id="rId83" Type="http://schemas.openxmlformats.org/officeDocument/2006/relationships/hyperlink" Target="https://www.google.com/maps/place/24%C2%B041'51.5%22N+46%C2%B048'22.5%22E/@24.699576,46.8041361,17z/data=!4m6!3m5!1s0x0:0xf9565b5d9a1cf985!7e2!8m2!3d24.6976292!4d46.8062469?hl=en" TargetMode="External"/><Relationship Id="rId86" Type="http://schemas.openxmlformats.org/officeDocument/2006/relationships/hyperlink" Target="https://goo.gl/maps/gFTuWrwVEfgcKEpy9" TargetMode="External"/><Relationship Id="rId85" Type="http://schemas.openxmlformats.org/officeDocument/2006/relationships/hyperlink" Target="https://drive.google.com/file/d/10hPh2JCsWOExK7hGivfCB9mGmAfI2617/view?usp=drive_link" TargetMode="External"/><Relationship Id="rId88" Type="http://schemas.openxmlformats.org/officeDocument/2006/relationships/hyperlink" Target="https://www.google.com/maps/place/21%C2%B037'10.5%22N+39%C2%B011'41.3%22E/@21.61937,39.1924081,16.7z/data=!4m5!3m4!1s0x0:0x7db4ee044f7071da!8m2!3d21.61957!4d39.1948" TargetMode="External"/><Relationship Id="rId150" Type="http://schemas.openxmlformats.org/officeDocument/2006/relationships/hyperlink" Target="https://maps.app.goo.gl/mrHHXnZseKWi2mpV7" TargetMode="External"/><Relationship Id="rId87" Type="http://schemas.openxmlformats.org/officeDocument/2006/relationships/hyperlink" Target="https://docs.google.com/spreadsheets/d/1VwVhVYP4Tc1_Rmt75RhLEROpWsi-S1HMQxcZVnkMnEE/edit?usp=sharing" TargetMode="External"/><Relationship Id="rId89" Type="http://schemas.openxmlformats.org/officeDocument/2006/relationships/hyperlink" Target="https://drive.google.com/file/d/1G8TjtRpDlavXVyD3345iyLEF6_uN_sHz/view?usp=sharing" TargetMode="External"/><Relationship Id="rId80" Type="http://schemas.openxmlformats.org/officeDocument/2006/relationships/hyperlink" Target="https://drive.google.com/file/d/194eKQ-ibKfdp4antF4zfJvEYjnVEt5q8/view?usp=sharing" TargetMode="External"/><Relationship Id="rId82" Type="http://schemas.openxmlformats.org/officeDocument/2006/relationships/hyperlink" Target="https://docs.google.com/spreadsheets/d/1CvzPwIOJXN5u8mgfKlzBu8mmYxcIW10aaIujO1N0694/edit?usp=sharing" TargetMode="External"/><Relationship Id="rId81" Type="http://schemas.openxmlformats.org/officeDocument/2006/relationships/hyperlink" Target="https://goo.gl/maps/vJwpQDxFSENbQjVq8" TargetMode="Externa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149" Type="http://schemas.openxmlformats.org/officeDocument/2006/relationships/hyperlink" Target="https://drive.google.com/file/d/1ChbokJCmJSZrHEaexE8rPg320MaPESj_/view" TargetMode="External"/><Relationship Id="rId4" Type="http://schemas.openxmlformats.org/officeDocument/2006/relationships/hyperlink" Target="https://docs.google.com/spreadsheets/d/1SikvktLFKOlgnpofk2aAs8rSRqK-7FOmbgjdjhvqGpk/edit?usp=sharing" TargetMode="External"/><Relationship Id="rId148" Type="http://schemas.openxmlformats.org/officeDocument/2006/relationships/hyperlink" Target="https://maps.app.goo.gl/hdctb9Uu9F9hZTRG9" TargetMode="External"/><Relationship Id="rId9" Type="http://schemas.openxmlformats.org/officeDocument/2006/relationships/hyperlink" Target="https://docs.google.com/spreadsheets/d/1KCqTJeeYxd93hrWRLE-ktkzIzpMi7XJUfFy0t4pgNoI/edit" TargetMode="External"/><Relationship Id="rId143" Type="http://schemas.openxmlformats.org/officeDocument/2006/relationships/hyperlink" Target="https://www.google.com/maps/place/26%C2%B022'39.6%22N+43%C2%B055'46.6%22E/@26.3776949,43.9291991,19.79z/data=!4m10!1m5!3m4!2zMjbCsDIyJzQwLjEiTiA0M8KwNTUnNDYuOSJF!8m2!3d26.3778056!4d43.9296944!3m3!8m2!3d26.3776667!4d43.9296111?hl=en&amp;entry=ttu" TargetMode="External"/><Relationship Id="rId142" Type="http://schemas.openxmlformats.org/officeDocument/2006/relationships/hyperlink" Target="https://docs.google.com/spreadsheets/d/18VNXVjyQWP1je5TaFebDftGwKxCsxaITKu8of8_PTBE/edit" TargetMode="External"/><Relationship Id="rId141" Type="http://schemas.openxmlformats.org/officeDocument/2006/relationships/hyperlink" Target="https://www.google.com/maps/place/24%C2%B053'03.3%22N+46%C2%B037'19.2%22E/@24.8842382,46.6214488,19z/data=!3m1!4b1!4m4!3m3!8m2!3d24.884237!4d46.621996" TargetMode="External"/><Relationship Id="rId140" Type="http://schemas.openxmlformats.org/officeDocument/2006/relationships/hyperlink" Target="https://drive.google.com/file/d/1Y5iWq_zdeHsYFxEOrGjEqlEYB8REsBZM/view?usp=drive_link" TargetMode="External"/><Relationship Id="rId5" Type="http://schemas.openxmlformats.org/officeDocument/2006/relationships/hyperlink" Target="https://www.google.com/maps/place/24%C2%B049'13.5%22N+46%C2%B043'49.5%22E/@24.8204249,46.7282213,17z/data=!3m1!4b1!4m5!3m4!1s0x0:0x7ca86aa02e6caafc!8m2!3d24.82042!4d46.73041" TargetMode="External"/><Relationship Id="rId147" Type="http://schemas.openxmlformats.org/officeDocument/2006/relationships/hyperlink" Target="https://docs.google.com/spreadsheets/d/1MibzMvEzVkFyVPHoBaoDtaoVJApClQC3vqUTpfvsUp4/edit" TargetMode="External"/><Relationship Id="rId6" Type="http://schemas.openxmlformats.org/officeDocument/2006/relationships/hyperlink" Target="https://drive.google.com/file/d/10yaJ3fDPd0O2uU-8cU0uytCgCS9-YRb5/view?usp=sharing" TargetMode="External"/><Relationship Id="rId146" Type="http://schemas.openxmlformats.org/officeDocument/2006/relationships/hyperlink" Target="https://www.google.com/maps/place/26%C2%B022'40.1%22N+43%C2%B055'46.6%22E/@26.3778184,43.9291003,17.53z/data=!4m10!1m5!3m4!2zMjbCsDIyJzQwLjEiTiA0M8KwNTUnNDYuOSJF!8m2!3d26.3778056!4d43.9296944!3m3!8m2!3d26.3778056!4d43.9296111?hl=en&amp;entry=ttu" TargetMode="External"/><Relationship Id="rId7" Type="http://schemas.openxmlformats.org/officeDocument/2006/relationships/hyperlink" Target="https://drive.google.com/file/d/1Kom5RaXQ3XpN9V04gaEFrEkTG6dtsKOc/view?usp=drive_link" TargetMode="External"/><Relationship Id="rId145" Type="http://schemas.openxmlformats.org/officeDocument/2006/relationships/hyperlink" Target="https://drive.google.com/file/d/1PVwPruwXob78ovFTJCmd48Sw8CYnBUqP/view?usp=drive_link" TargetMode="External"/><Relationship Id="rId8" Type="http://schemas.openxmlformats.org/officeDocument/2006/relationships/hyperlink" Target="https://goo.gl/maps/RCQjJ3c7st1JAnrA9" TargetMode="External"/><Relationship Id="rId144" Type="http://schemas.openxmlformats.org/officeDocument/2006/relationships/hyperlink" Target="https://drive.google.com/file/d/1n-iBhLvQSuHsQR4TfWHp-bU3MEB25Fr0/view" TargetMode="External"/><Relationship Id="rId73" Type="http://schemas.openxmlformats.org/officeDocument/2006/relationships/hyperlink" Target="https://www.google.com/maps?q=24.7413029,46.7785601&amp;hl=en-US&amp;gl=us&amp;entry=gps&amp;g_ep=CAISBjYuMzQuMxgAINeCAw%3D%3D&amp;g_st=iw" TargetMode="External"/><Relationship Id="rId72" Type="http://schemas.openxmlformats.org/officeDocument/2006/relationships/hyperlink" Target="https://docs.google.com/spreadsheets/d/1ZD7nnPRONZuKheOe2aHaCtsnU53Mfm993-IVfkUOiW8/edit?usp=sharing" TargetMode="External"/><Relationship Id="rId75" Type="http://schemas.openxmlformats.org/officeDocument/2006/relationships/hyperlink" Target="https://drive.google.com/file/d/1J-x3no3450BSs6vR4cbdaghD9DefauGE/view?usp=drive_link" TargetMode="External"/><Relationship Id="rId74" Type="http://schemas.openxmlformats.org/officeDocument/2006/relationships/hyperlink" Target="https://drive.google.com/file/d/16BvL6_kPtH-puI8oiNtCKo1pIj2CjkGJ/view?usp=sharing" TargetMode="External"/><Relationship Id="rId77" Type="http://schemas.openxmlformats.org/officeDocument/2006/relationships/hyperlink" Target="https://docs.google.com/spreadsheets/d/14rJ1sqaoc1NCOZqbC_3GyN54ZGNPq7Ka3d0WPzsVP9Q/edit?usp=sharing" TargetMode="External"/><Relationship Id="rId76" Type="http://schemas.openxmlformats.org/officeDocument/2006/relationships/hyperlink" Target="https://goo.gl/maps/oHrgMkM2oRh7Hh358" TargetMode="External"/><Relationship Id="rId79" Type="http://schemas.openxmlformats.org/officeDocument/2006/relationships/hyperlink" Target="https://drive.google.com/file/d/1qWPE0bggZuR8wspKmNk6X5BImALD7rMw/view?usp=sharing" TargetMode="External"/><Relationship Id="rId78" Type="http://schemas.openxmlformats.org/officeDocument/2006/relationships/hyperlink" Target="https://www.google.com/maps/place/21%C2%B035'31.1%22N+39%C2%B010'00.7%22E/@21.5925217,39.1665347,15.97z/data=!4m5!3m4!1s0x0:0x9670880b3270255c!8m2!3d21.59198!4d39.166859" TargetMode="External"/><Relationship Id="rId71" Type="http://schemas.openxmlformats.org/officeDocument/2006/relationships/hyperlink" Target="https://goo.gl/maps/TbbdYmtDJ35pVa6b7" TargetMode="External"/><Relationship Id="rId70" Type="http://schemas.openxmlformats.org/officeDocument/2006/relationships/hyperlink" Target="https://drive.google.com/file/d/1i-np-o7tvabCRk4_XWkykQ1vyj9Jrk_e/view?usp=sharing" TargetMode="External"/><Relationship Id="rId139" Type="http://schemas.openxmlformats.org/officeDocument/2006/relationships/hyperlink" Target="https://drive.google.com/file/d/1MaCC88zppRT0hef2nhHqkA02-cJsSaLG/view?usp=sharing" TargetMode="External"/><Relationship Id="rId138" Type="http://schemas.openxmlformats.org/officeDocument/2006/relationships/hyperlink" Target="https://www.google.com/maps/place/24%C2%B053'03.3%22N+46%C2%B037'19.2%22E/@24.8866708,46.6225987,16.48z/data=!4m4!3m3!8m2!3d24.88425!4d46.622?entry=ttu" TargetMode="External"/><Relationship Id="rId137" Type="http://schemas.openxmlformats.org/officeDocument/2006/relationships/hyperlink" Target="https://docs.google.com/spreadsheets/d/1OancZ2w_4bs_NtNBJap7t6UcvRWcOk2Aj6uZ9vZ39dc/edit" TargetMode="External"/><Relationship Id="rId132" Type="http://schemas.openxmlformats.org/officeDocument/2006/relationships/hyperlink" Target="https://docs.google.com/spreadsheets/d/1-b_kt1T54FN4PSG3Z4Fvh4xHsHIKq5ZKK1AbvJmg974/edit" TargetMode="External"/><Relationship Id="rId253" Type="http://schemas.openxmlformats.org/officeDocument/2006/relationships/hyperlink" Target="https://drive.google.com/file/d/17RFzrGb1RdkHQrKNYxkJgGu9oMZIVsr6/view" TargetMode="External"/><Relationship Id="rId131" Type="http://schemas.openxmlformats.org/officeDocument/2006/relationships/hyperlink" Target="https://goo.gl/maps/QGMLw8WqLjh48imp7" TargetMode="External"/><Relationship Id="rId252" Type="http://schemas.openxmlformats.org/officeDocument/2006/relationships/hyperlink" Target="https://maps.app.goo.gl/snS8LjnNpwA2UYHS6" TargetMode="External"/><Relationship Id="rId130" Type="http://schemas.openxmlformats.org/officeDocument/2006/relationships/hyperlink" Target="https://drive.google.com/file/d/1F_3WVaiNFLJVLq1UNsrcEPTO4laZPiiP/view?usp=drive_link" TargetMode="External"/><Relationship Id="rId251" Type="http://schemas.openxmlformats.org/officeDocument/2006/relationships/hyperlink" Target="https://docs.google.com/spreadsheets/d/1qORDowajK90YSfG4S6TtQC0uUJmUXNF4D7eitKUf4n0/edit?usp=sharing" TargetMode="External"/><Relationship Id="rId250" Type="http://schemas.openxmlformats.org/officeDocument/2006/relationships/hyperlink" Target="https://maps.app.goo.gl/XAXBbAWySifE6BpX9" TargetMode="External"/><Relationship Id="rId136" Type="http://schemas.openxmlformats.org/officeDocument/2006/relationships/hyperlink" Target="https://www.google.com/maps/place/21%C2%B032'08.9%22N+39%C2%B010'49.5%22E/@21.53581,39.1782213,17z/data=!3m1!4b1!4m5!3m4!1s0x0:0x352fd5176cfb071!8m2!3d21.53581!4d39.18041" TargetMode="External"/><Relationship Id="rId135" Type="http://schemas.openxmlformats.org/officeDocument/2006/relationships/hyperlink" Target="https://drive.google.com/file/d/1svOPmA09Det2qVYY-rfi6w7CIPwIKqMd/view?usp=sharing" TargetMode="External"/><Relationship Id="rId256" Type="http://schemas.openxmlformats.org/officeDocument/2006/relationships/vmlDrawing" Target="../drawings/vmlDrawing8.vml"/><Relationship Id="rId134" Type="http://schemas.openxmlformats.org/officeDocument/2006/relationships/hyperlink" Target="https://drive.google.com/file/d/1q8g3Yahjn16MHLgxbUzd6UnL-AfBeLTz/view?usp=sharing" TargetMode="External"/><Relationship Id="rId255" Type="http://schemas.openxmlformats.org/officeDocument/2006/relationships/drawing" Target="../drawings/drawing9.xml"/><Relationship Id="rId133" Type="http://schemas.openxmlformats.org/officeDocument/2006/relationships/hyperlink" Target="https://www.google.com/maps/place/%D8%AD%D9%8A,+JCMB2717,+2717+Al+Zahrah,+6705,+Mishrifah,+Jeddah+23332,+Saudi+Arabia%E2%80%AD/@21.5357675,39.1806257,780m/data=!3m2!1e3!4b1!4m6!3m5!1s0x15c3cfd94bc0d00f:0x83e1a5a5f4846564!8m2!3d21.5357675!4d39.1806257!16s%2Fg%2F11pxmb28pn?entry=ttu&amp;g_ep=EgoyMDI1MDUwNS4wIKXMDSoASAFQAw%3D%3D" TargetMode="External"/><Relationship Id="rId254" Type="http://schemas.openxmlformats.org/officeDocument/2006/relationships/hyperlink" Target="https://maps.app.goo.gl/itVVKxRPd6ZLgvQSA" TargetMode="External"/><Relationship Id="rId62" Type="http://schemas.openxmlformats.org/officeDocument/2006/relationships/hyperlink" Target="https://docs.google.com/spreadsheets/d/1L4SXXMF6gOpAmht48Tos50iPXIqRZxL79tvtYucfP6k/edit?usp=sharing" TargetMode="External"/><Relationship Id="rId61" Type="http://schemas.openxmlformats.org/officeDocument/2006/relationships/hyperlink" Target="https://goo.gl/maps/T79qmnrfZeNoVaP79" TargetMode="External"/><Relationship Id="rId64" Type="http://schemas.openxmlformats.org/officeDocument/2006/relationships/hyperlink" Target="https://drive.google.com/file/d/1vFmwlyc3abWZEKteRNDveQl8F_B4upBI/view?usp=sharing" TargetMode="External"/><Relationship Id="rId63" Type="http://schemas.openxmlformats.org/officeDocument/2006/relationships/hyperlink" Target="https://www.google.com/maps/place/24%C2%B044'11.1%22N+46%C2%B040'33.7%22E/@24.736408,46.6754835,19z/data=!3m1!4b1!4m6!3m5!1s0x0:0x652ab6ab6e074aa2!7e2!8m2!3d24.7364076!4d46.6760317?shorturl=1" TargetMode="External"/><Relationship Id="rId66" Type="http://schemas.openxmlformats.org/officeDocument/2006/relationships/hyperlink" Target="https://goo.gl/maps/AWaNGt2qKgLtZwJx9" TargetMode="External"/><Relationship Id="rId172" Type="http://schemas.openxmlformats.org/officeDocument/2006/relationships/hyperlink" Target="https://drive.google.com/file/d/1eJHWuaii_KIdx1D8NDZrbiUQeTZND3kC/view" TargetMode="External"/><Relationship Id="rId65" Type="http://schemas.openxmlformats.org/officeDocument/2006/relationships/hyperlink" Target="https://drive.google.com/file/d/1YWwIjpe7txyZNfi0vgLGJUlxV7D_CtHj/view?usp=sharing" TargetMode="External"/><Relationship Id="rId171" Type="http://schemas.openxmlformats.org/officeDocument/2006/relationships/hyperlink" Target="https://maps.app.goo.gl/cLhqavHcParVCdrt8" TargetMode="External"/><Relationship Id="rId68" Type="http://schemas.openxmlformats.org/officeDocument/2006/relationships/hyperlink" Target="https://www.google.com/maps/place/24%C2%B047'52.2%22N+46%C2%B037'38.8%22E/@24.7982562,46.6280795,16.13z/data=!4m5!3m4!1s0x0:0x922eaa170229e531!8m2!3d24.797833!4d46.627441?shorturl=1" TargetMode="External"/><Relationship Id="rId170" Type="http://schemas.openxmlformats.org/officeDocument/2006/relationships/hyperlink" Target="https://docs.google.com/spreadsheets/d/1l6fpgFTft4Ny_r2TV5RVS4oBx6iDUzdO4xEvYWgVKq8/edit?usp=sharing" TargetMode="External"/><Relationship Id="rId67" Type="http://schemas.openxmlformats.org/officeDocument/2006/relationships/hyperlink" Target="https://docs.google.com/spreadsheets/d/1I3eoxyCTtf6vzS1B0SY152p0hi1294RI_DyNol7N9ww/edit?usp=sharing" TargetMode="External"/><Relationship Id="rId60" Type="http://schemas.openxmlformats.org/officeDocument/2006/relationships/hyperlink" Target="https://drive.google.com/file/d/1XwRXFN4ULGxrnwfTzY_Ya0V3qfXxoHUy/view?usp=sharing" TargetMode="External"/><Relationship Id="rId165" Type="http://schemas.openxmlformats.org/officeDocument/2006/relationships/hyperlink" Target="https://maps.app.goo.gl/8JZ8c6vkjcbTZaZSA" TargetMode="External"/><Relationship Id="rId69" Type="http://schemas.openxmlformats.org/officeDocument/2006/relationships/hyperlink" Target="https://drive.google.com/file/d/1KJcwk_y80HzKoULB_GSYLpAdB2596FZi/view" TargetMode="External"/><Relationship Id="rId164" Type="http://schemas.openxmlformats.org/officeDocument/2006/relationships/hyperlink" Target="https://drive.google.com/drive/u/1/folders/1IVfhRvfxmMtZA9rqgamRuh0sOwTMJdJL" TargetMode="External"/><Relationship Id="rId163" Type="http://schemas.openxmlformats.org/officeDocument/2006/relationships/hyperlink" Target="https://drive.google.com/file/d/1HnJ6XzuzFNcCcz-vvBz7fyPPZXjMzF1h/view" TargetMode="External"/><Relationship Id="rId162" Type="http://schemas.openxmlformats.org/officeDocument/2006/relationships/hyperlink" Target="https://maps.app.goo.gl/8JZ8c6vkjcbTZaZSA" TargetMode="External"/><Relationship Id="rId169" Type="http://schemas.openxmlformats.org/officeDocument/2006/relationships/hyperlink" Target="https://maps.app.goo.gl/Vxf72TAJMPpstrsK8" TargetMode="External"/><Relationship Id="rId168" Type="http://schemas.openxmlformats.org/officeDocument/2006/relationships/hyperlink" Target="https://drive.google.com/file/d/1EcbO83_zWR8_qHIceJz5FPMi_bl9kAQ0/view?usp=sharing" TargetMode="External"/><Relationship Id="rId167" Type="http://schemas.openxmlformats.org/officeDocument/2006/relationships/hyperlink" Target="https://maps.app.goo.gl/2L4LQTfBRbBfpSMw8" TargetMode="External"/><Relationship Id="rId166" Type="http://schemas.openxmlformats.org/officeDocument/2006/relationships/hyperlink" Target="https://docs.google.com/spreadsheets/u/0/d/1_oUxD874vuml5myljA497CISF3XvKMp0eNACinZsoJ8/edit" TargetMode="External"/><Relationship Id="rId51" Type="http://schemas.openxmlformats.org/officeDocument/2006/relationships/hyperlink" Target="https://goo.gl/maps/hS8VZoTwrtUwXEUA8" TargetMode="External"/><Relationship Id="rId50" Type="http://schemas.openxmlformats.org/officeDocument/2006/relationships/hyperlink" Target="https://www.google.com/maps/place/21%C2%B035'05.8%22N+39%C2%B013'11.6%22E/@21.5823505,39.217331,15.71z/data=!4m5!3m4!1s0x0:0x3ffcda0cb7f482cf!8m2!3d21.58494!4d39.21988" TargetMode="External"/><Relationship Id="rId53" Type="http://schemas.openxmlformats.org/officeDocument/2006/relationships/hyperlink" Target="https://www.google.com/maps/place/7HRGF33R%2BPX/@26.4513423,50.0894905,15.02z/data=!4m5!3m4!1s0x0:0xf88a521bb45292a3!8m2!3d26.4543125!4d50.0924375" TargetMode="External"/><Relationship Id="rId52" Type="http://schemas.openxmlformats.org/officeDocument/2006/relationships/hyperlink" Target="https://docs.google.com/spreadsheets/d/1o44biglXjjKaYe3JICRfaL83k_mSLKub1zlnu3sAokc/edit?usp=sharing" TargetMode="External"/><Relationship Id="rId55" Type="http://schemas.openxmlformats.org/officeDocument/2006/relationships/hyperlink" Target="https://drive.google.com/file/d/1xfXl4-u_NVjk4IOsuoPlVNv7zVyOGM0-/view?usp=drive_link" TargetMode="External"/><Relationship Id="rId161" Type="http://schemas.openxmlformats.org/officeDocument/2006/relationships/hyperlink" Target="https://docs.google.com/spreadsheets/u/0/d/1XbbYy2DN8MDb1QciKOkxXWkxYJGrWmFbw6nXf24N-Vk/edit" TargetMode="External"/><Relationship Id="rId54" Type="http://schemas.openxmlformats.org/officeDocument/2006/relationships/hyperlink" Target="https://drive.google.com/file/d/14HWB0qfzQZwGRX1B8PyjErQ--KHi3YST/view?usp=share_link" TargetMode="External"/><Relationship Id="rId160" Type="http://schemas.openxmlformats.org/officeDocument/2006/relationships/hyperlink" Target="https://maps.app.goo.gl/Dq3cA5F3eJUC3QCS6" TargetMode="External"/><Relationship Id="rId57" Type="http://schemas.openxmlformats.org/officeDocument/2006/relationships/hyperlink" Target="https://docs.google.com/spreadsheets/d/1QgusQzD96aaQgYcEc0_pk9m-LahDF0AKLL_YFmUB_5Q/edit?usp=sharing" TargetMode="External"/><Relationship Id="rId56" Type="http://schemas.openxmlformats.org/officeDocument/2006/relationships/hyperlink" Target="https://goo.gl/maps/vcw273kRyXUkJWuAA" TargetMode="External"/><Relationship Id="rId159" Type="http://schemas.openxmlformats.org/officeDocument/2006/relationships/hyperlink" Target="https://drive.google.com/drive/u/1/folders/1V__C2-37QKO694HIckhy0cvymvR2lyQp" TargetMode="External"/><Relationship Id="rId59" Type="http://schemas.openxmlformats.org/officeDocument/2006/relationships/hyperlink" Target="https://drive.google.com/file/d/1oIJhK0lgXuxfPDsb1XnJYlYiE7Vnrssi/view?usp=sharing" TargetMode="External"/><Relationship Id="rId154" Type="http://schemas.openxmlformats.org/officeDocument/2006/relationships/hyperlink" Target="https://drive.google.com/drive/u/1/folders/1aLG_U63hYyV-stJZCqUC2PMTOi-lY9Rm" TargetMode="External"/><Relationship Id="rId58" Type="http://schemas.openxmlformats.org/officeDocument/2006/relationships/hyperlink" Target="https://www.google.com/maps/place/24%C2%B046'49.9%22N+46%C2%B038'05.2%22E/@24.7805278,46.6325891,17z/data=!3m1!4b1!4m5!3m4!1s0x0:0xd35343c4b02ad3e1!8m2!3d24.7805278!4d46.6347778?shorturl=1" TargetMode="External"/><Relationship Id="rId153" Type="http://schemas.openxmlformats.org/officeDocument/2006/relationships/hyperlink" Target="https://drive.google.com/file/d/1J_FTTHPL9YpzlUvnz89DLdA17BMfflIn/view" TargetMode="External"/><Relationship Id="rId152" Type="http://schemas.openxmlformats.org/officeDocument/2006/relationships/hyperlink" Target="https://maps.app.goo.gl/fAaLKbYKf9dPFJNW7" TargetMode="External"/><Relationship Id="rId151" Type="http://schemas.openxmlformats.org/officeDocument/2006/relationships/hyperlink" Target="https://docs.google.com/spreadsheets/d/1gvCB-43z8G_as3S4iHExxkmHrBee8nVB3fj4sLU-J48/edit" TargetMode="External"/><Relationship Id="rId158" Type="http://schemas.openxmlformats.org/officeDocument/2006/relationships/hyperlink" Target="https://drive.google.com/file/d/17E1lhuwIf-d9O3_t-y0xWFvYHdRAQ14R/view?usp=sharing" TargetMode="External"/><Relationship Id="rId157" Type="http://schemas.openxmlformats.org/officeDocument/2006/relationships/hyperlink" Target="https://maps.app.goo.gl/qHJ517WJRu2qhbyS8" TargetMode="External"/><Relationship Id="rId156" Type="http://schemas.openxmlformats.org/officeDocument/2006/relationships/hyperlink" Target="https://docs.google.com/spreadsheets/d/1gWfKsmBodlvK-9B26f_-CuVU5bv_wCr2TSc71knTueM/edit?usp=sharing" TargetMode="External"/><Relationship Id="rId155" Type="http://schemas.openxmlformats.org/officeDocument/2006/relationships/hyperlink" Target="https://maps.app.goo.gl/9jCJvDPL3uRFWpno6" TargetMode="External"/><Relationship Id="rId107" Type="http://schemas.openxmlformats.org/officeDocument/2006/relationships/hyperlink" Target="https://docs.google.com/spreadsheets/d/18kKxjzBWFR1uqPYtL5xG5n4-qz7O8cOEzRE6Sp7gXJg/edit?usp=sharing" TargetMode="External"/><Relationship Id="rId228" Type="http://schemas.openxmlformats.org/officeDocument/2006/relationships/hyperlink" Target="https://drive.google.com/file/d/1ioeRlc_uJu8BbGv71O2TbIqeUwb2phsV/view?usp=sharing" TargetMode="External"/><Relationship Id="rId106" Type="http://schemas.openxmlformats.org/officeDocument/2006/relationships/hyperlink" Target="https://goo.gl/maps/zz37JPDqjQKZCAU57" TargetMode="External"/><Relationship Id="rId227" Type="http://schemas.openxmlformats.org/officeDocument/2006/relationships/hyperlink" Target="https://maps.app.goo.gl/YTGMJHtsumWBEfZn7" TargetMode="External"/><Relationship Id="rId105" Type="http://schemas.openxmlformats.org/officeDocument/2006/relationships/hyperlink" Target="https://drive.google.com/file/d/15KSTQcbVgEkdjG9SI7b2bc6NOWrAbNo0/view?usp=drive_link" TargetMode="External"/><Relationship Id="rId226" Type="http://schemas.openxmlformats.org/officeDocument/2006/relationships/hyperlink" Target="https://docs.google.com/spreadsheets/d/1E6Tnj_Z-QBmlSoiAOXxbDWg8dC4ictWUZbSme2jIHoo/edit?usp=sharing" TargetMode="External"/><Relationship Id="rId104" Type="http://schemas.openxmlformats.org/officeDocument/2006/relationships/hyperlink" Target="https://drive.google.com/file/d/1cPbM7kKwuvl9jcRQA9ezbrwG3h-CGag2/view?usp=share_link" TargetMode="External"/><Relationship Id="rId225" Type="http://schemas.openxmlformats.org/officeDocument/2006/relationships/hyperlink" Target="https://www.google.com/maps/place/%D8%AD%D8%B6%D8%A7%D9%86%D8%A9+%D9%87%D8%A7%D8%A8%D9%86%D9%8A%D8%B3+2%E2%80%AD/@24.7535251,46.6605405,208m/data=!3m1!1e3!4m6!3m5!1s0x3e2ee370ff1cbaa7:0x79af3e47eaf88d7!8m2!3d24.7534902!4d46.6606894!16s%2Fg%2F11v06dy_6g!5m1!1e1?entry=ttu&amp;g_ep=EgoyMDI1MTAxMi4wIKXMDSoASAFQAw%3D%3D" TargetMode="External"/><Relationship Id="rId109" Type="http://schemas.openxmlformats.org/officeDocument/2006/relationships/hyperlink" Target="https://drive.google.com/file/d/1toDowrWmv6T96FsmSh5Qrnnedp3wnNdX/view?usp=sharing" TargetMode="External"/><Relationship Id="rId108" Type="http://schemas.openxmlformats.org/officeDocument/2006/relationships/hyperlink" Target="https://www.google.com/maps/place/21%C2%B032'54.2%22N+39%C2%B012'46.2%22E/@21.5483941,39.2122929,19z/data=!3m1!4b1!4m5!3m4!1s0x0:0x3f3b2c0edb48e713!8m2!3d21.5483929!4d39.2128401" TargetMode="External"/><Relationship Id="rId229" Type="http://schemas.openxmlformats.org/officeDocument/2006/relationships/hyperlink" Target="https://maps.app.goo.gl/YTGMJHtsumWBEfZn7" TargetMode="External"/><Relationship Id="rId220" Type="http://schemas.openxmlformats.org/officeDocument/2006/relationships/hyperlink" Target="https://drive.google.com/file/d/1WVYuh3oN2OuYR5uIincNnJIo0F4JRum9/view?usp=sharing" TargetMode="External"/><Relationship Id="rId103" Type="http://schemas.openxmlformats.org/officeDocument/2006/relationships/hyperlink" Target="https://www.google.com/maps/place/RHSB7807%D8%8C+7807+%D8%A7%D9%84%D8%A3%D9%85%D9%8A%D8%B1+%D9%85%D8%B3%D8%A7%D8%B9%D8%AF+%D8%A8%D9%86+%D8%B9%D8%A8%D8%AF%D8%A7%D9%84%D8%B9%D8%B2%D9%8A%D8%B2%D8%8C+3526%D8%8C+%D8%AD%D9%8A+%D8%A7%D9%84%D8%B3%D9%84%D9%8A%D9%85%D8%A7%D9%86%D9%8A%D8%A9%D8%8C+Riyadh+12233%E2%80%AD/@24.6992088,46.7137342,18.74z/data=!4m5!3m4!1s0x3e2f0398ccf68983:0xc8720bc53ad5bc53!8m2!3d24.6995812!4d46.7141224" TargetMode="External"/><Relationship Id="rId224" Type="http://schemas.openxmlformats.org/officeDocument/2006/relationships/hyperlink" Target="https://docs.google.com/spreadsheets/d/1_oY1Ddd1gYS4ZUE4GGHuDQoGjzx8BG1pOQBp4nDdTis/edit?usp=sharing" TargetMode="External"/><Relationship Id="rId102" Type="http://schemas.openxmlformats.org/officeDocument/2006/relationships/hyperlink" Target="https://docs.google.com/spreadsheets/d/1djKYcr7Svnc_nQ0XLsrlEwM8qpaooPFhPq43dDqzJDg/edit?usp=sharing" TargetMode="External"/><Relationship Id="rId223" Type="http://schemas.openxmlformats.org/officeDocument/2006/relationships/hyperlink" Target="https://maps.app.goo.gl/VMGm1NKck71gLkf48" TargetMode="External"/><Relationship Id="rId101" Type="http://schemas.openxmlformats.org/officeDocument/2006/relationships/hyperlink" Target="https://goo.gl/maps/hx79PdFwhLjKHRCq9" TargetMode="External"/><Relationship Id="rId222" Type="http://schemas.openxmlformats.org/officeDocument/2006/relationships/hyperlink" Target="https://docs.google.com/spreadsheets/d/1XeqnMVe8B7cck7WPm31sH-8uzddTBYxrqcJ1r30PR9k/edit?usp=sharing" TargetMode="External"/><Relationship Id="rId100" Type="http://schemas.openxmlformats.org/officeDocument/2006/relationships/hyperlink" Target="https://drive.google.com/file/d/1SeXaPBcSZiK9DydQYYYRFRhmoPBYCAnI/view?usp=drive_link" TargetMode="External"/><Relationship Id="rId221" Type="http://schemas.openxmlformats.org/officeDocument/2006/relationships/hyperlink" Target="https://maps.app.goo.gl/pD1svsimySLyjjGAA" TargetMode="External"/><Relationship Id="rId217" Type="http://schemas.openxmlformats.org/officeDocument/2006/relationships/hyperlink" Target="https://maps.app.goo.gl/1XpusR5fznxZ5ewn9" TargetMode="External"/><Relationship Id="rId216" Type="http://schemas.openxmlformats.org/officeDocument/2006/relationships/hyperlink" Target="https://drive.google.com/file/d/1eWIZhuhprQ-mWmm2l8wZokCwOqUbmdiH/view?usp=drive_link" TargetMode="External"/><Relationship Id="rId215" Type="http://schemas.openxmlformats.org/officeDocument/2006/relationships/hyperlink" Target="https://maps.app.goo.gl/1XpusR5fznxZ5ewn9" TargetMode="External"/><Relationship Id="rId214" Type="http://schemas.openxmlformats.org/officeDocument/2006/relationships/hyperlink" Target="https://docs.google.com/spreadsheets/d/1y7ACpN0rcyVfNpKKjnV3d9gJJjNdPh-YwNI1wMgIwzU/edit?usp=sharing" TargetMode="External"/><Relationship Id="rId219" Type="http://schemas.openxmlformats.org/officeDocument/2006/relationships/hyperlink" Target="https://maps.app.goo.gl/pD1svsimySLyjjGAA" TargetMode="External"/><Relationship Id="rId218" Type="http://schemas.openxmlformats.org/officeDocument/2006/relationships/hyperlink" Target="https://docs.google.com/spreadsheets/d/1S4J01OB9bxFCA06Jm6L14usqydkx_Yxd64Nv50IzLQk/edit?usp=sharing" TargetMode="External"/><Relationship Id="rId213" Type="http://schemas.openxmlformats.org/officeDocument/2006/relationships/hyperlink" Target="https://maps.app.goo.gl/sctQTrPnNhov9gzr8" TargetMode="External"/><Relationship Id="rId212" Type="http://schemas.openxmlformats.org/officeDocument/2006/relationships/hyperlink" Target="https://drive.google.com/file/d/1BkZ2z-d0MBEdOriyHdC9O8U6gJW9Nvrc/view?usp=sharing" TargetMode="External"/><Relationship Id="rId211" Type="http://schemas.openxmlformats.org/officeDocument/2006/relationships/hyperlink" Target="https://maps.app.goo.gl/sctQTrPnNhov9gzr8" TargetMode="External"/><Relationship Id="rId210" Type="http://schemas.openxmlformats.org/officeDocument/2006/relationships/hyperlink" Target="https://docs.google.com/spreadsheets/d/1Lzd50_Gl0wKZ-gsLOc6rU4WSjv1Z29ORqEu6TSTk4vQ/edit?usp=sharing" TargetMode="External"/><Relationship Id="rId129" Type="http://schemas.openxmlformats.org/officeDocument/2006/relationships/hyperlink" Target="https://drive.google.com/file/d/1BkyGb6X6WrVMLXKjlBrIJ8OEXTGh5Dbp/view?usp=sharing" TargetMode="External"/><Relationship Id="rId128" Type="http://schemas.openxmlformats.org/officeDocument/2006/relationships/hyperlink" Target="https://goo.gl/maps/RVwGN9GCmW6pwFUT6" TargetMode="External"/><Relationship Id="rId249" Type="http://schemas.openxmlformats.org/officeDocument/2006/relationships/hyperlink" Target="https://drive.google.com/file/d/1eVol3B-Ebsbp0YRk5kCMAMn2pYkvjs0m/view?usp=sharing" TargetMode="External"/><Relationship Id="rId127" Type="http://schemas.openxmlformats.org/officeDocument/2006/relationships/hyperlink" Target="https://docs.google.com/spreadsheets/d/1Ls3y_UDxxmvIPoZ22qSDYJg69dxZWNxRsSPee2Ph2A0/edit" TargetMode="External"/><Relationship Id="rId248" Type="http://schemas.openxmlformats.org/officeDocument/2006/relationships/hyperlink" Target="https://maps.app.goo.gl/1MCHNBggKu6GrkDR7" TargetMode="External"/><Relationship Id="rId126" Type="http://schemas.openxmlformats.org/officeDocument/2006/relationships/hyperlink" Target="https://goo.gl/maps/f442CuoP98XuVD9u5" TargetMode="External"/><Relationship Id="rId247" Type="http://schemas.openxmlformats.org/officeDocument/2006/relationships/hyperlink" Target="https://docs.google.com/spreadsheets/d/1NHKeyURh1kgnnyNiw2t_MJCu-Kj2VL0v63mEW81Z3Yo/edit?usp=sharing" TargetMode="External"/><Relationship Id="rId121" Type="http://schemas.openxmlformats.org/officeDocument/2006/relationships/hyperlink" Target="https://www.google.com/maps/place/24%C2%B049'42.2%22N+46%C2%B040'55.7%22E/@24.828384,46.682136,17z/data=!4m5!3m4!1s0x0:0x4b66db5eca4424bc!8m2!3d24.828384!4d46.682136" TargetMode="External"/><Relationship Id="rId242" Type="http://schemas.openxmlformats.org/officeDocument/2006/relationships/hyperlink" Target="https://maps.app.goo.gl/rfTrsNYP4RKyZFGz8" TargetMode="External"/><Relationship Id="rId120" Type="http://schemas.openxmlformats.org/officeDocument/2006/relationships/hyperlink" Target="https://drive.google.com/file/d/1E_IC53x61nirDKvCCsYcjqKSJDVOn2oz/view?usp=drive_link" TargetMode="External"/><Relationship Id="rId241" Type="http://schemas.openxmlformats.org/officeDocument/2006/relationships/hyperlink" Target="https://drive.google.com/file/d/1FgoyaL_DHIigM0wAydSge-FTMgAewWld/view?usp=sharing" TargetMode="External"/><Relationship Id="rId240" Type="http://schemas.openxmlformats.org/officeDocument/2006/relationships/hyperlink" Target="https://maps.app.goo.gl/BsdkjXU8oWn8SwFi6" TargetMode="External"/><Relationship Id="rId125" Type="http://schemas.openxmlformats.org/officeDocument/2006/relationships/hyperlink" Target="https://drive.google.com/drive/u/0/folders/1xthwnFrsJ8Y5BJOV3cbJg_W-4rhRjCal" TargetMode="External"/><Relationship Id="rId246" Type="http://schemas.openxmlformats.org/officeDocument/2006/relationships/hyperlink" Target="https://maps.app.goo.gl/JwXNTZHeJEZ7uEM66" TargetMode="External"/><Relationship Id="rId124" Type="http://schemas.openxmlformats.org/officeDocument/2006/relationships/hyperlink" Target="https://drive.google.com/file/d/1FdCGBqAgCJf3Kjkol_G1_vOeNQaAG64S/view?usp=sharing" TargetMode="External"/><Relationship Id="rId245" Type="http://schemas.openxmlformats.org/officeDocument/2006/relationships/hyperlink" Target="https://drive.google.com/file/d/1_kJczJglADjhoPN8hUdkmXJktvT9DtIY/view?usp=sharing" TargetMode="External"/><Relationship Id="rId123" Type="http://schemas.openxmlformats.org/officeDocument/2006/relationships/hyperlink" Target="https://goo.gl/maps/V4HjQbzJJxMByyMY9" TargetMode="External"/><Relationship Id="rId244" Type="http://schemas.openxmlformats.org/officeDocument/2006/relationships/hyperlink" Target="https://maps.app.goo.gl/JwXNTZHeJEZ7uEM66" TargetMode="External"/><Relationship Id="rId122" Type="http://schemas.openxmlformats.org/officeDocument/2006/relationships/hyperlink" Target="https://docs.google.com/spreadsheets/d/1ZXaZeEaMUWwLkN5n8v8NB2b0v4WrwyMvkRq5kOLSmk4/edit?usp=sharing" TargetMode="External"/><Relationship Id="rId243" Type="http://schemas.openxmlformats.org/officeDocument/2006/relationships/hyperlink" Target="https://docs.google.com/spreadsheets/d/1XQKUIfTVzkP_waGWUP8OKzBbOXEk0h4kri6ngMyA2iI/edit?usp=sharing" TargetMode="External"/><Relationship Id="rId95" Type="http://schemas.openxmlformats.org/officeDocument/2006/relationships/hyperlink" Target="https://drive.google.com/file/d/1GDbkMJ5_92996PAyaJzVmhG_jb_R1Dgt/view?usp=drive_link" TargetMode="External"/><Relationship Id="rId94" Type="http://schemas.openxmlformats.org/officeDocument/2006/relationships/hyperlink" Target="https://drive.google.com/file/d/1pP6v41Iz1zAE4PjPYCwmAayi-z-7uQnj/view?usp=sharing" TargetMode="External"/><Relationship Id="rId97" Type="http://schemas.openxmlformats.org/officeDocument/2006/relationships/hyperlink" Target="https://docs.google.com/spreadsheets/d/1qggQKY7X4IDu8o5inwTiwNwfpTws3v1n7tp3SI7n7aM/edit?usp=sharing" TargetMode="External"/><Relationship Id="rId96" Type="http://schemas.openxmlformats.org/officeDocument/2006/relationships/hyperlink" Target="https://goo.gl/maps/SWGDkDvbaydcB4DF9" TargetMode="External"/><Relationship Id="rId99" Type="http://schemas.openxmlformats.org/officeDocument/2006/relationships/hyperlink" Target="https://drive.google.com/file/d/1jCqVzaqiUmEeV9yBYLoftSq6ntGwNgNJ/view?usp=sharing" TargetMode="External"/><Relationship Id="rId98" Type="http://schemas.openxmlformats.org/officeDocument/2006/relationships/hyperlink" Target="https://www.google.com/maps/place/24%C2%B040'31.1%22N+46%C2%B045'11.4%22E/@24.675043,46.7488291,17.38z/data=!4m5!3m4!1s0x0:0x5ca9209ad4ef379!8m2!3d24.675317!4d46.753165" TargetMode="External"/><Relationship Id="rId91" Type="http://schemas.openxmlformats.org/officeDocument/2006/relationships/hyperlink" Target="https://goo.gl/maps/GbSAkfStxskZKaVw8" TargetMode="External"/><Relationship Id="rId90" Type="http://schemas.openxmlformats.org/officeDocument/2006/relationships/hyperlink" Target="https://drive.google.com/file/d/1XOcEW5r78G3YzJMV-YtKse1-ZBAyLiV3/view?usp=sharing" TargetMode="External"/><Relationship Id="rId93" Type="http://schemas.openxmlformats.org/officeDocument/2006/relationships/hyperlink" Target="https://www.google.com/maps/place/24%C2%B034'54.4%22N+46%C2%B032'49.0%22E/@24.5817856,46.5453523,17z/data=!4m5!3m4!1s0x0:0x7068182d6d423fca!8m2!3d24.581777!4d46.546934" TargetMode="External"/><Relationship Id="rId92" Type="http://schemas.openxmlformats.org/officeDocument/2006/relationships/hyperlink" Target="https://docs.google.com/spreadsheets/d/1y_zZ2QCmAfPuq6SQVjsnZTTFriPu9EoPQ_GRuwxOAf0/edit?usp=sharing" TargetMode="External"/><Relationship Id="rId118" Type="http://schemas.openxmlformats.org/officeDocument/2006/relationships/hyperlink" Target="https://www.google.com/maps/place/24%C2%B049'42.3%22N+46%C2%B040'55.6%22E/@24.8283561,46.6817276,21z/data=!4m14!1m7!3m6!1s0x0:0xc429d13ccb82c771!2zMjTCsDQ5JzQyLjIiTiA0NsKwNDAnNTUuNyJF!3b1!8m2!3d24.828384!4d46.682136!3m5!1s0x0:0x18199c6cf2c571dd!7e2!8m2!3d24.8284042!4d46.682099" TargetMode="External"/><Relationship Id="rId239" Type="http://schemas.openxmlformats.org/officeDocument/2006/relationships/hyperlink" Target="https://docs.google.com/spreadsheets/d/1v_rimgYZVOhMGAC8PGa1CA2fQ8saIj0GV1UfLR4QqMc/edit?gid=1577199110" TargetMode="External"/><Relationship Id="rId117" Type="http://schemas.openxmlformats.org/officeDocument/2006/relationships/hyperlink" Target="https://docs.google.com/spreadsheets/d/1aKppwuaaPdpUuaowuuXawMDb7rYeeD8KB6k-e7lBeFQ/edit" TargetMode="External"/><Relationship Id="rId238" Type="http://schemas.openxmlformats.org/officeDocument/2006/relationships/hyperlink" Target="https://maps.app.goo.gl/w7QWP7YUuvDfznoHA?g_st=com.google.maps.preview.copy" TargetMode="External"/><Relationship Id="rId116" Type="http://schemas.openxmlformats.org/officeDocument/2006/relationships/hyperlink" Target="https://goo.gl/maps/mujFyM3gLjLA5Wna9" TargetMode="External"/><Relationship Id="rId237" Type="http://schemas.openxmlformats.org/officeDocument/2006/relationships/hyperlink" Target="https://drive.google.com/file/d/1W8XU2VDcD3yvdxQbOGTJLGYtCi4tiucm/view?usp=sharing" TargetMode="External"/><Relationship Id="rId115" Type="http://schemas.openxmlformats.org/officeDocument/2006/relationships/hyperlink" Target="https://drive.google.com/file/d/1qVb3begQz6tjo9MvDRl4NdV8liypoJ2X/view?usp=drive_link" TargetMode="External"/><Relationship Id="rId236" Type="http://schemas.openxmlformats.org/officeDocument/2006/relationships/hyperlink" Target="https://maps.app.goo.gl/w7QWP7YUuvDfznoHA?g_st=com.google.maps.preview.copy" TargetMode="External"/><Relationship Id="rId119" Type="http://schemas.openxmlformats.org/officeDocument/2006/relationships/hyperlink" Target="https://drive.google.com/file/d/1OfMT5G_M8WzAPHeq6TKOl885ct5WsPLZ/view?usp=sharing" TargetMode="External"/><Relationship Id="rId110" Type="http://schemas.openxmlformats.org/officeDocument/2006/relationships/hyperlink" Target="https://drive.google.com/file/d/16dFmxzU9C9YVbAhrhCGbelxF0o2e-srT/view?usp=sharing" TargetMode="External"/><Relationship Id="rId231" Type="http://schemas.openxmlformats.org/officeDocument/2006/relationships/hyperlink" Target="https://docs.google.com/spreadsheets/d/17hGj9FTcmrW4mqb_x6RXm4PouhrHjcI6SCPcLenBD2A/edit?usp=sharing" TargetMode="External"/><Relationship Id="rId230" Type="http://schemas.openxmlformats.org/officeDocument/2006/relationships/hyperlink" Target="https://maps.app.goo.gl/4kZC8MktuHQRbtgg8" TargetMode="External"/><Relationship Id="rId114" Type="http://schemas.openxmlformats.org/officeDocument/2006/relationships/hyperlink" Target="https://drive.google.com/file/d/12v6I9bLGP15lRifwamTArf_uceyuBWSC/view?usp=share_link" TargetMode="External"/><Relationship Id="rId235" Type="http://schemas.openxmlformats.org/officeDocument/2006/relationships/hyperlink" Target="https://docs.google.com/spreadsheets/d/1XQKUIfTVzkP_waGWUP8OKzBbOXEk0h4kri6ngMyA2iI/edit?usp=sharing" TargetMode="External"/><Relationship Id="rId113" Type="http://schemas.openxmlformats.org/officeDocument/2006/relationships/hyperlink" Target="https://goo.gl/maps/BVMojMNzxfDe5SiV7" TargetMode="External"/><Relationship Id="rId234" Type="http://schemas.openxmlformats.org/officeDocument/2006/relationships/hyperlink" Target="https://www.google.com/maps/place/24%C2%B046'48.6%22N+46%C2%B037'50.9%22E/@24.780177,46.630801,880m/data=!3m2!1e3!4b1!4m4!3m3!8m2!3d24.780177!4d46.630801!5m1!1e1?entry=ttu&amp;g_ep=EgoyMDI1MTAyOS4yIKXMDSoASAFQAw%3D%3D" TargetMode="External"/><Relationship Id="rId112" Type="http://schemas.openxmlformats.org/officeDocument/2006/relationships/hyperlink" Target="https://docs.google.com/spreadsheets/d/19ie6KnIVGSzXezsfVM2PhMgtz30tdbkBK5KYPXoHNIw/edit" TargetMode="External"/><Relationship Id="rId233" Type="http://schemas.openxmlformats.org/officeDocument/2006/relationships/hyperlink" Target="https://drive.google.com/file/d/1LqGTRse0Ib0tTmC5k7BYGjItkQPOb0yX/view?usp=sharing" TargetMode="External"/><Relationship Id="rId111" Type="http://schemas.openxmlformats.org/officeDocument/2006/relationships/hyperlink" Target="https://goo.gl/maps/aoeMSTiJVJCczhCe8" TargetMode="External"/><Relationship Id="rId232" Type="http://schemas.openxmlformats.org/officeDocument/2006/relationships/hyperlink" Target="https://maps.app.goo.gl/VCDCGnEsENcxvFsNA" TargetMode="External"/><Relationship Id="rId206" Type="http://schemas.openxmlformats.org/officeDocument/2006/relationships/hyperlink" Target="https://maps.app.goo.gl/ScN88aDWCkoquGng6" TargetMode="External"/><Relationship Id="rId205" Type="http://schemas.openxmlformats.org/officeDocument/2006/relationships/hyperlink" Target="https://docs.google.com/spreadsheets/d/1zz4lkKTMJCcLvIKz2x35b7KeysEkee2F8ZdcwBZTmIU/edit?usp=sharing" TargetMode="External"/><Relationship Id="rId204" Type="http://schemas.openxmlformats.org/officeDocument/2006/relationships/hyperlink" Target="https://maps.app.goo.gl/9ZX2jewKLWTg59hS7" TargetMode="External"/><Relationship Id="rId203" Type="http://schemas.openxmlformats.org/officeDocument/2006/relationships/hyperlink" Target="https://drive.google.com/file/d/1nYqd-VpEkADJ5ZQ7xyElmM12HG_m6fwe/view?usp=sharing" TargetMode="External"/><Relationship Id="rId209" Type="http://schemas.openxmlformats.org/officeDocument/2006/relationships/hyperlink" Target="https://maps.app.goo.gl/iLNxyi82wGdek82J6" TargetMode="External"/><Relationship Id="rId208" Type="http://schemas.openxmlformats.org/officeDocument/2006/relationships/hyperlink" Target="https://maps.app.goo.gl/ymgVBUV6fXp5yvQCA" TargetMode="External"/><Relationship Id="rId207" Type="http://schemas.openxmlformats.org/officeDocument/2006/relationships/hyperlink" Target="https://drive.google.com/file/d/13bfBqQG4H_agP_NZtvlF36otQBQ3GfH8/view?usp=sharing" TargetMode="External"/><Relationship Id="rId202" Type="http://schemas.openxmlformats.org/officeDocument/2006/relationships/hyperlink" Target="https://maps.app.goo.gl/9ZX2jewKLWTg59hS7" TargetMode="External"/><Relationship Id="rId201" Type="http://schemas.openxmlformats.org/officeDocument/2006/relationships/hyperlink" Target="https://docs.google.com/spreadsheets/d/19ieYMPZKuEdwaXQTnBcEm_qGzW91lvw3J3vT5tyYceg/edit?usp=sharing" TargetMode="External"/><Relationship Id="rId200" Type="http://schemas.openxmlformats.org/officeDocument/2006/relationships/hyperlink" Target="https://www.google.com/maps/place/24%C2%B040'59.7%22N+46%C2%B049'13.2%22E/@24.683237,46.820328,843m/data=!3m2!1e3!4b1!4m4!3m3!8m2!3d24.683237!4d46.820328?entry=ttu&amp;g_ep=EgoyMDI1MDcxNi4wIKXMDSoASAFQAw%3D%3D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7.xm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9.xm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0.xm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1.xm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3.xm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4.xm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5.xm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6.xm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7.xm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8.xm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9.xml"/><Relationship Id="rId2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0.xml"/><Relationship Id="rId2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1.xml"/><Relationship Id="rId2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2.xml"/><Relationship Id="rId2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3.xml"/><Relationship Id="rId2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pivotTable" Target="../pivotTables/pivotTable34.xml"/><Relationship Id="rId5" Type="http://schemas.openxmlformats.org/officeDocument/2006/relationships/drawing" Target="../drawings/drawing49.xml"/><Relationship Id="rId6" Type="http://schemas.openxmlformats.org/officeDocument/2006/relationships/vmlDrawing" Target="../drawings/vmlDrawing10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5.xml"/><Relationship Id="rId2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6.xml"/><Relationship Id="rId2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7.xml"/><Relationship Id="rId2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8.xml"/><Relationship Id="rId2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9.xml"/><Relationship Id="rId2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0.xml"/><Relationship Id="rId2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1.xml"/><Relationship Id="rId2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2.xml"/><Relationship Id="rId2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3.xml"/><Relationship Id="rId2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pivotTable" Target="../pivotTables/pivotTable44.xml"/><Relationship Id="rId5" Type="http://schemas.openxmlformats.org/officeDocument/2006/relationships/drawing" Target="../drawings/drawing59.xml"/><Relationship Id="rId6" Type="http://schemas.openxmlformats.org/officeDocument/2006/relationships/vmlDrawing" Target="../drawings/vmlDrawing11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pivotTable" Target="../pivotTables/pivotTable45.xml"/><Relationship Id="rId5" Type="http://schemas.openxmlformats.org/officeDocument/2006/relationships/drawing" Target="../drawings/drawing60.xml"/><Relationship Id="rId6" Type="http://schemas.openxmlformats.org/officeDocument/2006/relationships/vmlDrawing" Target="../drawings/vmlDrawing12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6.xml"/><Relationship Id="rId2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7.xml"/><Relationship Id="rId2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8.xml"/><Relationship Id="rId2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9.xml"/><Relationship Id="rId2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0.xml"/><Relationship Id="rId2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1.xml"/><Relationship Id="rId2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2.xml"/><Relationship Id="rId2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3.xml"/><Relationship Id="rId2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46062.33148086806</v>
      </c>
      <c r="B2" s="3" t="s">
        <v>5</v>
      </c>
      <c r="C2" s="4" t="s">
        <v>6</v>
      </c>
      <c r="D2" s="5" t="s">
        <v>7</v>
      </c>
      <c r="E2" s="3" t="s">
        <v>8</v>
      </c>
    </row>
    <row r="3">
      <c r="A3" s="2">
        <v>46062.33148086806</v>
      </c>
      <c r="B3" s="3" t="s">
        <v>9</v>
      </c>
      <c r="C3" s="4" t="s">
        <v>10</v>
      </c>
      <c r="D3" s="5" t="s">
        <v>7</v>
      </c>
      <c r="E3" s="3" t="s">
        <v>8</v>
      </c>
    </row>
    <row r="4">
      <c r="A4" s="2">
        <v>46062.33148086806</v>
      </c>
      <c r="B4" s="3" t="s">
        <v>11</v>
      </c>
      <c r="C4" s="4" t="s">
        <v>12</v>
      </c>
      <c r="D4" s="5" t="s">
        <v>7</v>
      </c>
      <c r="E4" s="3" t="s">
        <v>8</v>
      </c>
    </row>
    <row r="5">
      <c r="A5" s="2">
        <v>46062.33148086806</v>
      </c>
      <c r="B5" s="3" t="s">
        <v>13</v>
      </c>
      <c r="C5" s="4" t="s">
        <v>14</v>
      </c>
      <c r="D5" s="5" t="s">
        <v>7</v>
      </c>
      <c r="E5" s="3" t="s">
        <v>8</v>
      </c>
    </row>
    <row r="6">
      <c r="A6" s="2">
        <v>46062.33148086806</v>
      </c>
      <c r="B6" s="3" t="s">
        <v>15</v>
      </c>
      <c r="C6" s="4" t="s">
        <v>16</v>
      </c>
      <c r="D6" s="5" t="s">
        <v>7</v>
      </c>
      <c r="E6" s="3" t="s">
        <v>8</v>
      </c>
    </row>
    <row r="7">
      <c r="A7" s="2">
        <v>46062.33148086806</v>
      </c>
      <c r="B7" s="3" t="s">
        <v>17</v>
      </c>
      <c r="C7" s="4" t="s">
        <v>12</v>
      </c>
      <c r="D7" s="5" t="s">
        <v>7</v>
      </c>
      <c r="E7" s="3" t="s">
        <v>8</v>
      </c>
    </row>
    <row r="8">
      <c r="A8" s="2">
        <v>46062.16481731481</v>
      </c>
      <c r="B8" s="3" t="s">
        <v>5</v>
      </c>
      <c r="C8" s="4" t="s">
        <v>6</v>
      </c>
      <c r="D8" s="5" t="s">
        <v>7</v>
      </c>
      <c r="E8" s="3" t="s">
        <v>8</v>
      </c>
    </row>
    <row r="9">
      <c r="A9" s="2">
        <v>46062.16481731481</v>
      </c>
      <c r="B9" s="3" t="s">
        <v>9</v>
      </c>
      <c r="C9" s="4" t="s">
        <v>10</v>
      </c>
      <c r="D9" s="5" t="s">
        <v>7</v>
      </c>
      <c r="E9" s="3" t="s">
        <v>8</v>
      </c>
    </row>
    <row r="10">
      <c r="A10" s="2">
        <v>46062.16481731481</v>
      </c>
      <c r="B10" s="3" t="s">
        <v>11</v>
      </c>
      <c r="C10" s="4" t="s">
        <v>12</v>
      </c>
      <c r="D10" s="5" t="s">
        <v>7</v>
      </c>
      <c r="E10" s="3" t="s">
        <v>8</v>
      </c>
    </row>
    <row r="11">
      <c r="A11" s="2">
        <v>46062.16481731481</v>
      </c>
      <c r="B11" s="3" t="s">
        <v>13</v>
      </c>
      <c r="C11" s="4" t="s">
        <v>14</v>
      </c>
      <c r="D11" s="5" t="s">
        <v>7</v>
      </c>
      <c r="E11" s="3" t="s">
        <v>8</v>
      </c>
    </row>
    <row r="12">
      <c r="A12" s="2">
        <v>46062.16481731481</v>
      </c>
      <c r="B12" s="3" t="s">
        <v>15</v>
      </c>
      <c r="C12" s="4" t="s">
        <v>16</v>
      </c>
      <c r="D12" s="5" t="s">
        <v>7</v>
      </c>
      <c r="E12" s="3" t="s">
        <v>8</v>
      </c>
    </row>
    <row r="13">
      <c r="A13" s="2">
        <v>46062.16481731481</v>
      </c>
      <c r="B13" s="3" t="s">
        <v>17</v>
      </c>
      <c r="C13" s="4" t="s">
        <v>12</v>
      </c>
      <c r="D13" s="5" t="s">
        <v>7</v>
      </c>
      <c r="E13" s="3" t="s">
        <v>8</v>
      </c>
    </row>
    <row r="14">
      <c r="A14" s="2">
        <v>46061.99815277778</v>
      </c>
      <c r="B14" s="3" t="s">
        <v>5</v>
      </c>
      <c r="C14" s="4" t="s">
        <v>6</v>
      </c>
      <c r="D14" s="5" t="s">
        <v>7</v>
      </c>
      <c r="E14" s="3" t="s">
        <v>8</v>
      </c>
    </row>
    <row r="15">
      <c r="A15" s="2">
        <v>46061.99815277778</v>
      </c>
      <c r="B15" s="3" t="s">
        <v>9</v>
      </c>
      <c r="C15" s="4" t="s">
        <v>10</v>
      </c>
      <c r="D15" s="5" t="s">
        <v>7</v>
      </c>
      <c r="E15" s="3" t="s">
        <v>8</v>
      </c>
    </row>
    <row r="16">
      <c r="A16" s="2">
        <v>46061.99815277778</v>
      </c>
      <c r="B16" s="3" t="s">
        <v>11</v>
      </c>
      <c r="C16" s="4" t="s">
        <v>12</v>
      </c>
      <c r="D16" s="5" t="s">
        <v>7</v>
      </c>
      <c r="E16" s="3" t="s">
        <v>8</v>
      </c>
    </row>
    <row r="17">
      <c r="A17" s="2">
        <v>46061.99815277778</v>
      </c>
      <c r="B17" s="3" t="s">
        <v>13</v>
      </c>
      <c r="C17" s="4" t="s">
        <v>14</v>
      </c>
      <c r="D17" s="5" t="s">
        <v>7</v>
      </c>
      <c r="E17" s="3" t="s">
        <v>8</v>
      </c>
    </row>
    <row r="18">
      <c r="A18" s="2">
        <v>46061.99815277778</v>
      </c>
      <c r="B18" s="3" t="s">
        <v>15</v>
      </c>
      <c r="C18" s="4" t="s">
        <v>16</v>
      </c>
      <c r="D18" s="5" t="s">
        <v>7</v>
      </c>
      <c r="E18" s="3" t="s">
        <v>8</v>
      </c>
    </row>
    <row r="19">
      <c r="A19" s="2">
        <v>46061.99815277778</v>
      </c>
      <c r="B19" s="3" t="s">
        <v>17</v>
      </c>
      <c r="C19" s="4" t="s">
        <v>12</v>
      </c>
      <c r="D19" s="5" t="s">
        <v>7</v>
      </c>
      <c r="E19" s="3" t="s">
        <v>8</v>
      </c>
    </row>
    <row r="20">
      <c r="A20" s="2">
        <v>46061.83148329861</v>
      </c>
      <c r="B20" s="3" t="s">
        <v>5</v>
      </c>
      <c r="C20" s="4" t="s">
        <v>6</v>
      </c>
      <c r="D20" s="5" t="s">
        <v>7</v>
      </c>
      <c r="E20" s="3" t="s">
        <v>8</v>
      </c>
    </row>
    <row r="21">
      <c r="A21" s="2">
        <v>46061.83148329861</v>
      </c>
      <c r="B21" s="3" t="s">
        <v>9</v>
      </c>
      <c r="C21" s="4" t="s">
        <v>10</v>
      </c>
      <c r="D21" s="5" t="s">
        <v>7</v>
      </c>
      <c r="E21" s="3" t="s">
        <v>8</v>
      </c>
    </row>
    <row r="22">
      <c r="A22" s="2">
        <v>46061.83148329861</v>
      </c>
      <c r="B22" s="3" t="s">
        <v>11</v>
      </c>
      <c r="C22" s="4" t="s">
        <v>12</v>
      </c>
      <c r="D22" s="5" t="s">
        <v>7</v>
      </c>
      <c r="E22" s="3" t="s">
        <v>8</v>
      </c>
    </row>
    <row r="23">
      <c r="A23" s="2">
        <v>46061.83148329861</v>
      </c>
      <c r="B23" s="3" t="s">
        <v>13</v>
      </c>
      <c r="C23" s="4" t="s">
        <v>14</v>
      </c>
      <c r="D23" s="5" t="s">
        <v>7</v>
      </c>
      <c r="E23" s="3" t="s">
        <v>8</v>
      </c>
    </row>
    <row r="24">
      <c r="A24" s="2">
        <v>46061.83148329861</v>
      </c>
      <c r="B24" s="3" t="s">
        <v>15</v>
      </c>
      <c r="C24" s="4" t="s">
        <v>16</v>
      </c>
      <c r="D24" s="5" t="s">
        <v>7</v>
      </c>
      <c r="E24" s="3" t="s">
        <v>8</v>
      </c>
    </row>
    <row r="25">
      <c r="A25" s="2">
        <v>46061.83148329861</v>
      </c>
      <c r="B25" s="3" t="s">
        <v>17</v>
      </c>
      <c r="C25" s="4" t="s">
        <v>12</v>
      </c>
      <c r="D25" s="5" t="s">
        <v>7</v>
      </c>
      <c r="E25" s="3" t="s">
        <v>8</v>
      </c>
    </row>
    <row r="26">
      <c r="A26" s="2">
        <v>46061.66483204861</v>
      </c>
      <c r="B26" s="3" t="s">
        <v>5</v>
      </c>
      <c r="C26" s="4" t="s">
        <v>6</v>
      </c>
      <c r="D26" s="5" t="s">
        <v>7</v>
      </c>
      <c r="E26" s="3" t="s">
        <v>8</v>
      </c>
    </row>
    <row r="27">
      <c r="A27" s="2">
        <v>46061.66483204861</v>
      </c>
      <c r="B27" s="3" t="s">
        <v>9</v>
      </c>
      <c r="C27" s="4" t="s">
        <v>10</v>
      </c>
      <c r="D27" s="5" t="s">
        <v>7</v>
      </c>
      <c r="E27" s="3" t="s">
        <v>8</v>
      </c>
    </row>
    <row r="28">
      <c r="A28" s="2">
        <v>46061.66483204861</v>
      </c>
      <c r="B28" s="3" t="s">
        <v>11</v>
      </c>
      <c r="C28" s="4" t="s">
        <v>12</v>
      </c>
      <c r="D28" s="5" t="s">
        <v>7</v>
      </c>
      <c r="E28" s="3" t="s">
        <v>8</v>
      </c>
    </row>
    <row r="29">
      <c r="A29" s="2">
        <v>46061.66483204861</v>
      </c>
      <c r="B29" s="3" t="s">
        <v>13</v>
      </c>
      <c r="C29" s="4" t="s">
        <v>14</v>
      </c>
      <c r="D29" s="5" t="s">
        <v>7</v>
      </c>
      <c r="E29" s="3" t="s">
        <v>8</v>
      </c>
    </row>
    <row r="30">
      <c r="A30" s="2">
        <v>46061.66483204861</v>
      </c>
      <c r="B30" s="3" t="s">
        <v>15</v>
      </c>
      <c r="C30" s="4" t="s">
        <v>16</v>
      </c>
      <c r="D30" s="5" t="s">
        <v>7</v>
      </c>
      <c r="E30" s="3" t="s">
        <v>8</v>
      </c>
    </row>
    <row r="31">
      <c r="A31" s="2">
        <v>46061.66483204861</v>
      </c>
      <c r="B31" s="3" t="s">
        <v>17</v>
      </c>
      <c r="C31" s="4" t="s">
        <v>12</v>
      </c>
      <c r="D31" s="5" t="s">
        <v>7</v>
      </c>
      <c r="E31" s="3" t="s">
        <v>8</v>
      </c>
    </row>
    <row r="32">
      <c r="A32" s="2">
        <v>46061.49816457176</v>
      </c>
      <c r="B32" s="3" t="s">
        <v>5</v>
      </c>
      <c r="C32" s="4" t="s">
        <v>6</v>
      </c>
      <c r="D32" s="5" t="s">
        <v>7</v>
      </c>
      <c r="E32" s="3" t="s">
        <v>8</v>
      </c>
    </row>
    <row r="33">
      <c r="A33" s="2">
        <v>46061.49816457176</v>
      </c>
      <c r="B33" s="3" t="s">
        <v>9</v>
      </c>
      <c r="C33" s="4" t="s">
        <v>10</v>
      </c>
      <c r="D33" s="5" t="s">
        <v>7</v>
      </c>
      <c r="E33" s="3" t="s">
        <v>8</v>
      </c>
    </row>
    <row r="34">
      <c r="A34" s="2">
        <v>46061.49816457176</v>
      </c>
      <c r="B34" s="3" t="s">
        <v>11</v>
      </c>
      <c r="C34" s="4" t="s">
        <v>12</v>
      </c>
      <c r="D34" s="5" t="s">
        <v>7</v>
      </c>
      <c r="E34" s="3" t="s">
        <v>8</v>
      </c>
    </row>
    <row r="35">
      <c r="A35" s="2">
        <v>46061.49816457176</v>
      </c>
      <c r="B35" s="3" t="s">
        <v>13</v>
      </c>
      <c r="C35" s="4" t="s">
        <v>14</v>
      </c>
      <c r="D35" s="5" t="s">
        <v>7</v>
      </c>
      <c r="E35" s="3" t="s">
        <v>8</v>
      </c>
    </row>
    <row r="36">
      <c r="A36" s="2">
        <v>46061.49816457176</v>
      </c>
      <c r="B36" s="3" t="s">
        <v>15</v>
      </c>
      <c r="C36" s="4" t="s">
        <v>16</v>
      </c>
      <c r="D36" s="5" t="s">
        <v>7</v>
      </c>
      <c r="E36" s="3" t="s">
        <v>8</v>
      </c>
    </row>
    <row r="37">
      <c r="A37" s="2">
        <v>46061.49816457176</v>
      </c>
      <c r="B37" s="3" t="s">
        <v>17</v>
      </c>
      <c r="C37" s="4" t="s">
        <v>12</v>
      </c>
      <c r="D37" s="5" t="s">
        <v>7</v>
      </c>
      <c r="E37" s="3" t="s">
        <v>8</v>
      </c>
    </row>
    <row r="38">
      <c r="A38" s="2">
        <v>46061.33148881944</v>
      </c>
      <c r="B38" s="3" t="s">
        <v>5</v>
      </c>
      <c r="C38" s="4" t="s">
        <v>6</v>
      </c>
      <c r="D38" s="5" t="s">
        <v>7</v>
      </c>
      <c r="E38" s="3" t="s">
        <v>8</v>
      </c>
    </row>
    <row r="39">
      <c r="A39" s="2">
        <v>46061.33148881944</v>
      </c>
      <c r="B39" s="3" t="s">
        <v>9</v>
      </c>
      <c r="C39" s="4" t="s">
        <v>10</v>
      </c>
      <c r="D39" s="5" t="s">
        <v>7</v>
      </c>
      <c r="E39" s="3" t="s">
        <v>8</v>
      </c>
    </row>
    <row r="40">
      <c r="A40" s="2">
        <v>46061.33148881944</v>
      </c>
      <c r="B40" s="3" t="s">
        <v>11</v>
      </c>
      <c r="C40" s="4" t="s">
        <v>12</v>
      </c>
      <c r="D40" s="5" t="s">
        <v>7</v>
      </c>
      <c r="E40" s="3" t="s">
        <v>8</v>
      </c>
    </row>
    <row r="41">
      <c r="A41" s="2">
        <v>46061.33148881944</v>
      </c>
      <c r="B41" s="3" t="s">
        <v>13</v>
      </c>
      <c r="C41" s="4" t="s">
        <v>14</v>
      </c>
      <c r="D41" s="5" t="s">
        <v>7</v>
      </c>
      <c r="E41" s="3" t="s">
        <v>8</v>
      </c>
    </row>
    <row r="42">
      <c r="A42" s="2">
        <v>46061.33148881944</v>
      </c>
      <c r="B42" s="3" t="s">
        <v>15</v>
      </c>
      <c r="C42" s="4" t="s">
        <v>16</v>
      </c>
      <c r="D42" s="5" t="s">
        <v>7</v>
      </c>
      <c r="E42" s="3" t="s">
        <v>8</v>
      </c>
    </row>
    <row r="43">
      <c r="A43" s="2">
        <v>46061.33148881944</v>
      </c>
      <c r="B43" s="3" t="s">
        <v>17</v>
      </c>
      <c r="C43" s="4" t="s">
        <v>12</v>
      </c>
      <c r="D43" s="5" t="s">
        <v>7</v>
      </c>
      <c r="E43" s="3" t="s">
        <v>8</v>
      </c>
    </row>
    <row r="44">
      <c r="A44" s="2">
        <v>46061.16481756944</v>
      </c>
      <c r="B44" s="3" t="s">
        <v>5</v>
      </c>
      <c r="C44" s="4" t="s">
        <v>6</v>
      </c>
      <c r="D44" s="5" t="s">
        <v>7</v>
      </c>
      <c r="E44" s="3" t="s">
        <v>8</v>
      </c>
    </row>
    <row r="45">
      <c r="A45" s="2">
        <v>46061.16481756944</v>
      </c>
      <c r="B45" s="3" t="s">
        <v>9</v>
      </c>
      <c r="C45" s="4" t="s">
        <v>10</v>
      </c>
      <c r="D45" s="5" t="s">
        <v>7</v>
      </c>
      <c r="E45" s="3" t="s">
        <v>8</v>
      </c>
    </row>
    <row r="46">
      <c r="A46" s="2">
        <v>46061.16481756944</v>
      </c>
      <c r="B46" s="3" t="s">
        <v>11</v>
      </c>
      <c r="C46" s="4" t="s">
        <v>12</v>
      </c>
      <c r="D46" s="5" t="s">
        <v>7</v>
      </c>
      <c r="E46" s="3" t="s">
        <v>8</v>
      </c>
    </row>
    <row r="47">
      <c r="A47" s="2">
        <v>46061.16481756944</v>
      </c>
      <c r="B47" s="3" t="s">
        <v>13</v>
      </c>
      <c r="C47" s="4" t="s">
        <v>14</v>
      </c>
      <c r="D47" s="5" t="s">
        <v>7</v>
      </c>
      <c r="E47" s="3" t="s">
        <v>8</v>
      </c>
    </row>
    <row r="48">
      <c r="A48" s="2">
        <v>46061.16481756944</v>
      </c>
      <c r="B48" s="3" t="s">
        <v>15</v>
      </c>
      <c r="C48" s="4" t="s">
        <v>16</v>
      </c>
      <c r="D48" s="5" t="s">
        <v>7</v>
      </c>
      <c r="E48" s="3" t="s">
        <v>8</v>
      </c>
    </row>
    <row r="49">
      <c r="A49" s="2">
        <v>46061.16481756944</v>
      </c>
      <c r="B49" s="3" t="s">
        <v>17</v>
      </c>
      <c r="C49" s="4" t="s">
        <v>12</v>
      </c>
      <c r="D49" s="5" t="s">
        <v>7</v>
      </c>
      <c r="E49" s="3" t="s">
        <v>8</v>
      </c>
    </row>
    <row r="50">
      <c r="A50" s="2">
        <v>46060.99815534722</v>
      </c>
      <c r="B50" s="3" t="s">
        <v>5</v>
      </c>
      <c r="C50" s="4" t="s">
        <v>6</v>
      </c>
      <c r="D50" s="5" t="s">
        <v>7</v>
      </c>
      <c r="E50" s="3" t="s">
        <v>8</v>
      </c>
    </row>
    <row r="51">
      <c r="A51" s="2">
        <v>46060.99815534722</v>
      </c>
      <c r="B51" s="3" t="s">
        <v>9</v>
      </c>
      <c r="C51" s="4" t="s">
        <v>10</v>
      </c>
      <c r="D51" s="5" t="s">
        <v>7</v>
      </c>
      <c r="E51" s="3" t="s">
        <v>8</v>
      </c>
    </row>
    <row r="52">
      <c r="A52" s="2">
        <v>46060.99815534722</v>
      </c>
      <c r="B52" s="3" t="s">
        <v>11</v>
      </c>
      <c r="C52" s="4" t="s">
        <v>12</v>
      </c>
      <c r="D52" s="5" t="s">
        <v>7</v>
      </c>
      <c r="E52" s="3" t="s">
        <v>8</v>
      </c>
    </row>
    <row r="53">
      <c r="A53" s="2">
        <v>46060.99815534722</v>
      </c>
      <c r="B53" s="3" t="s">
        <v>13</v>
      </c>
      <c r="C53" s="4" t="s">
        <v>14</v>
      </c>
      <c r="D53" s="5" t="s">
        <v>7</v>
      </c>
      <c r="E53" s="3" t="s">
        <v>8</v>
      </c>
    </row>
    <row r="54">
      <c r="A54" s="2">
        <v>46060.99815534722</v>
      </c>
      <c r="B54" s="3" t="s">
        <v>15</v>
      </c>
      <c r="C54" s="4" t="s">
        <v>16</v>
      </c>
      <c r="D54" s="5" t="s">
        <v>7</v>
      </c>
      <c r="E54" s="3" t="s">
        <v>8</v>
      </c>
    </row>
    <row r="55">
      <c r="A55" s="2">
        <v>46060.99815534722</v>
      </c>
      <c r="B55" s="3" t="s">
        <v>17</v>
      </c>
      <c r="C55" s="4" t="s">
        <v>12</v>
      </c>
      <c r="D55" s="5" t="s">
        <v>7</v>
      </c>
      <c r="E55" s="3" t="s">
        <v>8</v>
      </c>
    </row>
    <row r="56">
      <c r="A56" s="2">
        <v>46060.831491006946</v>
      </c>
      <c r="B56" s="3" t="s">
        <v>5</v>
      </c>
      <c r="C56" s="4" t="s">
        <v>6</v>
      </c>
      <c r="D56" s="5" t="s">
        <v>7</v>
      </c>
      <c r="E56" s="3" t="s">
        <v>8</v>
      </c>
    </row>
    <row r="57">
      <c r="A57" s="2">
        <v>46060.831491006946</v>
      </c>
      <c r="B57" s="3" t="s">
        <v>9</v>
      </c>
      <c r="C57" s="4" t="s">
        <v>10</v>
      </c>
      <c r="D57" s="5" t="s">
        <v>7</v>
      </c>
      <c r="E57" s="3" t="s">
        <v>8</v>
      </c>
    </row>
    <row r="58">
      <c r="A58" s="2">
        <v>46060.831491006946</v>
      </c>
      <c r="B58" s="3" t="s">
        <v>11</v>
      </c>
      <c r="C58" s="4" t="s">
        <v>12</v>
      </c>
      <c r="D58" s="5" t="s">
        <v>7</v>
      </c>
      <c r="E58" s="3" t="s">
        <v>8</v>
      </c>
    </row>
    <row r="59">
      <c r="A59" s="2">
        <v>46060.831491006946</v>
      </c>
      <c r="B59" s="3" t="s">
        <v>13</v>
      </c>
      <c r="C59" s="4" t="s">
        <v>14</v>
      </c>
      <c r="D59" s="5" t="s">
        <v>7</v>
      </c>
      <c r="E59" s="3" t="s">
        <v>8</v>
      </c>
    </row>
    <row r="60">
      <c r="A60" s="2">
        <v>46060.831491006946</v>
      </c>
      <c r="B60" s="3" t="s">
        <v>15</v>
      </c>
      <c r="C60" s="4" t="s">
        <v>16</v>
      </c>
      <c r="D60" s="5" t="s">
        <v>7</v>
      </c>
      <c r="E60" s="3" t="s">
        <v>8</v>
      </c>
    </row>
    <row r="61">
      <c r="A61" s="2">
        <v>46060.831491006946</v>
      </c>
      <c r="B61" s="3" t="s">
        <v>17</v>
      </c>
      <c r="C61" s="4" t="s">
        <v>12</v>
      </c>
      <c r="D61" s="5" t="s">
        <v>7</v>
      </c>
      <c r="E61" s="3" t="s">
        <v>8</v>
      </c>
    </row>
    <row r="62">
      <c r="A62" s="2">
        <v>46060.664817638884</v>
      </c>
      <c r="B62" s="3" t="s">
        <v>5</v>
      </c>
      <c r="C62" s="4" t="s">
        <v>6</v>
      </c>
      <c r="D62" s="5" t="s">
        <v>7</v>
      </c>
      <c r="E62" s="3" t="s">
        <v>8</v>
      </c>
    </row>
    <row r="63">
      <c r="A63" s="2">
        <v>46060.664817638884</v>
      </c>
      <c r="B63" s="3" t="s">
        <v>9</v>
      </c>
      <c r="C63" s="4" t="s">
        <v>10</v>
      </c>
      <c r="D63" s="5" t="s">
        <v>7</v>
      </c>
      <c r="E63" s="3" t="s">
        <v>8</v>
      </c>
    </row>
    <row r="64">
      <c r="A64" s="2">
        <v>46060.664817638884</v>
      </c>
      <c r="B64" s="3" t="s">
        <v>11</v>
      </c>
      <c r="C64" s="4" t="s">
        <v>12</v>
      </c>
      <c r="D64" s="5" t="s">
        <v>7</v>
      </c>
      <c r="E64" s="3" t="s">
        <v>8</v>
      </c>
    </row>
    <row r="65">
      <c r="A65" s="2">
        <v>46060.664817638884</v>
      </c>
      <c r="B65" s="3" t="s">
        <v>13</v>
      </c>
      <c r="C65" s="4" t="s">
        <v>14</v>
      </c>
      <c r="D65" s="5" t="s">
        <v>7</v>
      </c>
      <c r="E65" s="3" t="s">
        <v>8</v>
      </c>
    </row>
    <row r="66">
      <c r="A66" s="2">
        <v>46060.664817638884</v>
      </c>
      <c r="B66" s="3" t="s">
        <v>15</v>
      </c>
      <c r="C66" s="4" t="s">
        <v>16</v>
      </c>
      <c r="D66" s="5" t="s">
        <v>7</v>
      </c>
      <c r="E66" s="3" t="s">
        <v>8</v>
      </c>
    </row>
    <row r="67">
      <c r="A67" s="2">
        <v>46060.664817638884</v>
      </c>
      <c r="B67" s="3" t="s">
        <v>17</v>
      </c>
      <c r="C67" s="4" t="s">
        <v>12</v>
      </c>
      <c r="D67" s="5" t="s">
        <v>7</v>
      </c>
      <c r="E67" s="3" t="s">
        <v>8</v>
      </c>
    </row>
    <row r="68">
      <c r="A68" s="2">
        <v>46060.49815223379</v>
      </c>
      <c r="B68" s="3" t="s">
        <v>5</v>
      </c>
      <c r="C68" s="4" t="s">
        <v>6</v>
      </c>
      <c r="D68" s="5" t="s">
        <v>7</v>
      </c>
      <c r="E68" s="3" t="s">
        <v>8</v>
      </c>
    </row>
    <row r="69">
      <c r="A69" s="2">
        <v>46060.49815223379</v>
      </c>
      <c r="B69" s="3" t="s">
        <v>9</v>
      </c>
      <c r="C69" s="4" t="s">
        <v>10</v>
      </c>
      <c r="D69" s="5" t="s">
        <v>7</v>
      </c>
      <c r="E69" s="3" t="s">
        <v>8</v>
      </c>
    </row>
    <row r="70">
      <c r="A70" s="2">
        <v>46060.49815223379</v>
      </c>
      <c r="B70" s="3" t="s">
        <v>11</v>
      </c>
      <c r="C70" s="4" t="s">
        <v>12</v>
      </c>
      <c r="D70" s="5" t="s">
        <v>7</v>
      </c>
      <c r="E70" s="3" t="s">
        <v>8</v>
      </c>
    </row>
    <row r="71">
      <c r="A71" s="2">
        <v>46060.49815223379</v>
      </c>
      <c r="B71" s="3" t="s">
        <v>13</v>
      </c>
      <c r="C71" s="4" t="s">
        <v>14</v>
      </c>
      <c r="D71" s="5" t="s">
        <v>7</v>
      </c>
      <c r="E71" s="3" t="s">
        <v>8</v>
      </c>
    </row>
    <row r="72">
      <c r="A72" s="2">
        <v>46060.49815223379</v>
      </c>
      <c r="B72" s="3" t="s">
        <v>15</v>
      </c>
      <c r="C72" s="4" t="s">
        <v>16</v>
      </c>
      <c r="D72" s="5" t="s">
        <v>7</v>
      </c>
      <c r="E72" s="3" t="s">
        <v>8</v>
      </c>
    </row>
    <row r="73">
      <c r="A73" s="2">
        <v>46060.49815223379</v>
      </c>
      <c r="B73" s="3" t="s">
        <v>17</v>
      </c>
      <c r="C73" s="4" t="s">
        <v>12</v>
      </c>
      <c r="D73" s="5" t="s">
        <v>7</v>
      </c>
      <c r="E73" s="3" t="s">
        <v>8</v>
      </c>
    </row>
    <row r="74">
      <c r="A74" s="2">
        <v>46060.33148479166</v>
      </c>
      <c r="B74" s="3" t="s">
        <v>5</v>
      </c>
      <c r="C74" s="4" t="s">
        <v>6</v>
      </c>
      <c r="D74" s="5" t="s">
        <v>7</v>
      </c>
      <c r="E74" s="3" t="s">
        <v>8</v>
      </c>
    </row>
    <row r="75">
      <c r="A75" s="2">
        <v>46060.33148479166</v>
      </c>
      <c r="B75" s="3" t="s">
        <v>9</v>
      </c>
      <c r="C75" s="4" t="s">
        <v>10</v>
      </c>
      <c r="D75" s="5" t="s">
        <v>7</v>
      </c>
      <c r="E75" s="3" t="s">
        <v>8</v>
      </c>
    </row>
    <row r="76">
      <c r="A76" s="2">
        <v>46060.33148479166</v>
      </c>
      <c r="B76" s="3" t="s">
        <v>11</v>
      </c>
      <c r="C76" s="4" t="s">
        <v>12</v>
      </c>
      <c r="D76" s="5" t="s">
        <v>7</v>
      </c>
      <c r="E76" s="3" t="s">
        <v>8</v>
      </c>
    </row>
    <row r="77">
      <c r="A77" s="2">
        <v>46060.33148479166</v>
      </c>
      <c r="B77" s="3" t="s">
        <v>13</v>
      </c>
      <c r="C77" s="4" t="s">
        <v>14</v>
      </c>
      <c r="D77" s="5" t="s">
        <v>7</v>
      </c>
      <c r="E77" s="3" t="s">
        <v>8</v>
      </c>
    </row>
    <row r="78">
      <c r="A78" s="2">
        <v>46060.33148479166</v>
      </c>
      <c r="B78" s="3" t="s">
        <v>15</v>
      </c>
      <c r="C78" s="4" t="s">
        <v>16</v>
      </c>
      <c r="D78" s="5" t="s">
        <v>7</v>
      </c>
      <c r="E78" s="3" t="s">
        <v>8</v>
      </c>
    </row>
    <row r="79">
      <c r="A79" s="2">
        <v>46060.33148479166</v>
      </c>
      <c r="B79" s="3" t="s">
        <v>17</v>
      </c>
      <c r="C79" s="4" t="s">
        <v>12</v>
      </c>
      <c r="D79" s="5" t="s">
        <v>7</v>
      </c>
      <c r="E79" s="3" t="s">
        <v>8</v>
      </c>
    </row>
    <row r="80">
      <c r="A80" s="2">
        <v>46060.1648175463</v>
      </c>
      <c r="B80" s="3" t="s">
        <v>5</v>
      </c>
      <c r="C80" s="4" t="s">
        <v>6</v>
      </c>
      <c r="D80" s="5" t="s">
        <v>7</v>
      </c>
      <c r="E80" s="3" t="s">
        <v>8</v>
      </c>
    </row>
    <row r="81">
      <c r="A81" s="2">
        <v>46060.1648175463</v>
      </c>
      <c r="B81" s="3" t="s">
        <v>9</v>
      </c>
      <c r="C81" s="4" t="s">
        <v>10</v>
      </c>
      <c r="D81" s="5" t="s">
        <v>7</v>
      </c>
      <c r="E81" s="3" t="s">
        <v>8</v>
      </c>
    </row>
    <row r="82">
      <c r="A82" s="2">
        <v>46060.1648175463</v>
      </c>
      <c r="B82" s="3" t="s">
        <v>11</v>
      </c>
      <c r="C82" s="4" t="s">
        <v>12</v>
      </c>
      <c r="D82" s="5" t="s">
        <v>7</v>
      </c>
      <c r="E82" s="3" t="s">
        <v>8</v>
      </c>
    </row>
    <row r="83">
      <c r="A83" s="2">
        <v>46060.1648175463</v>
      </c>
      <c r="B83" s="3" t="s">
        <v>13</v>
      </c>
      <c r="C83" s="4" t="s">
        <v>14</v>
      </c>
      <c r="D83" s="5" t="s">
        <v>7</v>
      </c>
      <c r="E83" s="3" t="s">
        <v>8</v>
      </c>
    </row>
    <row r="84">
      <c r="A84" s="2">
        <v>46060.1648175463</v>
      </c>
      <c r="B84" s="3" t="s">
        <v>15</v>
      </c>
      <c r="C84" s="4" t="s">
        <v>16</v>
      </c>
      <c r="D84" s="5" t="s">
        <v>7</v>
      </c>
      <c r="E84" s="3" t="s">
        <v>8</v>
      </c>
    </row>
    <row r="85">
      <c r="A85" s="2">
        <v>46060.1648175463</v>
      </c>
      <c r="B85" s="3" t="s">
        <v>17</v>
      </c>
      <c r="C85" s="4" t="s">
        <v>12</v>
      </c>
      <c r="D85" s="5" t="s">
        <v>7</v>
      </c>
      <c r="E85" s="3" t="s">
        <v>8</v>
      </c>
    </row>
    <row r="86">
      <c r="A86" s="2">
        <v>46059.99814826389</v>
      </c>
      <c r="B86" s="3" t="s">
        <v>5</v>
      </c>
      <c r="C86" s="4" t="s">
        <v>6</v>
      </c>
      <c r="D86" s="5" t="s">
        <v>7</v>
      </c>
      <c r="E86" s="3" t="s">
        <v>8</v>
      </c>
    </row>
    <row r="87">
      <c r="A87" s="2">
        <v>46059.99814826389</v>
      </c>
      <c r="B87" s="3" t="s">
        <v>9</v>
      </c>
      <c r="C87" s="4" t="s">
        <v>10</v>
      </c>
      <c r="D87" s="5" t="s">
        <v>7</v>
      </c>
      <c r="E87" s="3" t="s">
        <v>8</v>
      </c>
    </row>
    <row r="88">
      <c r="A88" s="2">
        <v>46059.99814826389</v>
      </c>
      <c r="B88" s="3" t="s">
        <v>11</v>
      </c>
      <c r="C88" s="4" t="s">
        <v>12</v>
      </c>
      <c r="D88" s="5" t="s">
        <v>7</v>
      </c>
      <c r="E88" s="3" t="s">
        <v>8</v>
      </c>
    </row>
    <row r="89">
      <c r="A89" s="2">
        <v>46059.99814826389</v>
      </c>
      <c r="B89" s="3" t="s">
        <v>13</v>
      </c>
      <c r="C89" s="4" t="s">
        <v>14</v>
      </c>
      <c r="D89" s="5" t="s">
        <v>7</v>
      </c>
      <c r="E89" s="3" t="s">
        <v>8</v>
      </c>
    </row>
    <row r="90">
      <c r="A90" s="2">
        <v>46059.99814826389</v>
      </c>
      <c r="B90" s="3" t="s">
        <v>15</v>
      </c>
      <c r="C90" s="4" t="s">
        <v>16</v>
      </c>
      <c r="D90" s="5" t="s">
        <v>7</v>
      </c>
      <c r="E90" s="3" t="s">
        <v>8</v>
      </c>
    </row>
    <row r="91">
      <c r="A91" s="2">
        <v>46059.99814826389</v>
      </c>
      <c r="B91" s="3" t="s">
        <v>17</v>
      </c>
      <c r="C91" s="4" t="s">
        <v>12</v>
      </c>
      <c r="D91" s="5" t="s">
        <v>7</v>
      </c>
      <c r="E91" s="3" t="s">
        <v>8</v>
      </c>
    </row>
    <row r="92">
      <c r="A92" s="2">
        <v>46059.83148699074</v>
      </c>
      <c r="B92" s="3" t="s">
        <v>5</v>
      </c>
      <c r="C92" s="4" t="s">
        <v>6</v>
      </c>
      <c r="D92" s="5" t="s">
        <v>7</v>
      </c>
      <c r="E92" s="3" t="s">
        <v>8</v>
      </c>
    </row>
    <row r="93">
      <c r="A93" s="2">
        <v>46059.83148699074</v>
      </c>
      <c r="B93" s="3" t="s">
        <v>9</v>
      </c>
      <c r="C93" s="4" t="s">
        <v>10</v>
      </c>
      <c r="D93" s="5" t="s">
        <v>7</v>
      </c>
      <c r="E93" s="3" t="s">
        <v>8</v>
      </c>
    </row>
    <row r="94">
      <c r="A94" s="2">
        <v>46059.83148699074</v>
      </c>
      <c r="B94" s="3" t="s">
        <v>11</v>
      </c>
      <c r="C94" s="4" t="s">
        <v>12</v>
      </c>
      <c r="D94" s="5" t="s">
        <v>7</v>
      </c>
      <c r="E94" s="3" t="s">
        <v>8</v>
      </c>
    </row>
    <row r="95">
      <c r="A95" s="2">
        <v>46059.83148699074</v>
      </c>
      <c r="B95" s="3" t="s">
        <v>13</v>
      </c>
      <c r="C95" s="4" t="s">
        <v>14</v>
      </c>
      <c r="D95" s="5" t="s">
        <v>7</v>
      </c>
      <c r="E95" s="3" t="s">
        <v>8</v>
      </c>
    </row>
    <row r="96">
      <c r="A96" s="2">
        <v>46059.83148699074</v>
      </c>
      <c r="B96" s="3" t="s">
        <v>15</v>
      </c>
      <c r="C96" s="4" t="s">
        <v>16</v>
      </c>
      <c r="D96" s="5" t="s">
        <v>7</v>
      </c>
      <c r="E96" s="3" t="s">
        <v>8</v>
      </c>
    </row>
    <row r="97">
      <c r="A97" s="2">
        <v>46059.83148699074</v>
      </c>
      <c r="B97" s="3" t="s">
        <v>17</v>
      </c>
      <c r="C97" s="4" t="s">
        <v>12</v>
      </c>
      <c r="D97" s="5" t="s">
        <v>7</v>
      </c>
      <c r="E97" s="3" t="s">
        <v>8</v>
      </c>
    </row>
    <row r="98">
      <c r="A98" s="2">
        <v>46059.66482049768</v>
      </c>
      <c r="B98" s="3" t="s">
        <v>5</v>
      </c>
      <c r="C98" s="4" t="s">
        <v>6</v>
      </c>
      <c r="D98" s="5" t="s">
        <v>7</v>
      </c>
      <c r="E98" s="3" t="s">
        <v>8</v>
      </c>
    </row>
    <row r="99">
      <c r="A99" s="2">
        <v>46059.66482049768</v>
      </c>
      <c r="B99" s="3" t="s">
        <v>9</v>
      </c>
      <c r="C99" s="4" t="s">
        <v>10</v>
      </c>
      <c r="D99" s="5" t="s">
        <v>7</v>
      </c>
      <c r="E99" s="3" t="s">
        <v>8</v>
      </c>
    </row>
    <row r="100">
      <c r="A100" s="2">
        <v>46059.66482049768</v>
      </c>
      <c r="B100" s="3" t="s">
        <v>11</v>
      </c>
      <c r="C100" s="4" t="s">
        <v>12</v>
      </c>
      <c r="D100" s="5" t="s">
        <v>7</v>
      </c>
      <c r="E100" s="3" t="s">
        <v>8</v>
      </c>
    </row>
    <row r="101">
      <c r="A101" s="2">
        <v>46059.66482049768</v>
      </c>
      <c r="B101" s="3" t="s">
        <v>13</v>
      </c>
      <c r="C101" s="4" t="s">
        <v>14</v>
      </c>
      <c r="D101" s="5" t="s">
        <v>7</v>
      </c>
      <c r="E101" s="3" t="s">
        <v>8</v>
      </c>
    </row>
    <row r="102">
      <c r="A102" s="6"/>
      <c r="B102" s="6"/>
      <c r="C102" s="7"/>
      <c r="D102" s="6"/>
      <c r="E102" s="6"/>
    </row>
    <row r="103">
      <c r="A103" s="6"/>
      <c r="B103" s="6"/>
      <c r="C103" s="7"/>
      <c r="D103" s="6"/>
      <c r="E103" s="6"/>
    </row>
    <row r="104">
      <c r="A104" s="6"/>
      <c r="B104" s="6"/>
      <c r="C104" s="7"/>
      <c r="D104" s="6"/>
      <c r="E104" s="6"/>
    </row>
    <row r="105">
      <c r="A105" s="6"/>
      <c r="B105" s="6"/>
      <c r="C105" s="7"/>
      <c r="D105" s="6"/>
      <c r="E105" s="6"/>
    </row>
    <row r="106">
      <c r="A106" s="6"/>
      <c r="B106" s="6"/>
      <c r="C106" s="7"/>
      <c r="D106" s="6"/>
      <c r="E106" s="6"/>
    </row>
    <row r="107">
      <c r="A107" s="6"/>
      <c r="B107" s="6"/>
      <c r="C107" s="7"/>
      <c r="D107" s="6"/>
      <c r="E107" s="6"/>
    </row>
    <row r="108">
      <c r="A108" s="6"/>
      <c r="B108" s="6"/>
      <c r="C108" s="7"/>
      <c r="D108" s="6"/>
      <c r="E108" s="6"/>
    </row>
    <row r="109">
      <c r="A109" s="6"/>
      <c r="B109" s="6"/>
      <c r="C109" s="7"/>
      <c r="D109" s="6"/>
      <c r="E109" s="6"/>
    </row>
    <row r="110">
      <c r="A110" s="6"/>
      <c r="B110" s="6"/>
      <c r="C110" s="7"/>
      <c r="D110" s="6"/>
      <c r="E110" s="6"/>
    </row>
    <row r="111">
      <c r="A111" s="6"/>
      <c r="B111" s="6"/>
      <c r="C111" s="7"/>
      <c r="D111" s="6"/>
      <c r="E111" s="6"/>
    </row>
    <row r="112">
      <c r="A112" s="6"/>
      <c r="B112" s="6"/>
      <c r="C112" s="7"/>
      <c r="D112" s="6"/>
      <c r="E112" s="6"/>
    </row>
    <row r="113">
      <c r="A113" s="6"/>
      <c r="B113" s="6"/>
      <c r="C113" s="7"/>
      <c r="D113" s="6"/>
      <c r="E113" s="6"/>
    </row>
    <row r="114">
      <c r="A114" s="6"/>
      <c r="B114" s="6"/>
      <c r="C114" s="7"/>
      <c r="D114" s="6"/>
      <c r="E114" s="6"/>
    </row>
    <row r="115">
      <c r="A115" s="6"/>
      <c r="B115" s="6"/>
      <c r="C115" s="7"/>
      <c r="D115" s="6"/>
      <c r="E115" s="6"/>
    </row>
    <row r="116">
      <c r="A116" s="6"/>
      <c r="B116" s="6"/>
      <c r="C116" s="7"/>
      <c r="D116" s="6"/>
      <c r="E116" s="6"/>
    </row>
    <row r="117">
      <c r="A117" s="6"/>
      <c r="B117" s="6"/>
      <c r="C117" s="7"/>
      <c r="D117" s="6"/>
      <c r="E117" s="6"/>
    </row>
    <row r="118">
      <c r="A118" s="6"/>
      <c r="B118" s="6"/>
      <c r="C118" s="7"/>
      <c r="D118" s="6"/>
      <c r="E118" s="6"/>
    </row>
    <row r="119">
      <c r="A119" s="6"/>
      <c r="B119" s="6"/>
      <c r="C119" s="7"/>
      <c r="D119" s="6"/>
      <c r="E119" s="6"/>
    </row>
    <row r="120">
      <c r="A120" s="6"/>
      <c r="B120" s="6"/>
      <c r="C120" s="7"/>
      <c r="D120" s="6"/>
      <c r="E120" s="6"/>
    </row>
    <row r="121">
      <c r="A121" s="6"/>
      <c r="B121" s="6"/>
      <c r="C121" s="7"/>
      <c r="D121" s="6"/>
      <c r="E121" s="6"/>
    </row>
    <row r="122">
      <c r="A122" s="6"/>
      <c r="B122" s="6"/>
      <c r="C122" s="7"/>
      <c r="D122" s="6"/>
      <c r="E122" s="6"/>
    </row>
    <row r="123">
      <c r="A123" s="6"/>
      <c r="B123" s="6"/>
      <c r="C123" s="7"/>
      <c r="D123" s="6"/>
      <c r="E123" s="6"/>
    </row>
    <row r="124">
      <c r="A124" s="6"/>
      <c r="B124" s="6"/>
      <c r="C124" s="7"/>
      <c r="D124" s="6"/>
      <c r="E124" s="6"/>
    </row>
    <row r="125">
      <c r="A125" s="6"/>
      <c r="B125" s="6"/>
      <c r="C125" s="7"/>
      <c r="D125" s="6"/>
      <c r="E125" s="6"/>
    </row>
    <row r="126">
      <c r="A126" s="6"/>
      <c r="B126" s="6"/>
      <c r="C126" s="7"/>
      <c r="D126" s="6"/>
      <c r="E126" s="6"/>
    </row>
    <row r="127">
      <c r="A127" s="6"/>
      <c r="B127" s="6"/>
      <c r="C127" s="7"/>
      <c r="D127" s="6"/>
      <c r="E127" s="6"/>
    </row>
    <row r="128">
      <c r="A128" s="6"/>
      <c r="B128" s="6"/>
      <c r="C128" s="7"/>
      <c r="D128" s="6"/>
      <c r="E128" s="6"/>
    </row>
    <row r="129">
      <c r="A129" s="6"/>
      <c r="B129" s="6"/>
      <c r="C129" s="7"/>
      <c r="D129" s="6"/>
      <c r="E129" s="6"/>
    </row>
    <row r="130">
      <c r="A130" s="6"/>
      <c r="B130" s="6"/>
      <c r="C130" s="7"/>
      <c r="D130" s="6"/>
      <c r="E130" s="6"/>
    </row>
    <row r="131">
      <c r="A131" s="6"/>
      <c r="B131" s="6"/>
      <c r="C131" s="7"/>
      <c r="D131" s="6"/>
      <c r="E131" s="6"/>
    </row>
    <row r="132">
      <c r="A132" s="6"/>
      <c r="B132" s="6"/>
      <c r="C132" s="7"/>
      <c r="D132" s="6"/>
      <c r="E132" s="6"/>
    </row>
    <row r="133">
      <c r="A133" s="6"/>
      <c r="B133" s="6"/>
      <c r="C133" s="7"/>
      <c r="D133" s="6"/>
      <c r="E133" s="6"/>
    </row>
    <row r="134">
      <c r="A134" s="6"/>
      <c r="B134" s="6"/>
      <c r="C134" s="7"/>
      <c r="D134" s="6"/>
      <c r="E134" s="6"/>
    </row>
    <row r="135">
      <c r="A135" s="6"/>
      <c r="B135" s="6"/>
      <c r="C135" s="7"/>
      <c r="D135" s="6"/>
      <c r="E135" s="6"/>
    </row>
    <row r="136">
      <c r="A136" s="6"/>
      <c r="B136" s="6"/>
      <c r="C136" s="7"/>
      <c r="D136" s="6"/>
      <c r="E136" s="6"/>
    </row>
    <row r="137">
      <c r="A137" s="6"/>
      <c r="B137" s="6"/>
      <c r="C137" s="7"/>
      <c r="D137" s="6"/>
      <c r="E137" s="6"/>
    </row>
    <row r="138">
      <c r="A138" s="6"/>
      <c r="B138" s="6"/>
      <c r="C138" s="7"/>
      <c r="D138" s="6"/>
      <c r="E138" s="6"/>
    </row>
    <row r="139">
      <c r="A139" s="6"/>
      <c r="B139" s="6"/>
      <c r="C139" s="7"/>
      <c r="D139" s="6"/>
      <c r="E139" s="6"/>
    </row>
    <row r="140">
      <c r="A140" s="6"/>
      <c r="B140" s="6"/>
      <c r="C140" s="7"/>
      <c r="D140" s="6"/>
      <c r="E140" s="6"/>
    </row>
    <row r="141">
      <c r="A141" s="6"/>
      <c r="B141" s="6"/>
      <c r="C141" s="7"/>
      <c r="D141" s="6"/>
      <c r="E141" s="6"/>
    </row>
    <row r="142">
      <c r="A142" s="6"/>
      <c r="B142" s="6"/>
      <c r="C142" s="7"/>
      <c r="D142" s="6"/>
      <c r="E142" s="6"/>
    </row>
    <row r="143">
      <c r="A143" s="6"/>
      <c r="B143" s="6"/>
      <c r="C143" s="7"/>
      <c r="D143" s="6"/>
      <c r="E143" s="6"/>
    </row>
    <row r="144">
      <c r="A144" s="6"/>
      <c r="B144" s="6"/>
      <c r="C144" s="7"/>
      <c r="D144" s="6"/>
      <c r="E144" s="6"/>
    </row>
    <row r="145">
      <c r="A145" s="6"/>
      <c r="B145" s="6"/>
      <c r="C145" s="7"/>
      <c r="D145" s="6"/>
      <c r="E145" s="6"/>
    </row>
    <row r="146">
      <c r="A146" s="6"/>
      <c r="B146" s="6"/>
      <c r="C146" s="7"/>
      <c r="D146" s="6"/>
      <c r="E146" s="6"/>
    </row>
    <row r="147">
      <c r="A147" s="6"/>
      <c r="B147" s="6"/>
      <c r="C147" s="7"/>
      <c r="D147" s="6"/>
      <c r="E147" s="6"/>
    </row>
    <row r="148">
      <c r="A148" s="6"/>
      <c r="B148" s="6"/>
      <c r="C148" s="7"/>
      <c r="D148" s="6"/>
      <c r="E148" s="6"/>
    </row>
    <row r="149">
      <c r="A149" s="6"/>
      <c r="B149" s="6"/>
      <c r="C149" s="7"/>
      <c r="D149" s="6"/>
      <c r="E149" s="6"/>
    </row>
    <row r="150">
      <c r="A150" s="6"/>
      <c r="B150" s="6"/>
      <c r="C150" s="7"/>
      <c r="D150" s="6"/>
      <c r="E150" s="6"/>
    </row>
    <row r="151">
      <c r="A151" s="6"/>
      <c r="B151" s="6"/>
      <c r="C151" s="7"/>
      <c r="D151" s="6"/>
      <c r="E151" s="6"/>
    </row>
    <row r="152">
      <c r="A152" s="6"/>
      <c r="B152" s="6"/>
      <c r="C152" s="7"/>
      <c r="D152" s="6"/>
      <c r="E152" s="6"/>
    </row>
    <row r="153">
      <c r="A153" s="6"/>
      <c r="B153" s="6"/>
      <c r="C153" s="7"/>
      <c r="D153" s="6"/>
      <c r="E153" s="6"/>
    </row>
    <row r="154">
      <c r="A154" s="6"/>
      <c r="B154" s="6"/>
      <c r="C154" s="7"/>
      <c r="D154" s="6"/>
      <c r="E154" s="6"/>
    </row>
    <row r="155">
      <c r="A155" s="6"/>
      <c r="B155" s="6"/>
      <c r="C155" s="7"/>
      <c r="D155" s="6"/>
      <c r="E155" s="6"/>
    </row>
    <row r="156">
      <c r="A156" s="6"/>
      <c r="B156" s="6"/>
      <c r="C156" s="7"/>
      <c r="D156" s="6"/>
      <c r="E156" s="6"/>
    </row>
    <row r="157">
      <c r="A157" s="6"/>
      <c r="B157" s="6"/>
      <c r="C157" s="7"/>
      <c r="D157" s="6"/>
      <c r="E157" s="6"/>
    </row>
    <row r="158">
      <c r="A158" s="6"/>
      <c r="B158" s="6"/>
      <c r="C158" s="7"/>
      <c r="D158" s="6"/>
      <c r="E158" s="6"/>
    </row>
    <row r="159">
      <c r="A159" s="6"/>
      <c r="B159" s="6"/>
      <c r="C159" s="7"/>
      <c r="D159" s="6"/>
      <c r="E159" s="6"/>
    </row>
    <row r="160">
      <c r="A160" s="6"/>
      <c r="B160" s="6"/>
      <c r="C160" s="7"/>
      <c r="D160" s="6"/>
      <c r="E160" s="6"/>
    </row>
    <row r="161">
      <c r="A161" s="6"/>
      <c r="B161" s="6"/>
      <c r="C161" s="7"/>
      <c r="D161" s="6"/>
      <c r="E161" s="6"/>
    </row>
    <row r="162">
      <c r="A162" s="6"/>
      <c r="B162" s="6"/>
      <c r="C162" s="7"/>
      <c r="D162" s="6"/>
      <c r="E162" s="6"/>
    </row>
    <row r="163">
      <c r="A163" s="6"/>
      <c r="B163" s="6"/>
      <c r="C163" s="7"/>
      <c r="D163" s="6"/>
      <c r="E163" s="6"/>
    </row>
    <row r="164">
      <c r="A164" s="6"/>
      <c r="B164" s="6"/>
      <c r="C164" s="7"/>
      <c r="D164" s="6"/>
      <c r="E164" s="6"/>
    </row>
    <row r="165">
      <c r="A165" s="6"/>
      <c r="B165" s="6"/>
      <c r="C165" s="7"/>
      <c r="D165" s="6"/>
      <c r="E165" s="6"/>
    </row>
    <row r="166">
      <c r="A166" s="6"/>
      <c r="B166" s="6"/>
      <c r="C166" s="7"/>
      <c r="D166" s="6"/>
      <c r="E166" s="6"/>
    </row>
    <row r="167">
      <c r="A167" s="6"/>
      <c r="B167" s="6"/>
      <c r="C167" s="7"/>
      <c r="D167" s="6"/>
      <c r="E167" s="6"/>
    </row>
    <row r="168">
      <c r="A168" s="6"/>
      <c r="B168" s="6"/>
      <c r="C168" s="7"/>
      <c r="D168" s="6"/>
      <c r="E168" s="6"/>
    </row>
    <row r="169">
      <c r="A169" s="6"/>
      <c r="B169" s="6"/>
      <c r="C169" s="7"/>
      <c r="D169" s="6"/>
      <c r="E169" s="6"/>
    </row>
    <row r="170">
      <c r="A170" s="6"/>
      <c r="B170" s="6"/>
      <c r="C170" s="7"/>
      <c r="D170" s="6"/>
      <c r="E170" s="6"/>
    </row>
    <row r="171">
      <c r="A171" s="6"/>
      <c r="B171" s="6"/>
      <c r="C171" s="7"/>
      <c r="D171" s="6"/>
      <c r="E171" s="6"/>
    </row>
    <row r="172">
      <c r="A172" s="6"/>
      <c r="B172" s="6"/>
      <c r="C172" s="7"/>
      <c r="D172" s="6"/>
      <c r="E172" s="6"/>
    </row>
    <row r="173">
      <c r="A173" s="6"/>
      <c r="B173" s="6"/>
      <c r="C173" s="7"/>
      <c r="D173" s="6"/>
      <c r="E173" s="6"/>
    </row>
    <row r="174">
      <c r="A174" s="6"/>
      <c r="B174" s="6"/>
      <c r="C174" s="7"/>
      <c r="D174" s="6"/>
      <c r="E174" s="6"/>
    </row>
    <row r="175">
      <c r="A175" s="6"/>
      <c r="B175" s="6"/>
      <c r="C175" s="7"/>
      <c r="D175" s="6"/>
      <c r="E175" s="6"/>
    </row>
    <row r="176">
      <c r="A176" s="6"/>
      <c r="B176" s="6"/>
      <c r="C176" s="7"/>
      <c r="D176" s="6"/>
      <c r="E176" s="6"/>
    </row>
    <row r="177">
      <c r="A177" s="6"/>
      <c r="B177" s="6"/>
      <c r="C177" s="7"/>
      <c r="D177" s="6"/>
      <c r="E177" s="6"/>
    </row>
    <row r="178">
      <c r="A178" s="6"/>
      <c r="B178" s="6"/>
      <c r="C178" s="7"/>
      <c r="D178" s="6"/>
      <c r="E178" s="6"/>
    </row>
    <row r="179">
      <c r="A179" s="6"/>
      <c r="B179" s="6"/>
      <c r="C179" s="7"/>
      <c r="D179" s="6"/>
      <c r="E179" s="6"/>
    </row>
    <row r="180">
      <c r="A180" s="6"/>
      <c r="B180" s="6"/>
      <c r="C180" s="7"/>
      <c r="D180" s="6"/>
      <c r="E180" s="6"/>
    </row>
    <row r="181">
      <c r="A181" s="6"/>
      <c r="B181" s="6"/>
      <c r="C181" s="7"/>
      <c r="D181" s="6"/>
      <c r="E181" s="6"/>
    </row>
    <row r="182">
      <c r="A182" s="6"/>
      <c r="B182" s="6"/>
      <c r="C182" s="7"/>
      <c r="D182" s="6"/>
      <c r="E182" s="6"/>
    </row>
    <row r="183">
      <c r="A183" s="6"/>
      <c r="B183" s="6"/>
      <c r="C183" s="7"/>
      <c r="D183" s="6"/>
      <c r="E183" s="6"/>
    </row>
    <row r="184">
      <c r="A184" s="6"/>
      <c r="B184" s="6"/>
      <c r="C184" s="7"/>
      <c r="D184" s="6"/>
      <c r="E184" s="6"/>
    </row>
    <row r="185">
      <c r="A185" s="6"/>
      <c r="B185" s="6"/>
      <c r="C185" s="7"/>
      <c r="D185" s="6"/>
      <c r="E185" s="6"/>
    </row>
    <row r="186">
      <c r="A186" s="6"/>
      <c r="B186" s="6"/>
      <c r="C186" s="7"/>
      <c r="D186" s="6"/>
      <c r="E186" s="6"/>
    </row>
    <row r="187">
      <c r="A187" s="6"/>
      <c r="B187" s="6"/>
      <c r="C187" s="7"/>
      <c r="D187" s="6"/>
      <c r="E187" s="6"/>
    </row>
    <row r="188">
      <c r="A188" s="6"/>
      <c r="B188" s="6"/>
      <c r="C188" s="7"/>
      <c r="D188" s="6"/>
      <c r="E188" s="6"/>
    </row>
    <row r="189">
      <c r="A189" s="6"/>
      <c r="B189" s="6"/>
      <c r="C189" s="7"/>
      <c r="D189" s="6"/>
      <c r="E189" s="6"/>
    </row>
    <row r="190">
      <c r="A190" s="6"/>
      <c r="B190" s="6"/>
      <c r="C190" s="7"/>
      <c r="D190" s="6"/>
      <c r="E190" s="6"/>
    </row>
    <row r="191">
      <c r="A191" s="6"/>
      <c r="B191" s="6"/>
      <c r="C191" s="7"/>
      <c r="D191" s="6"/>
      <c r="E191" s="6"/>
    </row>
    <row r="192">
      <c r="A192" s="6"/>
      <c r="B192" s="6"/>
      <c r="C192" s="7"/>
      <c r="D192" s="6"/>
      <c r="E192" s="6"/>
    </row>
    <row r="193">
      <c r="A193" s="6"/>
      <c r="B193" s="6"/>
      <c r="C193" s="7"/>
      <c r="D193" s="6"/>
      <c r="E193" s="6"/>
    </row>
    <row r="194">
      <c r="A194" s="6"/>
      <c r="B194" s="6"/>
      <c r="C194" s="7"/>
      <c r="D194" s="6"/>
      <c r="E194" s="6"/>
    </row>
    <row r="195">
      <c r="A195" s="6"/>
      <c r="B195" s="6"/>
      <c r="C195" s="7"/>
      <c r="D195" s="6"/>
      <c r="E195" s="6"/>
    </row>
    <row r="196">
      <c r="A196" s="6"/>
      <c r="B196" s="6"/>
      <c r="C196" s="7"/>
      <c r="D196" s="6"/>
      <c r="E196" s="6"/>
    </row>
    <row r="197">
      <c r="A197" s="6"/>
      <c r="B197" s="6"/>
      <c r="C197" s="7"/>
      <c r="D197" s="6"/>
      <c r="E197" s="6"/>
    </row>
    <row r="198">
      <c r="A198" s="6"/>
      <c r="B198" s="6"/>
      <c r="C198" s="7"/>
      <c r="D198" s="6"/>
      <c r="E198" s="6"/>
    </row>
    <row r="199">
      <c r="A199" s="6"/>
      <c r="B199" s="6"/>
      <c r="C199" s="7"/>
      <c r="D199" s="6"/>
      <c r="E199" s="6"/>
    </row>
    <row r="200">
      <c r="A200" s="6"/>
      <c r="B200" s="6"/>
      <c r="C200" s="7"/>
      <c r="D200" s="6"/>
      <c r="E200" s="6"/>
    </row>
    <row r="201">
      <c r="A201" s="6"/>
      <c r="B201" s="6"/>
      <c r="C201" s="7"/>
      <c r="D201" s="6"/>
      <c r="E201" s="6"/>
    </row>
    <row r="202">
      <c r="A202" s="6"/>
      <c r="B202" s="6"/>
      <c r="C202" s="7"/>
      <c r="D202" s="6"/>
      <c r="E202" s="6"/>
    </row>
    <row r="203">
      <c r="A203" s="6"/>
      <c r="B203" s="6"/>
      <c r="C203" s="7"/>
      <c r="D203" s="6"/>
      <c r="E203" s="6"/>
    </row>
    <row r="204">
      <c r="A204" s="6"/>
      <c r="B204" s="6"/>
      <c r="C204" s="7"/>
      <c r="D204" s="6"/>
      <c r="E204" s="6"/>
    </row>
    <row r="205">
      <c r="A205" s="6"/>
      <c r="B205" s="6"/>
      <c r="C205" s="7"/>
      <c r="D205" s="6"/>
      <c r="E205" s="6"/>
    </row>
    <row r="206">
      <c r="A206" s="6"/>
      <c r="B206" s="6"/>
      <c r="C206" s="7"/>
      <c r="D206" s="6"/>
      <c r="E206" s="6"/>
    </row>
    <row r="207">
      <c r="A207" s="6"/>
      <c r="B207" s="6"/>
      <c r="C207" s="7"/>
      <c r="D207" s="6"/>
      <c r="E207" s="6"/>
    </row>
    <row r="208">
      <c r="A208" s="6"/>
      <c r="B208" s="6"/>
      <c r="C208" s="7"/>
      <c r="D208" s="6"/>
      <c r="E208" s="6"/>
    </row>
    <row r="209">
      <c r="A209" s="6"/>
      <c r="B209" s="6"/>
      <c r="C209" s="7"/>
      <c r="D209" s="6"/>
      <c r="E209" s="6"/>
    </row>
    <row r="210">
      <c r="A210" s="6"/>
      <c r="B210" s="6"/>
      <c r="C210" s="7"/>
      <c r="D210" s="6"/>
      <c r="E210" s="6"/>
    </row>
    <row r="211">
      <c r="A211" s="6"/>
      <c r="B211" s="6"/>
      <c r="C211" s="7"/>
      <c r="D211" s="6"/>
      <c r="E211" s="6"/>
    </row>
    <row r="212">
      <c r="A212" s="6"/>
      <c r="B212" s="6"/>
      <c r="C212" s="7"/>
      <c r="D212" s="6"/>
      <c r="E212" s="6"/>
    </row>
    <row r="213">
      <c r="A213" s="6"/>
      <c r="B213" s="6"/>
      <c r="C213" s="7"/>
      <c r="D213" s="6"/>
      <c r="E213" s="6"/>
    </row>
    <row r="214">
      <c r="A214" s="6"/>
      <c r="B214" s="6"/>
      <c r="C214" s="7"/>
      <c r="D214" s="6"/>
      <c r="E214" s="6"/>
    </row>
    <row r="215">
      <c r="A215" s="6"/>
      <c r="B215" s="6"/>
      <c r="C215" s="7"/>
      <c r="D215" s="6"/>
      <c r="E215" s="6"/>
    </row>
    <row r="216">
      <c r="A216" s="6"/>
      <c r="B216" s="6"/>
      <c r="C216" s="7"/>
      <c r="D216" s="6"/>
      <c r="E216" s="6"/>
    </row>
    <row r="217">
      <c r="A217" s="6"/>
      <c r="B217" s="6"/>
      <c r="C217" s="7"/>
      <c r="D217" s="6"/>
      <c r="E217" s="6"/>
    </row>
    <row r="218">
      <c r="A218" s="6"/>
      <c r="B218" s="6"/>
      <c r="C218" s="7"/>
      <c r="D218" s="6"/>
      <c r="E218" s="6"/>
    </row>
    <row r="219">
      <c r="A219" s="6"/>
      <c r="B219" s="6"/>
      <c r="C219" s="7"/>
      <c r="D219" s="6"/>
      <c r="E219" s="6"/>
    </row>
    <row r="220">
      <c r="A220" s="6"/>
      <c r="B220" s="6"/>
      <c r="C220" s="7"/>
      <c r="D220" s="6"/>
      <c r="E220" s="6"/>
    </row>
    <row r="221">
      <c r="A221" s="6"/>
      <c r="B221" s="6"/>
      <c r="C221" s="7"/>
      <c r="D221" s="6"/>
      <c r="E221" s="6"/>
    </row>
    <row r="222">
      <c r="A222" s="6"/>
      <c r="B222" s="6"/>
      <c r="C222" s="7"/>
      <c r="D222" s="6"/>
      <c r="E222" s="6"/>
    </row>
    <row r="223">
      <c r="A223" s="6"/>
      <c r="B223" s="6"/>
      <c r="C223" s="7"/>
      <c r="D223" s="6"/>
      <c r="E223" s="6"/>
    </row>
    <row r="224">
      <c r="A224" s="6"/>
      <c r="B224" s="6"/>
      <c r="C224" s="7"/>
      <c r="D224" s="6"/>
      <c r="E224" s="6"/>
    </row>
    <row r="225">
      <c r="A225" s="6"/>
      <c r="B225" s="6"/>
      <c r="C225" s="7"/>
      <c r="D225" s="6"/>
      <c r="E225" s="6"/>
    </row>
    <row r="226">
      <c r="A226" s="6"/>
      <c r="B226" s="6"/>
      <c r="C226" s="7"/>
      <c r="D226" s="6"/>
      <c r="E226" s="6"/>
    </row>
    <row r="227">
      <c r="A227" s="6"/>
      <c r="B227" s="6"/>
      <c r="C227" s="7"/>
      <c r="D227" s="6"/>
      <c r="E227" s="6"/>
    </row>
    <row r="228">
      <c r="A228" s="6"/>
      <c r="B228" s="6"/>
      <c r="C228" s="7"/>
      <c r="D228" s="6"/>
      <c r="E228" s="6"/>
    </row>
    <row r="229">
      <c r="A229" s="6"/>
      <c r="B229" s="6"/>
      <c r="C229" s="7"/>
      <c r="D229" s="6"/>
      <c r="E229" s="6"/>
    </row>
    <row r="230">
      <c r="A230" s="6"/>
      <c r="B230" s="6"/>
      <c r="C230" s="7"/>
      <c r="D230" s="6"/>
      <c r="E230" s="6"/>
    </row>
    <row r="231">
      <c r="A231" s="6"/>
      <c r="B231" s="6"/>
      <c r="C231" s="7"/>
      <c r="D231" s="6"/>
      <c r="E231" s="6"/>
    </row>
    <row r="232">
      <c r="A232" s="6"/>
      <c r="B232" s="6"/>
      <c r="C232" s="7"/>
      <c r="D232" s="6"/>
      <c r="E232" s="6"/>
    </row>
    <row r="233">
      <c r="A233" s="6"/>
      <c r="B233" s="6"/>
      <c r="C233" s="7"/>
      <c r="D233" s="6"/>
      <c r="E233" s="6"/>
    </row>
    <row r="234">
      <c r="A234" s="6"/>
      <c r="B234" s="6"/>
      <c r="C234" s="7"/>
      <c r="D234" s="6"/>
      <c r="E234" s="6"/>
    </row>
    <row r="235">
      <c r="A235" s="6"/>
      <c r="B235" s="6"/>
      <c r="C235" s="7"/>
      <c r="D235" s="6"/>
      <c r="E235" s="6"/>
    </row>
    <row r="236">
      <c r="A236" s="6"/>
      <c r="B236" s="6"/>
      <c r="C236" s="7"/>
      <c r="D236" s="6"/>
      <c r="E236" s="6"/>
    </row>
    <row r="237">
      <c r="A237" s="6"/>
      <c r="B237" s="6"/>
      <c r="C237" s="7"/>
      <c r="D237" s="6"/>
      <c r="E237" s="6"/>
    </row>
    <row r="238">
      <c r="A238" s="6"/>
      <c r="B238" s="6"/>
      <c r="C238" s="7"/>
      <c r="D238" s="6"/>
      <c r="E238" s="6"/>
    </row>
    <row r="239">
      <c r="A239" s="6"/>
      <c r="B239" s="6"/>
      <c r="C239" s="7"/>
      <c r="D239" s="6"/>
      <c r="E239" s="6"/>
    </row>
    <row r="240">
      <c r="A240" s="6"/>
      <c r="B240" s="6"/>
      <c r="C240" s="7"/>
      <c r="D240" s="6"/>
      <c r="E240" s="6"/>
    </row>
    <row r="241">
      <c r="A241" s="6"/>
      <c r="B241" s="6"/>
      <c r="C241" s="7"/>
      <c r="D241" s="6"/>
      <c r="E241" s="6"/>
    </row>
    <row r="242">
      <c r="A242" s="6"/>
      <c r="B242" s="6"/>
      <c r="C242" s="7"/>
      <c r="D242" s="6"/>
      <c r="E242" s="6"/>
    </row>
    <row r="243">
      <c r="A243" s="6"/>
      <c r="B243" s="6"/>
      <c r="C243" s="7"/>
      <c r="D243" s="6"/>
      <c r="E243" s="6"/>
    </row>
    <row r="244">
      <c r="A244" s="6"/>
      <c r="B244" s="6"/>
      <c r="C244" s="7"/>
      <c r="D244" s="6"/>
      <c r="E244" s="6"/>
    </row>
    <row r="245">
      <c r="A245" s="6"/>
      <c r="B245" s="6"/>
      <c r="C245" s="7"/>
      <c r="D245" s="6"/>
      <c r="E245" s="6"/>
    </row>
    <row r="246">
      <c r="A246" s="6"/>
      <c r="B246" s="6"/>
      <c r="C246" s="7"/>
      <c r="D246" s="6"/>
      <c r="E246" s="6"/>
    </row>
    <row r="247">
      <c r="A247" s="6"/>
      <c r="B247" s="6"/>
      <c r="C247" s="7"/>
      <c r="D247" s="6"/>
      <c r="E247" s="6"/>
    </row>
    <row r="248">
      <c r="A248" s="6"/>
      <c r="B248" s="6"/>
      <c r="C248" s="7"/>
      <c r="D248" s="6"/>
      <c r="E248" s="6"/>
    </row>
    <row r="249">
      <c r="A249" s="6"/>
      <c r="B249" s="6"/>
      <c r="C249" s="7"/>
      <c r="D249" s="6"/>
      <c r="E249" s="6"/>
    </row>
    <row r="250">
      <c r="A250" s="6"/>
      <c r="B250" s="6"/>
      <c r="C250" s="7"/>
      <c r="D250" s="6"/>
      <c r="E250" s="6"/>
    </row>
    <row r="251">
      <c r="A251" s="6"/>
      <c r="B251" s="6"/>
      <c r="C251" s="7"/>
      <c r="D251" s="6"/>
      <c r="E251" s="6"/>
    </row>
    <row r="252">
      <c r="A252" s="6"/>
      <c r="B252" s="6"/>
      <c r="C252" s="7"/>
      <c r="D252" s="6"/>
      <c r="E252" s="6"/>
    </row>
    <row r="253">
      <c r="A253" s="6"/>
      <c r="B253" s="6"/>
      <c r="C253" s="7"/>
      <c r="D253" s="6"/>
      <c r="E253" s="6"/>
    </row>
    <row r="254">
      <c r="A254" s="6"/>
      <c r="B254" s="6"/>
      <c r="C254" s="7"/>
      <c r="D254" s="6"/>
      <c r="E254" s="6"/>
    </row>
    <row r="255">
      <c r="A255" s="6"/>
      <c r="B255" s="6"/>
      <c r="C255" s="7"/>
      <c r="D255" s="6"/>
      <c r="E255" s="6"/>
    </row>
    <row r="256">
      <c r="A256" s="6"/>
      <c r="B256" s="6"/>
      <c r="C256" s="7"/>
      <c r="D256" s="6"/>
      <c r="E256" s="6"/>
    </row>
    <row r="257">
      <c r="A257" s="6"/>
      <c r="B257" s="6"/>
      <c r="C257" s="7"/>
      <c r="D257" s="6"/>
      <c r="E257" s="6"/>
    </row>
    <row r="258">
      <c r="A258" s="6"/>
      <c r="B258" s="6"/>
      <c r="C258" s="7"/>
      <c r="D258" s="6"/>
      <c r="E258" s="6"/>
    </row>
    <row r="259">
      <c r="A259" s="6"/>
      <c r="B259" s="6"/>
      <c r="C259" s="7"/>
      <c r="D259" s="6"/>
      <c r="E259" s="6"/>
    </row>
    <row r="260">
      <c r="A260" s="6"/>
      <c r="B260" s="6"/>
      <c r="C260" s="7"/>
      <c r="D260" s="6"/>
      <c r="E260" s="6"/>
    </row>
    <row r="261">
      <c r="A261" s="6"/>
      <c r="B261" s="6"/>
      <c r="C261" s="7"/>
      <c r="D261" s="6"/>
      <c r="E261" s="6"/>
    </row>
    <row r="262">
      <c r="A262" s="6"/>
      <c r="B262" s="6"/>
      <c r="C262" s="7"/>
      <c r="D262" s="6"/>
      <c r="E262" s="6"/>
    </row>
    <row r="263">
      <c r="A263" s="6"/>
      <c r="B263" s="6"/>
      <c r="C263" s="7"/>
      <c r="D263" s="6"/>
      <c r="E263" s="6"/>
    </row>
    <row r="264">
      <c r="A264" s="6"/>
      <c r="B264" s="6"/>
      <c r="C264" s="7"/>
      <c r="D264" s="6"/>
      <c r="E264" s="6"/>
    </row>
    <row r="265">
      <c r="A265" s="6"/>
      <c r="B265" s="6"/>
      <c r="C265" s="7"/>
      <c r="D265" s="6"/>
      <c r="E265" s="6"/>
    </row>
    <row r="266">
      <c r="A266" s="6"/>
      <c r="B266" s="6"/>
      <c r="C266" s="7"/>
      <c r="D266" s="6"/>
      <c r="E266" s="6"/>
    </row>
    <row r="267">
      <c r="A267" s="6"/>
      <c r="B267" s="6"/>
      <c r="C267" s="7"/>
      <c r="D267" s="6"/>
      <c r="E267" s="6"/>
    </row>
    <row r="268">
      <c r="A268" s="6"/>
      <c r="B268" s="6"/>
      <c r="C268" s="7"/>
      <c r="D268" s="6"/>
      <c r="E268" s="6"/>
    </row>
    <row r="269">
      <c r="A269" s="6"/>
      <c r="B269" s="6"/>
      <c r="C269" s="7"/>
      <c r="D269" s="6"/>
      <c r="E269" s="6"/>
    </row>
    <row r="270">
      <c r="A270" s="6"/>
      <c r="B270" s="6"/>
      <c r="C270" s="7"/>
      <c r="D270" s="6"/>
      <c r="E270" s="6"/>
    </row>
    <row r="271">
      <c r="A271" s="6"/>
      <c r="B271" s="6"/>
      <c r="C271" s="7"/>
      <c r="D271" s="6"/>
      <c r="E271" s="6"/>
    </row>
    <row r="272">
      <c r="A272" s="6"/>
      <c r="B272" s="6"/>
      <c r="C272" s="7"/>
      <c r="D272" s="6"/>
      <c r="E272" s="6"/>
    </row>
    <row r="273">
      <c r="A273" s="6"/>
      <c r="B273" s="6"/>
      <c r="C273" s="7"/>
      <c r="D273" s="6"/>
      <c r="E273" s="6"/>
    </row>
    <row r="274">
      <c r="A274" s="6"/>
      <c r="B274" s="6"/>
      <c r="C274" s="7"/>
      <c r="D274" s="6"/>
      <c r="E274" s="6"/>
    </row>
    <row r="275">
      <c r="A275" s="6"/>
      <c r="B275" s="6"/>
      <c r="C275" s="7"/>
      <c r="D275" s="6"/>
      <c r="E275" s="6"/>
    </row>
    <row r="276">
      <c r="A276" s="6"/>
      <c r="B276" s="6"/>
      <c r="C276" s="7"/>
      <c r="D276" s="6"/>
      <c r="E276" s="6"/>
    </row>
    <row r="277">
      <c r="A277" s="6"/>
      <c r="B277" s="6"/>
      <c r="C277" s="7"/>
      <c r="D277" s="6"/>
      <c r="E277" s="6"/>
    </row>
    <row r="278">
      <c r="A278" s="6"/>
      <c r="B278" s="6"/>
      <c r="C278" s="7"/>
      <c r="D278" s="6"/>
      <c r="E278" s="6"/>
    </row>
    <row r="279">
      <c r="A279" s="6"/>
      <c r="B279" s="6"/>
      <c r="C279" s="7"/>
      <c r="D279" s="6"/>
      <c r="E279" s="6"/>
    </row>
    <row r="280">
      <c r="A280" s="6"/>
      <c r="B280" s="6"/>
      <c r="C280" s="7"/>
      <c r="D280" s="6"/>
      <c r="E280" s="6"/>
    </row>
    <row r="281">
      <c r="A281" s="6"/>
      <c r="B281" s="6"/>
      <c r="C281" s="7"/>
      <c r="D281" s="6"/>
      <c r="E281" s="6"/>
    </row>
    <row r="282">
      <c r="A282" s="6"/>
      <c r="B282" s="6"/>
      <c r="C282" s="7"/>
      <c r="D282" s="6"/>
      <c r="E282" s="6"/>
    </row>
    <row r="283">
      <c r="A283" s="6"/>
      <c r="B283" s="6"/>
      <c r="C283" s="7"/>
      <c r="D283" s="6"/>
      <c r="E283" s="6"/>
    </row>
    <row r="284">
      <c r="A284" s="6"/>
      <c r="B284" s="6"/>
      <c r="C284" s="7"/>
      <c r="D284" s="6"/>
      <c r="E284" s="6"/>
    </row>
    <row r="285">
      <c r="A285" s="6"/>
      <c r="B285" s="6"/>
      <c r="C285" s="7"/>
      <c r="D285" s="6"/>
      <c r="E285" s="6"/>
    </row>
    <row r="286">
      <c r="A286" s="6"/>
      <c r="B286" s="6"/>
      <c r="C286" s="7"/>
      <c r="D286" s="6"/>
      <c r="E286" s="6"/>
    </row>
    <row r="287">
      <c r="A287" s="6"/>
      <c r="B287" s="6"/>
      <c r="C287" s="7"/>
      <c r="D287" s="6"/>
      <c r="E287" s="6"/>
    </row>
    <row r="288">
      <c r="A288" s="6"/>
      <c r="B288" s="6"/>
      <c r="C288" s="7"/>
      <c r="D288" s="6"/>
      <c r="E288" s="6"/>
    </row>
    <row r="289">
      <c r="A289" s="6"/>
      <c r="B289" s="6"/>
      <c r="C289" s="7"/>
      <c r="D289" s="6"/>
      <c r="E289" s="6"/>
    </row>
    <row r="290">
      <c r="A290" s="6"/>
      <c r="B290" s="6"/>
      <c r="C290" s="7"/>
      <c r="D290" s="6"/>
      <c r="E290" s="6"/>
    </row>
    <row r="291">
      <c r="A291" s="6"/>
      <c r="B291" s="6"/>
      <c r="C291" s="7"/>
      <c r="D291" s="6"/>
      <c r="E291" s="6"/>
    </row>
    <row r="292">
      <c r="A292" s="6"/>
      <c r="B292" s="6"/>
      <c r="C292" s="7"/>
      <c r="D292" s="6"/>
      <c r="E292" s="6"/>
    </row>
    <row r="293">
      <c r="A293" s="6"/>
      <c r="B293" s="6"/>
      <c r="C293" s="7"/>
      <c r="D293" s="6"/>
      <c r="E293" s="6"/>
    </row>
    <row r="294">
      <c r="A294" s="6"/>
      <c r="B294" s="6"/>
      <c r="C294" s="7"/>
      <c r="D294" s="6"/>
      <c r="E294" s="6"/>
    </row>
    <row r="295">
      <c r="A295" s="6"/>
      <c r="B295" s="6"/>
      <c r="C295" s="7"/>
      <c r="D295" s="6"/>
      <c r="E295" s="6"/>
    </row>
    <row r="296">
      <c r="A296" s="6"/>
      <c r="B296" s="6"/>
      <c r="C296" s="7"/>
      <c r="D296" s="6"/>
      <c r="E296" s="6"/>
    </row>
    <row r="297">
      <c r="A297" s="6"/>
      <c r="B297" s="6"/>
      <c r="C297" s="7"/>
      <c r="D297" s="6"/>
      <c r="E297" s="6"/>
    </row>
    <row r="298">
      <c r="A298" s="6"/>
      <c r="B298" s="6"/>
      <c r="C298" s="7"/>
      <c r="D298" s="6"/>
      <c r="E298" s="6"/>
    </row>
    <row r="299">
      <c r="A299" s="6"/>
      <c r="B299" s="6"/>
      <c r="C299" s="7"/>
      <c r="D299" s="6"/>
      <c r="E299" s="6"/>
    </row>
    <row r="300">
      <c r="A300" s="6"/>
      <c r="B300" s="6"/>
      <c r="C300" s="7"/>
      <c r="D300" s="6"/>
      <c r="E300" s="6"/>
    </row>
    <row r="301">
      <c r="A301" s="6"/>
      <c r="B301" s="6"/>
      <c r="C301" s="7"/>
      <c r="D301" s="6"/>
      <c r="E301" s="6"/>
    </row>
    <row r="302">
      <c r="A302" s="6"/>
      <c r="B302" s="6"/>
      <c r="C302" s="7"/>
      <c r="D302" s="6"/>
      <c r="E302" s="6"/>
    </row>
    <row r="303">
      <c r="A303" s="6"/>
      <c r="B303" s="6"/>
      <c r="C303" s="7"/>
      <c r="D303" s="6"/>
      <c r="E303" s="6"/>
    </row>
    <row r="304">
      <c r="A304" s="6"/>
      <c r="B304" s="6"/>
      <c r="C304" s="7"/>
      <c r="D304" s="6"/>
      <c r="E304" s="6"/>
    </row>
    <row r="305">
      <c r="A305" s="6"/>
      <c r="B305" s="6"/>
      <c r="C305" s="7"/>
      <c r="D305" s="6"/>
      <c r="E305" s="6"/>
    </row>
    <row r="306">
      <c r="A306" s="6"/>
      <c r="B306" s="6"/>
      <c r="C306" s="7"/>
      <c r="D306" s="6"/>
      <c r="E306" s="6"/>
    </row>
    <row r="307">
      <c r="A307" s="6"/>
      <c r="B307" s="6"/>
      <c r="C307" s="7"/>
      <c r="D307" s="6"/>
      <c r="E307" s="6"/>
    </row>
    <row r="308">
      <c r="A308" s="6"/>
      <c r="B308" s="6"/>
      <c r="C308" s="7"/>
      <c r="D308" s="6"/>
      <c r="E308" s="6"/>
    </row>
    <row r="309">
      <c r="A309" s="6"/>
      <c r="B309" s="6"/>
      <c r="C309" s="7"/>
      <c r="D309" s="6"/>
      <c r="E309" s="6"/>
    </row>
    <row r="310">
      <c r="A310" s="6"/>
      <c r="B310" s="6"/>
      <c r="C310" s="7"/>
      <c r="D310" s="6"/>
      <c r="E310" s="6"/>
    </row>
    <row r="311">
      <c r="A311" s="6"/>
      <c r="B311" s="6"/>
      <c r="C311" s="7"/>
      <c r="D311" s="6"/>
      <c r="E311" s="6"/>
    </row>
    <row r="312">
      <c r="A312" s="6"/>
      <c r="B312" s="6"/>
      <c r="C312" s="7"/>
      <c r="D312" s="6"/>
      <c r="E312" s="6"/>
    </row>
    <row r="313">
      <c r="A313" s="6"/>
      <c r="B313" s="6"/>
      <c r="C313" s="7"/>
      <c r="D313" s="6"/>
      <c r="E313" s="6"/>
    </row>
    <row r="314">
      <c r="A314" s="6"/>
      <c r="B314" s="6"/>
      <c r="C314" s="7"/>
      <c r="D314" s="6"/>
      <c r="E314" s="6"/>
    </row>
    <row r="315">
      <c r="A315" s="6"/>
      <c r="B315" s="6"/>
      <c r="C315" s="7"/>
      <c r="D315" s="6"/>
      <c r="E315" s="6"/>
    </row>
    <row r="316">
      <c r="A316" s="6"/>
      <c r="B316" s="6"/>
      <c r="C316" s="7"/>
      <c r="D316" s="6"/>
      <c r="E316" s="6"/>
    </row>
    <row r="317">
      <c r="A317" s="6"/>
      <c r="B317" s="6"/>
      <c r="C317" s="7"/>
      <c r="D317" s="6"/>
      <c r="E317" s="6"/>
    </row>
    <row r="318">
      <c r="A318" s="6"/>
      <c r="B318" s="6"/>
      <c r="C318" s="7"/>
      <c r="D318" s="6"/>
      <c r="E318" s="6"/>
    </row>
    <row r="319">
      <c r="A319" s="6"/>
      <c r="B319" s="6"/>
      <c r="C319" s="7"/>
      <c r="D319" s="6"/>
      <c r="E319" s="6"/>
    </row>
    <row r="320">
      <c r="A320" s="6"/>
      <c r="B320" s="6"/>
      <c r="C320" s="7"/>
      <c r="D320" s="6"/>
      <c r="E320" s="6"/>
    </row>
    <row r="321">
      <c r="A321" s="6"/>
      <c r="B321" s="6"/>
      <c r="C321" s="7"/>
      <c r="D321" s="6"/>
      <c r="E321" s="6"/>
    </row>
    <row r="322">
      <c r="A322" s="6"/>
      <c r="B322" s="6"/>
      <c r="C322" s="7"/>
      <c r="D322" s="6"/>
      <c r="E322" s="6"/>
    </row>
    <row r="323">
      <c r="A323" s="6"/>
      <c r="B323" s="6"/>
      <c r="C323" s="7"/>
      <c r="D323" s="6"/>
      <c r="E323" s="6"/>
    </row>
    <row r="324">
      <c r="A324" s="6"/>
      <c r="B324" s="6"/>
      <c r="C324" s="7"/>
      <c r="D324" s="6"/>
      <c r="E324" s="6"/>
    </row>
    <row r="325">
      <c r="A325" s="6"/>
      <c r="B325" s="6"/>
      <c r="C325" s="7"/>
      <c r="D325" s="6"/>
      <c r="E325" s="6"/>
    </row>
    <row r="326">
      <c r="A326" s="6"/>
      <c r="B326" s="6"/>
      <c r="C326" s="7"/>
      <c r="D326" s="6"/>
      <c r="E326" s="6"/>
    </row>
    <row r="327">
      <c r="A327" s="6"/>
      <c r="B327" s="6"/>
      <c r="C327" s="7"/>
      <c r="D327" s="6"/>
      <c r="E327" s="6"/>
    </row>
    <row r="328">
      <c r="A328" s="6"/>
      <c r="B328" s="6"/>
      <c r="C328" s="7"/>
      <c r="D328" s="6"/>
      <c r="E328" s="6"/>
    </row>
    <row r="329">
      <c r="A329" s="6"/>
      <c r="B329" s="6"/>
      <c r="C329" s="7"/>
      <c r="D329" s="6"/>
      <c r="E329" s="6"/>
    </row>
    <row r="330">
      <c r="A330" s="6"/>
      <c r="B330" s="6"/>
      <c r="C330" s="7"/>
      <c r="D330" s="6"/>
      <c r="E330" s="6"/>
    </row>
    <row r="331">
      <c r="A331" s="6"/>
      <c r="B331" s="6"/>
      <c r="C331" s="7"/>
      <c r="D331" s="6"/>
      <c r="E331" s="6"/>
    </row>
    <row r="332">
      <c r="A332" s="6"/>
      <c r="B332" s="6"/>
      <c r="C332" s="7"/>
      <c r="D332" s="6"/>
      <c r="E332" s="6"/>
    </row>
    <row r="333">
      <c r="A333" s="6"/>
      <c r="B333" s="6"/>
      <c r="C333" s="7"/>
      <c r="D333" s="6"/>
      <c r="E333" s="6"/>
    </row>
    <row r="334">
      <c r="A334" s="6"/>
      <c r="B334" s="6"/>
      <c r="C334" s="7"/>
      <c r="D334" s="6"/>
      <c r="E334" s="6"/>
    </row>
    <row r="335">
      <c r="A335" s="6"/>
      <c r="B335" s="6"/>
      <c r="C335" s="7"/>
      <c r="D335" s="6"/>
      <c r="E335" s="6"/>
    </row>
    <row r="336">
      <c r="A336" s="6"/>
      <c r="B336" s="6"/>
      <c r="C336" s="7"/>
      <c r="D336" s="6"/>
      <c r="E336" s="6"/>
    </row>
    <row r="337">
      <c r="A337" s="6"/>
      <c r="B337" s="6"/>
      <c r="C337" s="7"/>
      <c r="D337" s="6"/>
      <c r="E337" s="6"/>
    </row>
    <row r="338">
      <c r="A338" s="6"/>
      <c r="B338" s="6"/>
      <c r="C338" s="7"/>
      <c r="D338" s="6"/>
      <c r="E338" s="6"/>
    </row>
    <row r="339">
      <c r="A339" s="6"/>
      <c r="B339" s="6"/>
      <c r="C339" s="7"/>
      <c r="D339" s="6"/>
      <c r="E339" s="6"/>
    </row>
    <row r="340">
      <c r="A340" s="6"/>
      <c r="B340" s="6"/>
      <c r="C340" s="7"/>
      <c r="D340" s="6"/>
      <c r="E340" s="6"/>
    </row>
    <row r="341">
      <c r="A341" s="6"/>
      <c r="B341" s="6"/>
      <c r="C341" s="7"/>
      <c r="D341" s="6"/>
      <c r="E341" s="6"/>
    </row>
    <row r="342">
      <c r="A342" s="6"/>
      <c r="B342" s="6"/>
      <c r="C342" s="7"/>
      <c r="D342" s="6"/>
      <c r="E342" s="6"/>
    </row>
    <row r="343">
      <c r="A343" s="6"/>
      <c r="B343" s="6"/>
      <c r="C343" s="7"/>
      <c r="D343" s="6"/>
      <c r="E343" s="6"/>
    </row>
    <row r="344">
      <c r="A344" s="6"/>
      <c r="B344" s="6"/>
      <c r="C344" s="7"/>
      <c r="D344" s="6"/>
      <c r="E344" s="6"/>
    </row>
    <row r="345">
      <c r="A345" s="6"/>
      <c r="B345" s="6"/>
      <c r="C345" s="7"/>
      <c r="D345" s="6"/>
      <c r="E345" s="6"/>
    </row>
    <row r="346">
      <c r="A346" s="6"/>
      <c r="B346" s="6"/>
      <c r="C346" s="7"/>
      <c r="D346" s="6"/>
      <c r="E346" s="6"/>
    </row>
    <row r="347">
      <c r="A347" s="6"/>
      <c r="B347" s="6"/>
      <c r="C347" s="7"/>
      <c r="D347" s="6"/>
      <c r="E347" s="6"/>
    </row>
    <row r="348">
      <c r="A348" s="6"/>
      <c r="B348" s="6"/>
      <c r="C348" s="7"/>
      <c r="D348" s="6"/>
      <c r="E348" s="6"/>
    </row>
    <row r="349">
      <c r="A349" s="6"/>
      <c r="B349" s="6"/>
      <c r="C349" s="7"/>
      <c r="D349" s="6"/>
      <c r="E349" s="6"/>
    </row>
    <row r="350">
      <c r="A350" s="6"/>
      <c r="B350" s="6"/>
      <c r="C350" s="7"/>
      <c r="D350" s="6"/>
      <c r="E350" s="6"/>
    </row>
    <row r="351">
      <c r="A351" s="6"/>
      <c r="B351" s="6"/>
      <c r="C351" s="7"/>
      <c r="D351" s="6"/>
      <c r="E351" s="6"/>
    </row>
    <row r="352">
      <c r="A352" s="6"/>
      <c r="B352" s="6"/>
      <c r="C352" s="7"/>
      <c r="D352" s="6"/>
      <c r="E352" s="6"/>
    </row>
    <row r="353">
      <c r="A353" s="6"/>
      <c r="B353" s="6"/>
      <c r="C353" s="7"/>
      <c r="D353" s="6"/>
      <c r="E353" s="6"/>
    </row>
    <row r="354">
      <c r="A354" s="6"/>
      <c r="B354" s="6"/>
      <c r="C354" s="7"/>
      <c r="D354" s="6"/>
      <c r="E354" s="6"/>
    </row>
    <row r="355">
      <c r="A355" s="6"/>
      <c r="B355" s="6"/>
      <c r="C355" s="7"/>
      <c r="D355" s="6"/>
      <c r="E355" s="6"/>
    </row>
    <row r="356">
      <c r="A356" s="6"/>
      <c r="B356" s="6"/>
      <c r="C356" s="7"/>
      <c r="D356" s="6"/>
      <c r="E356" s="6"/>
    </row>
    <row r="357">
      <c r="A357" s="6"/>
      <c r="B357" s="6"/>
      <c r="C357" s="7"/>
      <c r="D357" s="6"/>
      <c r="E357" s="6"/>
    </row>
    <row r="358">
      <c r="A358" s="6"/>
      <c r="B358" s="6"/>
      <c r="C358" s="7"/>
      <c r="D358" s="6"/>
      <c r="E358" s="6"/>
    </row>
    <row r="359">
      <c r="A359" s="6"/>
      <c r="B359" s="6"/>
      <c r="C359" s="7"/>
      <c r="D359" s="6"/>
      <c r="E359" s="6"/>
    </row>
    <row r="360">
      <c r="A360" s="6"/>
      <c r="B360" s="6"/>
      <c r="C360" s="7"/>
      <c r="D360" s="6"/>
      <c r="E360" s="6"/>
    </row>
    <row r="361">
      <c r="A361" s="6"/>
      <c r="B361" s="6"/>
      <c r="C361" s="7"/>
      <c r="D361" s="6"/>
      <c r="E361" s="6"/>
    </row>
    <row r="362">
      <c r="A362" s="6"/>
      <c r="B362" s="6"/>
      <c r="C362" s="7"/>
      <c r="D362" s="6"/>
      <c r="E362" s="6"/>
    </row>
    <row r="363">
      <c r="A363" s="6"/>
      <c r="B363" s="6"/>
      <c r="C363" s="7"/>
      <c r="D363" s="6"/>
      <c r="E363" s="6"/>
    </row>
    <row r="364">
      <c r="A364" s="6"/>
      <c r="B364" s="6"/>
      <c r="C364" s="7"/>
      <c r="D364" s="6"/>
      <c r="E364" s="6"/>
    </row>
    <row r="365">
      <c r="A365" s="6"/>
      <c r="B365" s="6"/>
      <c r="C365" s="7"/>
      <c r="D365" s="6"/>
      <c r="E365" s="6"/>
    </row>
    <row r="366">
      <c r="A366" s="6"/>
      <c r="B366" s="6"/>
      <c r="C366" s="7"/>
      <c r="D366" s="6"/>
      <c r="E366" s="6"/>
    </row>
    <row r="367">
      <c r="A367" s="6"/>
      <c r="B367" s="6"/>
      <c r="C367" s="7"/>
      <c r="D367" s="6"/>
      <c r="E367" s="6"/>
    </row>
    <row r="368">
      <c r="A368" s="6"/>
      <c r="B368" s="6"/>
      <c r="C368" s="7"/>
      <c r="D368" s="6"/>
      <c r="E368" s="6"/>
    </row>
    <row r="369">
      <c r="A369" s="6"/>
      <c r="B369" s="6"/>
      <c r="C369" s="7"/>
      <c r="D369" s="6"/>
      <c r="E369" s="6"/>
    </row>
    <row r="370">
      <c r="A370" s="6"/>
      <c r="B370" s="6"/>
      <c r="C370" s="7"/>
      <c r="D370" s="6"/>
      <c r="E370" s="6"/>
    </row>
    <row r="371">
      <c r="A371" s="6"/>
      <c r="B371" s="6"/>
      <c r="C371" s="7"/>
      <c r="D371" s="6"/>
      <c r="E371" s="6"/>
    </row>
    <row r="372">
      <c r="A372" s="6"/>
      <c r="B372" s="6"/>
      <c r="C372" s="7"/>
      <c r="D372" s="6"/>
      <c r="E372" s="6"/>
    </row>
    <row r="373">
      <c r="A373" s="6"/>
      <c r="B373" s="6"/>
      <c r="C373" s="7"/>
      <c r="D373" s="6"/>
      <c r="E373" s="6"/>
    </row>
    <row r="374">
      <c r="A374" s="6"/>
      <c r="B374" s="6"/>
      <c r="C374" s="7"/>
      <c r="D374" s="6"/>
      <c r="E374" s="6"/>
    </row>
    <row r="375">
      <c r="A375" s="6"/>
      <c r="B375" s="6"/>
      <c r="C375" s="7"/>
      <c r="D375" s="6"/>
      <c r="E375" s="6"/>
    </row>
    <row r="376">
      <c r="A376" s="6"/>
      <c r="B376" s="6"/>
      <c r="C376" s="7"/>
      <c r="D376" s="6"/>
      <c r="E376" s="6"/>
    </row>
    <row r="377">
      <c r="A377" s="6"/>
      <c r="B377" s="6"/>
      <c r="C377" s="7"/>
      <c r="D377" s="6"/>
      <c r="E377" s="6"/>
    </row>
    <row r="378">
      <c r="A378" s="6"/>
      <c r="B378" s="6"/>
      <c r="C378" s="7"/>
      <c r="D378" s="6"/>
      <c r="E378" s="6"/>
    </row>
    <row r="379">
      <c r="A379" s="6"/>
      <c r="B379" s="6"/>
      <c r="C379" s="7"/>
      <c r="D379" s="6"/>
      <c r="E379" s="6"/>
    </row>
    <row r="380">
      <c r="A380" s="6"/>
      <c r="B380" s="6"/>
      <c r="C380" s="7"/>
      <c r="D380" s="6"/>
      <c r="E380" s="6"/>
    </row>
    <row r="381">
      <c r="A381" s="6"/>
      <c r="B381" s="6"/>
      <c r="C381" s="7"/>
      <c r="D381" s="6"/>
      <c r="E381" s="6"/>
    </row>
    <row r="382">
      <c r="A382" s="6"/>
      <c r="B382" s="6"/>
      <c r="C382" s="7"/>
      <c r="D382" s="6"/>
      <c r="E382" s="6"/>
    </row>
    <row r="383">
      <c r="A383" s="6"/>
      <c r="B383" s="6"/>
      <c r="C383" s="7"/>
      <c r="D383" s="6"/>
      <c r="E383" s="6"/>
    </row>
    <row r="384">
      <c r="A384" s="6"/>
      <c r="B384" s="6"/>
      <c r="C384" s="7"/>
      <c r="D384" s="6"/>
      <c r="E384" s="6"/>
    </row>
    <row r="385">
      <c r="A385" s="6"/>
      <c r="B385" s="6"/>
      <c r="C385" s="7"/>
      <c r="D385" s="6"/>
      <c r="E385" s="6"/>
    </row>
    <row r="386">
      <c r="A386" s="6"/>
      <c r="B386" s="6"/>
      <c r="C386" s="7"/>
      <c r="D386" s="6"/>
      <c r="E386" s="6"/>
    </row>
    <row r="387">
      <c r="A387" s="6"/>
      <c r="B387" s="6"/>
      <c r="C387" s="7"/>
      <c r="D387" s="6"/>
      <c r="E387" s="6"/>
    </row>
    <row r="388">
      <c r="A388" s="6"/>
      <c r="B388" s="6"/>
      <c r="C388" s="7"/>
      <c r="D388" s="6"/>
      <c r="E388" s="6"/>
    </row>
    <row r="389">
      <c r="A389" s="6"/>
      <c r="B389" s="6"/>
      <c r="C389" s="7"/>
      <c r="D389" s="6"/>
      <c r="E389" s="6"/>
    </row>
    <row r="390">
      <c r="A390" s="6"/>
      <c r="B390" s="6"/>
      <c r="C390" s="7"/>
      <c r="D390" s="6"/>
      <c r="E390" s="6"/>
    </row>
    <row r="391">
      <c r="A391" s="6"/>
      <c r="B391" s="6"/>
      <c r="C391" s="7"/>
      <c r="D391" s="6"/>
      <c r="E391" s="6"/>
    </row>
    <row r="392">
      <c r="A392" s="6"/>
      <c r="B392" s="6"/>
      <c r="C392" s="7"/>
      <c r="D392" s="6"/>
      <c r="E392" s="6"/>
    </row>
    <row r="393">
      <c r="A393" s="6"/>
      <c r="B393" s="6"/>
      <c r="C393" s="7"/>
      <c r="D393" s="6"/>
      <c r="E393" s="6"/>
    </row>
    <row r="394">
      <c r="A394" s="6"/>
      <c r="B394" s="6"/>
      <c r="C394" s="7"/>
      <c r="D394" s="6"/>
      <c r="E394" s="6"/>
    </row>
    <row r="395">
      <c r="A395" s="6"/>
      <c r="B395" s="6"/>
      <c r="C395" s="7"/>
      <c r="D395" s="6"/>
      <c r="E395" s="6"/>
    </row>
    <row r="396">
      <c r="A396" s="6"/>
      <c r="B396" s="6"/>
      <c r="C396" s="7"/>
      <c r="D396" s="6"/>
      <c r="E396" s="6"/>
    </row>
    <row r="397">
      <c r="A397" s="6"/>
      <c r="B397" s="6"/>
      <c r="C397" s="7"/>
      <c r="D397" s="6"/>
      <c r="E397" s="6"/>
    </row>
    <row r="398">
      <c r="A398" s="6"/>
      <c r="B398" s="6"/>
      <c r="C398" s="7"/>
      <c r="D398" s="6"/>
      <c r="E398" s="6"/>
    </row>
    <row r="399">
      <c r="A399" s="6"/>
      <c r="B399" s="6"/>
      <c r="C399" s="7"/>
      <c r="D399" s="6"/>
      <c r="E399" s="6"/>
    </row>
    <row r="400">
      <c r="A400" s="6"/>
      <c r="B400" s="6"/>
      <c r="C400" s="7"/>
      <c r="D400" s="6"/>
      <c r="E400" s="6"/>
    </row>
    <row r="401">
      <c r="A401" s="6"/>
      <c r="B401" s="6"/>
      <c r="C401" s="7"/>
      <c r="D401" s="6"/>
      <c r="E401" s="6"/>
    </row>
    <row r="402">
      <c r="A402" s="6"/>
      <c r="B402" s="6"/>
      <c r="C402" s="7"/>
      <c r="D402" s="6"/>
      <c r="E402" s="6"/>
    </row>
    <row r="403">
      <c r="A403" s="6"/>
      <c r="B403" s="6"/>
      <c r="C403" s="7"/>
      <c r="D403" s="6"/>
      <c r="E403" s="6"/>
    </row>
    <row r="404">
      <c r="A404" s="6"/>
      <c r="B404" s="6"/>
      <c r="C404" s="7"/>
      <c r="D404" s="6"/>
      <c r="E404" s="6"/>
    </row>
    <row r="405">
      <c r="A405" s="6"/>
      <c r="B405" s="6"/>
      <c r="C405" s="7"/>
      <c r="D405" s="6"/>
      <c r="E405" s="6"/>
    </row>
    <row r="406">
      <c r="A406" s="6"/>
      <c r="B406" s="6"/>
      <c r="C406" s="7"/>
      <c r="D406" s="6"/>
      <c r="E406" s="6"/>
    </row>
    <row r="407">
      <c r="A407" s="6"/>
      <c r="B407" s="6"/>
      <c r="C407" s="7"/>
      <c r="D407" s="6"/>
      <c r="E407" s="6"/>
    </row>
    <row r="408">
      <c r="A408" s="6"/>
      <c r="B408" s="6"/>
      <c r="C408" s="7"/>
      <c r="D408" s="6"/>
      <c r="E408" s="6"/>
    </row>
    <row r="409">
      <c r="A409" s="6"/>
      <c r="B409" s="6"/>
      <c r="C409" s="7"/>
      <c r="D409" s="6"/>
      <c r="E409" s="6"/>
    </row>
    <row r="410">
      <c r="A410" s="6"/>
      <c r="B410" s="6"/>
      <c r="C410" s="7"/>
      <c r="D410" s="6"/>
      <c r="E410" s="6"/>
    </row>
    <row r="411">
      <c r="A411" s="6"/>
      <c r="B411" s="6"/>
      <c r="C411" s="7"/>
      <c r="D411" s="6"/>
      <c r="E411" s="6"/>
    </row>
    <row r="412">
      <c r="A412" s="6"/>
      <c r="B412" s="6"/>
      <c r="C412" s="7"/>
      <c r="D412" s="6"/>
      <c r="E412" s="6"/>
    </row>
    <row r="413">
      <c r="A413" s="6"/>
      <c r="B413" s="6"/>
      <c r="C413" s="7"/>
      <c r="D413" s="6"/>
      <c r="E413" s="6"/>
    </row>
    <row r="414">
      <c r="A414" s="6"/>
      <c r="B414" s="6"/>
      <c r="C414" s="7"/>
      <c r="D414" s="6"/>
      <c r="E414" s="6"/>
    </row>
    <row r="415">
      <c r="A415" s="6"/>
      <c r="B415" s="6"/>
      <c r="C415" s="7"/>
      <c r="D415" s="6"/>
      <c r="E415" s="6"/>
    </row>
    <row r="416">
      <c r="A416" s="6"/>
      <c r="B416" s="6"/>
      <c r="C416" s="7"/>
      <c r="D416" s="6"/>
      <c r="E416" s="6"/>
    </row>
    <row r="417">
      <c r="A417" s="6"/>
      <c r="B417" s="6"/>
      <c r="C417" s="7"/>
      <c r="D417" s="6"/>
      <c r="E417" s="6"/>
    </row>
    <row r="418">
      <c r="A418" s="6"/>
      <c r="B418" s="6"/>
      <c r="C418" s="7"/>
      <c r="D418" s="6"/>
      <c r="E418" s="6"/>
    </row>
    <row r="419">
      <c r="A419" s="6"/>
      <c r="B419" s="6"/>
      <c r="C419" s="7"/>
      <c r="D419" s="6"/>
      <c r="E419" s="6"/>
    </row>
    <row r="420">
      <c r="A420" s="6"/>
      <c r="B420" s="6"/>
      <c r="C420" s="7"/>
      <c r="D420" s="6"/>
      <c r="E420" s="6"/>
    </row>
    <row r="421">
      <c r="A421" s="6"/>
      <c r="B421" s="6"/>
      <c r="C421" s="7"/>
      <c r="D421" s="6"/>
      <c r="E421" s="6"/>
    </row>
    <row r="422">
      <c r="A422" s="6"/>
      <c r="B422" s="6"/>
      <c r="C422" s="7"/>
      <c r="D422" s="6"/>
      <c r="E422" s="6"/>
    </row>
    <row r="423">
      <c r="A423" s="6"/>
      <c r="B423" s="6"/>
      <c r="C423" s="7"/>
      <c r="D423" s="6"/>
      <c r="E423" s="6"/>
    </row>
    <row r="424">
      <c r="A424" s="6"/>
      <c r="B424" s="6"/>
      <c r="C424" s="7"/>
      <c r="D424" s="6"/>
      <c r="E424" s="6"/>
    </row>
    <row r="425">
      <c r="A425" s="6"/>
      <c r="B425" s="6"/>
      <c r="C425" s="7"/>
      <c r="D425" s="6"/>
      <c r="E425" s="6"/>
    </row>
    <row r="426">
      <c r="A426" s="6"/>
      <c r="B426" s="6"/>
      <c r="C426" s="7"/>
      <c r="D426" s="6"/>
      <c r="E426" s="6"/>
    </row>
    <row r="427">
      <c r="A427" s="6"/>
      <c r="B427" s="6"/>
      <c r="C427" s="7"/>
      <c r="D427" s="6"/>
      <c r="E427" s="6"/>
    </row>
    <row r="428">
      <c r="A428" s="6"/>
      <c r="B428" s="6"/>
      <c r="C428" s="7"/>
      <c r="D428" s="6"/>
      <c r="E428" s="6"/>
    </row>
    <row r="429">
      <c r="A429" s="6"/>
      <c r="B429" s="6"/>
      <c r="C429" s="7"/>
      <c r="D429" s="6"/>
      <c r="E429" s="6"/>
    </row>
    <row r="430">
      <c r="A430" s="6"/>
      <c r="B430" s="6"/>
      <c r="C430" s="7"/>
      <c r="D430" s="6"/>
      <c r="E430" s="6"/>
    </row>
    <row r="431">
      <c r="A431" s="6"/>
      <c r="B431" s="6"/>
      <c r="C431" s="7"/>
      <c r="D431" s="6"/>
      <c r="E431" s="6"/>
    </row>
    <row r="432">
      <c r="A432" s="6"/>
      <c r="B432" s="6"/>
      <c r="C432" s="7"/>
      <c r="D432" s="6"/>
      <c r="E432" s="6"/>
    </row>
    <row r="433">
      <c r="A433" s="6"/>
      <c r="B433" s="6"/>
      <c r="C433" s="7"/>
      <c r="D433" s="6"/>
      <c r="E433" s="6"/>
    </row>
    <row r="434">
      <c r="A434" s="6"/>
      <c r="B434" s="6"/>
      <c r="C434" s="7"/>
      <c r="D434" s="6"/>
      <c r="E434" s="6"/>
    </row>
    <row r="435">
      <c r="A435" s="6"/>
      <c r="B435" s="6"/>
      <c r="C435" s="7"/>
      <c r="D435" s="6"/>
      <c r="E435" s="6"/>
    </row>
    <row r="436">
      <c r="A436" s="6"/>
      <c r="B436" s="6"/>
      <c r="C436" s="7"/>
      <c r="D436" s="6"/>
      <c r="E436" s="6"/>
    </row>
    <row r="437">
      <c r="A437" s="6"/>
      <c r="B437" s="6"/>
      <c r="C437" s="7"/>
      <c r="D437" s="6"/>
      <c r="E437" s="6"/>
    </row>
    <row r="438">
      <c r="A438" s="6"/>
      <c r="B438" s="6"/>
      <c r="C438" s="7"/>
      <c r="D438" s="6"/>
      <c r="E438" s="6"/>
    </row>
    <row r="439">
      <c r="A439" s="6"/>
      <c r="B439" s="6"/>
      <c r="C439" s="7"/>
      <c r="D439" s="6"/>
      <c r="E439" s="6"/>
    </row>
    <row r="440">
      <c r="A440" s="6"/>
      <c r="B440" s="6"/>
      <c r="C440" s="7"/>
      <c r="D440" s="6"/>
      <c r="E440" s="6"/>
    </row>
    <row r="441">
      <c r="A441" s="6"/>
      <c r="B441" s="6"/>
      <c r="C441" s="7"/>
      <c r="D441" s="6"/>
      <c r="E441" s="6"/>
    </row>
    <row r="442">
      <c r="A442" s="6"/>
      <c r="B442" s="6"/>
      <c r="C442" s="7"/>
      <c r="D442" s="6"/>
      <c r="E442" s="6"/>
    </row>
    <row r="443">
      <c r="A443" s="6"/>
      <c r="B443" s="6"/>
      <c r="C443" s="7"/>
      <c r="D443" s="6"/>
      <c r="E443" s="6"/>
    </row>
    <row r="444">
      <c r="A444" s="6"/>
      <c r="B444" s="6"/>
      <c r="C444" s="7"/>
      <c r="D444" s="6"/>
      <c r="E444" s="6"/>
    </row>
    <row r="445">
      <c r="A445" s="6"/>
      <c r="B445" s="6"/>
      <c r="C445" s="7"/>
      <c r="D445" s="6"/>
      <c r="E445" s="6"/>
    </row>
    <row r="446">
      <c r="A446" s="6"/>
      <c r="B446" s="6"/>
      <c r="C446" s="7"/>
      <c r="D446" s="6"/>
      <c r="E446" s="6"/>
    </row>
    <row r="447">
      <c r="A447" s="6"/>
      <c r="B447" s="6"/>
      <c r="C447" s="7"/>
      <c r="D447" s="6"/>
      <c r="E447" s="6"/>
    </row>
    <row r="448">
      <c r="A448" s="6"/>
      <c r="B448" s="6"/>
      <c r="C448" s="7"/>
      <c r="D448" s="6"/>
      <c r="E448" s="6"/>
    </row>
    <row r="449">
      <c r="A449" s="6"/>
      <c r="B449" s="6"/>
      <c r="C449" s="7"/>
      <c r="D449" s="6"/>
      <c r="E449" s="6"/>
    </row>
    <row r="450">
      <c r="A450" s="6"/>
      <c r="B450" s="6"/>
      <c r="C450" s="7"/>
      <c r="D450" s="6"/>
      <c r="E450" s="6"/>
    </row>
    <row r="451">
      <c r="A451" s="6"/>
      <c r="B451" s="6"/>
      <c r="C451" s="7"/>
      <c r="D451" s="6"/>
      <c r="E451" s="6"/>
    </row>
    <row r="452">
      <c r="A452" s="6"/>
      <c r="B452" s="6"/>
      <c r="C452" s="7"/>
      <c r="D452" s="6"/>
      <c r="E452" s="6"/>
    </row>
    <row r="453">
      <c r="A453" s="6"/>
      <c r="B453" s="6"/>
      <c r="C453" s="7"/>
      <c r="D453" s="6"/>
      <c r="E453" s="6"/>
    </row>
    <row r="454">
      <c r="A454" s="6"/>
      <c r="B454" s="6"/>
      <c r="C454" s="7"/>
      <c r="D454" s="6"/>
      <c r="E454" s="6"/>
    </row>
    <row r="455">
      <c r="A455" s="6"/>
      <c r="B455" s="6"/>
      <c r="C455" s="7"/>
      <c r="D455" s="6"/>
      <c r="E455" s="6"/>
    </row>
    <row r="456">
      <c r="A456" s="6"/>
      <c r="B456" s="6"/>
      <c r="C456" s="7"/>
      <c r="D456" s="6"/>
      <c r="E456" s="6"/>
    </row>
    <row r="457">
      <c r="A457" s="6"/>
      <c r="B457" s="6"/>
      <c r="C457" s="7"/>
      <c r="D457" s="6"/>
      <c r="E457" s="6"/>
    </row>
    <row r="458">
      <c r="A458" s="6"/>
      <c r="B458" s="6"/>
      <c r="C458" s="7"/>
      <c r="D458" s="6"/>
      <c r="E458" s="6"/>
    </row>
    <row r="459">
      <c r="A459" s="6"/>
      <c r="B459" s="6"/>
      <c r="C459" s="7"/>
      <c r="D459" s="6"/>
      <c r="E459" s="6"/>
    </row>
    <row r="460">
      <c r="A460" s="6"/>
      <c r="B460" s="6"/>
      <c r="C460" s="7"/>
      <c r="D460" s="6"/>
      <c r="E460" s="6"/>
    </row>
    <row r="461">
      <c r="A461" s="6"/>
      <c r="B461" s="6"/>
      <c r="C461" s="7"/>
      <c r="D461" s="6"/>
      <c r="E461" s="6"/>
    </row>
    <row r="462">
      <c r="A462" s="6"/>
      <c r="B462" s="6"/>
      <c r="C462" s="7"/>
      <c r="D462" s="6"/>
      <c r="E462" s="6"/>
    </row>
    <row r="463">
      <c r="A463" s="6"/>
      <c r="B463" s="6"/>
      <c r="C463" s="7"/>
      <c r="D463" s="6"/>
      <c r="E463" s="6"/>
    </row>
    <row r="464">
      <c r="A464" s="6"/>
      <c r="B464" s="6"/>
      <c r="C464" s="7"/>
      <c r="D464" s="6"/>
      <c r="E464" s="6"/>
    </row>
    <row r="465">
      <c r="A465" s="6"/>
      <c r="B465" s="6"/>
      <c r="C465" s="7"/>
      <c r="D465" s="6"/>
      <c r="E465" s="6"/>
    </row>
    <row r="466">
      <c r="A466" s="6"/>
      <c r="B466" s="6"/>
      <c r="C466" s="7"/>
      <c r="D466" s="6"/>
      <c r="E466" s="6"/>
    </row>
    <row r="467">
      <c r="A467" s="6"/>
      <c r="B467" s="6"/>
      <c r="C467" s="7"/>
      <c r="D467" s="6"/>
      <c r="E467" s="6"/>
    </row>
    <row r="468">
      <c r="A468" s="6"/>
      <c r="B468" s="6"/>
      <c r="C468" s="7"/>
      <c r="D468" s="6"/>
      <c r="E468" s="6"/>
    </row>
    <row r="469">
      <c r="A469" s="6"/>
      <c r="B469" s="6"/>
      <c r="C469" s="7"/>
      <c r="D469" s="6"/>
      <c r="E469" s="6"/>
    </row>
    <row r="470">
      <c r="A470" s="6"/>
      <c r="B470" s="6"/>
      <c r="C470" s="7"/>
      <c r="D470" s="6"/>
      <c r="E470" s="6"/>
    </row>
    <row r="471">
      <c r="A471" s="6"/>
      <c r="B471" s="6"/>
      <c r="C471" s="7"/>
      <c r="D471" s="6"/>
      <c r="E471" s="6"/>
    </row>
    <row r="472">
      <c r="A472" s="6"/>
      <c r="B472" s="6"/>
      <c r="C472" s="7"/>
      <c r="D472" s="6"/>
      <c r="E472" s="6"/>
    </row>
    <row r="473">
      <c r="A473" s="6"/>
      <c r="B473" s="6"/>
      <c r="C473" s="7"/>
      <c r="D473" s="6"/>
      <c r="E473" s="6"/>
    </row>
    <row r="474">
      <c r="A474" s="6"/>
      <c r="B474" s="6"/>
      <c r="C474" s="7"/>
      <c r="D474" s="6"/>
      <c r="E474" s="6"/>
    </row>
    <row r="475">
      <c r="A475" s="6"/>
      <c r="B475" s="6"/>
      <c r="C475" s="7"/>
      <c r="D475" s="6"/>
      <c r="E475" s="6"/>
    </row>
    <row r="476">
      <c r="A476" s="6"/>
      <c r="B476" s="6"/>
      <c r="C476" s="7"/>
      <c r="D476" s="6"/>
      <c r="E476" s="6"/>
    </row>
    <row r="477">
      <c r="A477" s="6"/>
      <c r="B477" s="6"/>
      <c r="C477" s="7"/>
      <c r="D477" s="6"/>
      <c r="E477" s="6"/>
    </row>
    <row r="478">
      <c r="A478" s="6"/>
      <c r="B478" s="6"/>
      <c r="C478" s="7"/>
      <c r="D478" s="6"/>
      <c r="E478" s="6"/>
    </row>
    <row r="479">
      <c r="A479" s="6"/>
      <c r="B479" s="6"/>
      <c r="C479" s="7"/>
      <c r="D479" s="6"/>
      <c r="E479" s="6"/>
    </row>
    <row r="480">
      <c r="A480" s="6"/>
      <c r="B480" s="6"/>
      <c r="C480" s="7"/>
      <c r="D480" s="6"/>
      <c r="E480" s="6"/>
    </row>
    <row r="481">
      <c r="A481" s="6"/>
      <c r="B481" s="6"/>
      <c r="C481" s="7"/>
      <c r="D481" s="6"/>
      <c r="E481" s="6"/>
    </row>
    <row r="482">
      <c r="A482" s="6"/>
      <c r="B482" s="6"/>
      <c r="C482" s="7"/>
      <c r="D482" s="6"/>
      <c r="E482" s="6"/>
    </row>
    <row r="483">
      <c r="A483" s="6"/>
      <c r="B483" s="6"/>
      <c r="C483" s="7"/>
      <c r="D483" s="6"/>
      <c r="E483" s="6"/>
    </row>
    <row r="484">
      <c r="A484" s="6"/>
      <c r="B484" s="6"/>
      <c r="C484" s="7"/>
      <c r="D484" s="6"/>
      <c r="E484" s="6"/>
    </row>
    <row r="485">
      <c r="A485" s="6"/>
      <c r="B485" s="6"/>
      <c r="C485" s="7"/>
      <c r="D485" s="6"/>
      <c r="E485" s="6"/>
    </row>
    <row r="486">
      <c r="A486" s="6"/>
      <c r="B486" s="6"/>
      <c r="C486" s="7"/>
      <c r="D486" s="6"/>
      <c r="E486" s="6"/>
    </row>
    <row r="487">
      <c r="A487" s="6"/>
      <c r="B487" s="6"/>
      <c r="C487" s="7"/>
      <c r="D487" s="6"/>
      <c r="E487" s="6"/>
    </row>
    <row r="488">
      <c r="A488" s="6"/>
      <c r="B488" s="6"/>
      <c r="C488" s="7"/>
      <c r="D488" s="6"/>
      <c r="E488" s="6"/>
    </row>
    <row r="489">
      <c r="A489" s="6"/>
      <c r="B489" s="6"/>
      <c r="C489" s="7"/>
      <c r="D489" s="6"/>
      <c r="E489" s="6"/>
    </row>
    <row r="490">
      <c r="A490" s="6"/>
      <c r="B490" s="6"/>
      <c r="C490" s="7"/>
      <c r="D490" s="6"/>
      <c r="E490" s="6"/>
    </row>
    <row r="491">
      <c r="A491" s="6"/>
      <c r="B491" s="6"/>
      <c r="C491" s="7"/>
      <c r="D491" s="6"/>
      <c r="E491" s="6"/>
    </row>
    <row r="492">
      <c r="A492" s="6"/>
      <c r="B492" s="6"/>
      <c r="C492" s="7"/>
      <c r="D492" s="6"/>
      <c r="E492" s="6"/>
    </row>
    <row r="493">
      <c r="A493" s="6"/>
      <c r="B493" s="6"/>
      <c r="C493" s="7"/>
      <c r="D493" s="6"/>
      <c r="E493" s="6"/>
    </row>
    <row r="494">
      <c r="A494" s="6"/>
      <c r="B494" s="6"/>
      <c r="C494" s="7"/>
      <c r="D494" s="6"/>
      <c r="E494" s="6"/>
    </row>
    <row r="495">
      <c r="A495" s="6"/>
      <c r="B495" s="6"/>
      <c r="C495" s="7"/>
      <c r="D495" s="6"/>
      <c r="E495" s="6"/>
    </row>
    <row r="496">
      <c r="A496" s="6"/>
      <c r="B496" s="6"/>
      <c r="C496" s="7"/>
      <c r="D496" s="6"/>
      <c r="E496" s="6"/>
    </row>
    <row r="497">
      <c r="A497" s="6"/>
      <c r="B497" s="6"/>
      <c r="C497" s="7"/>
      <c r="D497" s="6"/>
      <c r="E497" s="6"/>
    </row>
    <row r="498">
      <c r="A498" s="6"/>
      <c r="B498" s="6"/>
      <c r="C498" s="7"/>
      <c r="D498" s="6"/>
      <c r="E498" s="6"/>
    </row>
    <row r="499">
      <c r="A499" s="6"/>
      <c r="B499" s="6"/>
      <c r="C499" s="7"/>
      <c r="D499" s="6"/>
      <c r="E499" s="6"/>
    </row>
    <row r="500">
      <c r="A500" s="6"/>
      <c r="B500" s="6"/>
      <c r="C500" s="7"/>
      <c r="D500" s="6"/>
      <c r="E500" s="6"/>
    </row>
    <row r="501">
      <c r="A501" s="6"/>
      <c r="B501" s="6"/>
      <c r="C501" s="7"/>
      <c r="D501" s="6"/>
      <c r="E501" s="6"/>
    </row>
    <row r="502">
      <c r="A502" s="6"/>
      <c r="B502" s="6"/>
      <c r="C502" s="7"/>
      <c r="D502" s="6"/>
      <c r="E502" s="6"/>
    </row>
    <row r="503">
      <c r="A503" s="6"/>
      <c r="B503" s="6"/>
      <c r="C503" s="7"/>
      <c r="D503" s="6"/>
      <c r="E503" s="6"/>
    </row>
    <row r="504">
      <c r="A504" s="6"/>
      <c r="B504" s="6"/>
      <c r="C504" s="7"/>
      <c r="D504" s="6"/>
      <c r="E504" s="6"/>
    </row>
    <row r="505">
      <c r="A505" s="6"/>
      <c r="B505" s="6"/>
      <c r="C505" s="7"/>
      <c r="D505" s="6"/>
      <c r="E505" s="6"/>
    </row>
    <row r="506">
      <c r="A506" s="6"/>
      <c r="B506" s="6"/>
      <c r="C506" s="7"/>
      <c r="D506" s="6"/>
      <c r="E506" s="6"/>
    </row>
    <row r="507">
      <c r="A507" s="6"/>
      <c r="B507" s="6"/>
      <c r="C507" s="7"/>
      <c r="D507" s="6"/>
      <c r="E507" s="6"/>
    </row>
    <row r="508">
      <c r="A508" s="6"/>
      <c r="B508" s="6"/>
      <c r="C508" s="7"/>
      <c r="D508" s="6"/>
      <c r="E508" s="6"/>
    </row>
    <row r="509">
      <c r="A509" s="6"/>
      <c r="B509" s="6"/>
      <c r="C509" s="7"/>
      <c r="D509" s="6"/>
      <c r="E509" s="6"/>
    </row>
    <row r="510">
      <c r="A510" s="6"/>
      <c r="B510" s="6"/>
      <c r="C510" s="7"/>
      <c r="D510" s="6"/>
      <c r="E510" s="6"/>
    </row>
    <row r="511">
      <c r="A511" s="6"/>
      <c r="B511" s="6"/>
      <c r="C511" s="7"/>
      <c r="D511" s="6"/>
      <c r="E511" s="6"/>
    </row>
    <row r="512">
      <c r="A512" s="6"/>
      <c r="B512" s="6"/>
      <c r="C512" s="7"/>
      <c r="D512" s="6"/>
      <c r="E512" s="6"/>
    </row>
    <row r="513">
      <c r="A513" s="6"/>
      <c r="B513" s="6"/>
      <c r="C513" s="7"/>
      <c r="D513" s="6"/>
      <c r="E513" s="6"/>
    </row>
    <row r="514">
      <c r="A514" s="6"/>
      <c r="B514" s="6"/>
      <c r="C514" s="7"/>
      <c r="D514" s="6"/>
      <c r="E514" s="6"/>
    </row>
    <row r="515">
      <c r="A515" s="6"/>
      <c r="B515" s="6"/>
      <c r="C515" s="7"/>
      <c r="D515" s="6"/>
      <c r="E515" s="6"/>
    </row>
    <row r="516">
      <c r="A516" s="6"/>
      <c r="B516" s="6"/>
      <c r="C516" s="7"/>
      <c r="D516" s="6"/>
      <c r="E516" s="6"/>
    </row>
    <row r="517">
      <c r="A517" s="6"/>
      <c r="B517" s="6"/>
      <c r="C517" s="7"/>
      <c r="D517" s="6"/>
      <c r="E517" s="6"/>
    </row>
    <row r="518">
      <c r="A518" s="6"/>
      <c r="B518" s="6"/>
      <c r="C518" s="7"/>
      <c r="D518" s="6"/>
      <c r="E518" s="6"/>
    </row>
    <row r="519">
      <c r="A519" s="6"/>
      <c r="B519" s="6"/>
      <c r="C519" s="7"/>
      <c r="D519" s="6"/>
      <c r="E519" s="6"/>
    </row>
    <row r="520">
      <c r="A520" s="6"/>
      <c r="B520" s="6"/>
      <c r="C520" s="7"/>
      <c r="D520" s="6"/>
      <c r="E520" s="6"/>
    </row>
    <row r="521">
      <c r="A521" s="6"/>
      <c r="B521" s="6"/>
      <c r="C521" s="7"/>
      <c r="D521" s="6"/>
      <c r="E521" s="6"/>
    </row>
    <row r="522">
      <c r="A522" s="6"/>
      <c r="B522" s="6"/>
      <c r="C522" s="7"/>
      <c r="D522" s="6"/>
      <c r="E522" s="6"/>
    </row>
    <row r="523">
      <c r="A523" s="6"/>
      <c r="B523" s="6"/>
      <c r="C523" s="7"/>
      <c r="D523" s="6"/>
      <c r="E523" s="6"/>
    </row>
    <row r="524">
      <c r="A524" s="6"/>
      <c r="B524" s="6"/>
      <c r="C524" s="7"/>
      <c r="D524" s="6"/>
      <c r="E524" s="6"/>
    </row>
    <row r="525">
      <c r="A525" s="6"/>
      <c r="B525" s="6"/>
      <c r="C525" s="7"/>
      <c r="D525" s="6"/>
      <c r="E525" s="6"/>
    </row>
    <row r="526">
      <c r="A526" s="6"/>
      <c r="B526" s="6"/>
      <c r="C526" s="7"/>
      <c r="D526" s="6"/>
      <c r="E526" s="6"/>
    </row>
    <row r="527">
      <c r="A527" s="6"/>
      <c r="B527" s="6"/>
      <c r="C527" s="7"/>
      <c r="D527" s="6"/>
      <c r="E527" s="6"/>
    </row>
    <row r="528">
      <c r="A528" s="6"/>
      <c r="B528" s="6"/>
      <c r="C528" s="7"/>
      <c r="D528" s="6"/>
      <c r="E528" s="6"/>
    </row>
    <row r="529">
      <c r="A529" s="6"/>
      <c r="B529" s="6"/>
      <c r="C529" s="7"/>
      <c r="D529" s="6"/>
      <c r="E529" s="6"/>
    </row>
    <row r="530">
      <c r="A530" s="6"/>
      <c r="B530" s="6"/>
      <c r="C530" s="7"/>
      <c r="D530" s="6"/>
      <c r="E530" s="6"/>
    </row>
    <row r="531">
      <c r="A531" s="6"/>
      <c r="B531" s="6"/>
      <c r="C531" s="7"/>
      <c r="D531" s="6"/>
      <c r="E531" s="6"/>
    </row>
    <row r="532">
      <c r="A532" s="6"/>
      <c r="B532" s="6"/>
      <c r="C532" s="7"/>
      <c r="D532" s="6"/>
      <c r="E532" s="6"/>
    </row>
    <row r="533">
      <c r="A533" s="6"/>
      <c r="B533" s="6"/>
      <c r="C533" s="7"/>
      <c r="D533" s="6"/>
      <c r="E533" s="6"/>
    </row>
    <row r="534">
      <c r="A534" s="6"/>
      <c r="B534" s="6"/>
      <c r="C534" s="7"/>
      <c r="D534" s="6"/>
      <c r="E534" s="6"/>
    </row>
    <row r="535">
      <c r="A535" s="6"/>
      <c r="B535" s="6"/>
      <c r="C535" s="7"/>
      <c r="D535" s="6"/>
      <c r="E535" s="6"/>
    </row>
    <row r="536">
      <c r="A536" s="6"/>
      <c r="B536" s="6"/>
      <c r="C536" s="7"/>
      <c r="D536" s="6"/>
      <c r="E536" s="6"/>
    </row>
    <row r="537">
      <c r="A537" s="6"/>
      <c r="B537" s="6"/>
      <c r="C537" s="7"/>
      <c r="D537" s="6"/>
      <c r="E537" s="6"/>
    </row>
    <row r="538">
      <c r="A538" s="6"/>
      <c r="B538" s="6"/>
      <c r="C538" s="7"/>
      <c r="D538" s="6"/>
      <c r="E538" s="6"/>
    </row>
    <row r="539">
      <c r="A539" s="6"/>
      <c r="B539" s="6"/>
      <c r="C539" s="7"/>
      <c r="D539" s="6"/>
      <c r="E539" s="6"/>
    </row>
    <row r="540">
      <c r="A540" s="6"/>
      <c r="B540" s="6"/>
      <c r="C540" s="7"/>
      <c r="D540" s="6"/>
      <c r="E540" s="6"/>
    </row>
    <row r="541">
      <c r="A541" s="6"/>
      <c r="B541" s="6"/>
      <c r="C541" s="7"/>
      <c r="D541" s="6"/>
      <c r="E541" s="6"/>
    </row>
    <row r="542">
      <c r="A542" s="6"/>
      <c r="B542" s="6"/>
      <c r="C542" s="7"/>
      <c r="D542" s="6"/>
      <c r="E542" s="6"/>
    </row>
    <row r="543">
      <c r="A543" s="6"/>
      <c r="B543" s="6"/>
      <c r="C543" s="7"/>
      <c r="D543" s="6"/>
      <c r="E543" s="6"/>
    </row>
    <row r="544">
      <c r="A544" s="6"/>
      <c r="B544" s="6"/>
      <c r="C544" s="7"/>
      <c r="D544" s="6"/>
      <c r="E544" s="6"/>
    </row>
    <row r="545">
      <c r="A545" s="6"/>
      <c r="B545" s="6"/>
      <c r="C545" s="7"/>
      <c r="D545" s="6"/>
      <c r="E545" s="6"/>
    </row>
    <row r="546">
      <c r="A546" s="6"/>
      <c r="B546" s="6"/>
      <c r="C546" s="7"/>
      <c r="D546" s="6"/>
      <c r="E546" s="6"/>
    </row>
    <row r="547">
      <c r="A547" s="6"/>
      <c r="B547" s="6"/>
      <c r="C547" s="7"/>
      <c r="D547" s="6"/>
      <c r="E547" s="6"/>
    </row>
    <row r="548">
      <c r="A548" s="6"/>
      <c r="B548" s="6"/>
      <c r="C548" s="7"/>
      <c r="D548" s="6"/>
      <c r="E548" s="6"/>
    </row>
    <row r="549">
      <c r="A549" s="6"/>
      <c r="B549" s="6"/>
      <c r="C549" s="7"/>
      <c r="D549" s="6"/>
      <c r="E549" s="6"/>
    </row>
    <row r="550">
      <c r="A550" s="6"/>
      <c r="B550" s="6"/>
      <c r="C550" s="7"/>
      <c r="D550" s="6"/>
      <c r="E550" s="6"/>
    </row>
    <row r="551">
      <c r="A551" s="6"/>
      <c r="B551" s="6"/>
      <c r="C551" s="7"/>
      <c r="D551" s="6"/>
      <c r="E551" s="6"/>
    </row>
    <row r="552">
      <c r="A552" s="6"/>
      <c r="B552" s="6"/>
      <c r="C552" s="7"/>
      <c r="D552" s="6"/>
      <c r="E552" s="6"/>
    </row>
    <row r="553">
      <c r="A553" s="6"/>
      <c r="B553" s="6"/>
      <c r="C553" s="7"/>
      <c r="D553" s="6"/>
      <c r="E553" s="6"/>
    </row>
    <row r="554">
      <c r="A554" s="6"/>
      <c r="B554" s="6"/>
      <c r="C554" s="7"/>
      <c r="D554" s="6"/>
      <c r="E554" s="6"/>
    </row>
    <row r="555">
      <c r="A555" s="6"/>
      <c r="B555" s="6"/>
      <c r="C555" s="7"/>
      <c r="D555" s="6"/>
      <c r="E555" s="6"/>
    </row>
    <row r="556">
      <c r="A556" s="6"/>
      <c r="B556" s="6"/>
      <c r="C556" s="7"/>
      <c r="D556" s="6"/>
      <c r="E556" s="6"/>
    </row>
    <row r="557">
      <c r="A557" s="6"/>
      <c r="B557" s="6"/>
      <c r="C557" s="7"/>
      <c r="D557" s="6"/>
      <c r="E557" s="6"/>
    </row>
    <row r="558">
      <c r="A558" s="6"/>
      <c r="B558" s="6"/>
      <c r="C558" s="7"/>
      <c r="D558" s="6"/>
      <c r="E558" s="6"/>
    </row>
    <row r="559">
      <c r="A559" s="6"/>
      <c r="B559" s="6"/>
      <c r="C559" s="7"/>
      <c r="D559" s="6"/>
      <c r="E559" s="6"/>
    </row>
    <row r="560">
      <c r="A560" s="6"/>
      <c r="B560" s="6"/>
      <c r="C560" s="7"/>
      <c r="D560" s="6"/>
      <c r="E560" s="6"/>
    </row>
    <row r="561">
      <c r="A561" s="6"/>
      <c r="B561" s="6"/>
      <c r="C561" s="7"/>
      <c r="D561" s="6"/>
      <c r="E561" s="6"/>
    </row>
    <row r="562">
      <c r="A562" s="6"/>
      <c r="B562" s="6"/>
      <c r="C562" s="7"/>
      <c r="D562" s="6"/>
      <c r="E562" s="6"/>
    </row>
    <row r="563">
      <c r="A563" s="6"/>
      <c r="B563" s="6"/>
      <c r="C563" s="7"/>
      <c r="D563" s="6"/>
      <c r="E563" s="6"/>
    </row>
    <row r="564">
      <c r="A564" s="6"/>
      <c r="B564" s="6"/>
      <c r="C564" s="7"/>
      <c r="D564" s="6"/>
      <c r="E564" s="6"/>
    </row>
    <row r="565">
      <c r="A565" s="6"/>
      <c r="B565" s="6"/>
      <c r="C565" s="7"/>
      <c r="D565" s="6"/>
      <c r="E565" s="6"/>
    </row>
    <row r="566">
      <c r="A566" s="6"/>
      <c r="B566" s="6"/>
      <c r="C566" s="7"/>
      <c r="D566" s="6"/>
      <c r="E566" s="6"/>
    </row>
    <row r="567">
      <c r="A567" s="6"/>
      <c r="B567" s="6"/>
      <c r="C567" s="7"/>
      <c r="D567" s="6"/>
      <c r="E567" s="6"/>
    </row>
    <row r="568">
      <c r="A568" s="6"/>
      <c r="B568" s="6"/>
      <c r="C568" s="7"/>
      <c r="D568" s="6"/>
      <c r="E568" s="6"/>
    </row>
    <row r="569">
      <c r="A569" s="6"/>
      <c r="B569" s="6"/>
      <c r="C569" s="7"/>
      <c r="D569" s="6"/>
      <c r="E569" s="6"/>
    </row>
    <row r="570">
      <c r="A570" s="6"/>
      <c r="B570" s="6"/>
      <c r="C570" s="7"/>
      <c r="D570" s="6"/>
      <c r="E570" s="6"/>
    </row>
    <row r="571">
      <c r="A571" s="6"/>
      <c r="B571" s="6"/>
      <c r="C571" s="7"/>
      <c r="D571" s="6"/>
      <c r="E571" s="6"/>
    </row>
    <row r="572">
      <c r="A572" s="6"/>
      <c r="B572" s="6"/>
      <c r="C572" s="7"/>
      <c r="D572" s="6"/>
      <c r="E572" s="6"/>
    </row>
    <row r="573">
      <c r="A573" s="6"/>
      <c r="B573" s="6"/>
      <c r="C573" s="7"/>
      <c r="D573" s="6"/>
      <c r="E573" s="6"/>
    </row>
    <row r="574">
      <c r="A574" s="6"/>
      <c r="B574" s="6"/>
      <c r="C574" s="7"/>
      <c r="D574" s="6"/>
      <c r="E574" s="6"/>
    </row>
    <row r="575">
      <c r="A575" s="6"/>
      <c r="B575" s="6"/>
      <c r="C575" s="7"/>
      <c r="D575" s="6"/>
      <c r="E575" s="6"/>
    </row>
    <row r="576">
      <c r="A576" s="6"/>
      <c r="B576" s="6"/>
      <c r="C576" s="7"/>
      <c r="D576" s="6"/>
      <c r="E576" s="6"/>
    </row>
    <row r="577">
      <c r="A577" s="6"/>
      <c r="B577" s="6"/>
      <c r="C577" s="7"/>
      <c r="D577" s="6"/>
      <c r="E577" s="6"/>
    </row>
    <row r="578">
      <c r="A578" s="6"/>
      <c r="B578" s="6"/>
      <c r="C578" s="7"/>
      <c r="D578" s="6"/>
      <c r="E578" s="6"/>
    </row>
    <row r="579">
      <c r="A579" s="6"/>
      <c r="B579" s="6"/>
      <c r="C579" s="7"/>
      <c r="D579" s="6"/>
      <c r="E579" s="6"/>
    </row>
    <row r="580">
      <c r="A580" s="6"/>
      <c r="B580" s="6"/>
      <c r="C580" s="7"/>
      <c r="D580" s="6"/>
      <c r="E580" s="6"/>
    </row>
    <row r="581">
      <c r="A581" s="6"/>
      <c r="B581" s="6"/>
      <c r="C581" s="7"/>
      <c r="D581" s="6"/>
      <c r="E581" s="6"/>
    </row>
    <row r="582">
      <c r="A582" s="6"/>
      <c r="B582" s="6"/>
      <c r="C582" s="7"/>
      <c r="D582" s="6"/>
      <c r="E582" s="6"/>
    </row>
    <row r="583">
      <c r="A583" s="6"/>
      <c r="B583" s="6"/>
      <c r="C583" s="7"/>
      <c r="D583" s="6"/>
      <c r="E583" s="6"/>
    </row>
    <row r="584">
      <c r="A584" s="6"/>
      <c r="B584" s="6"/>
      <c r="C584" s="7"/>
      <c r="D584" s="6"/>
      <c r="E584" s="6"/>
    </row>
    <row r="585">
      <c r="A585" s="6"/>
      <c r="B585" s="6"/>
      <c r="C585" s="7"/>
      <c r="D585" s="6"/>
      <c r="E585" s="6"/>
    </row>
    <row r="586">
      <c r="A586" s="6"/>
      <c r="B586" s="6"/>
      <c r="C586" s="7"/>
      <c r="D586" s="6"/>
      <c r="E586" s="6"/>
    </row>
    <row r="587">
      <c r="A587" s="6"/>
      <c r="B587" s="6"/>
      <c r="C587" s="7"/>
      <c r="D587" s="6"/>
      <c r="E587" s="6"/>
    </row>
    <row r="588">
      <c r="A588" s="6"/>
      <c r="B588" s="6"/>
      <c r="C588" s="7"/>
      <c r="D588" s="6"/>
      <c r="E588" s="6"/>
    </row>
    <row r="589">
      <c r="A589" s="6"/>
      <c r="B589" s="6"/>
      <c r="C589" s="7"/>
      <c r="D589" s="6"/>
      <c r="E589" s="6"/>
    </row>
    <row r="590">
      <c r="A590" s="6"/>
      <c r="B590" s="6"/>
      <c r="C590" s="7"/>
      <c r="D590" s="6"/>
      <c r="E590" s="6"/>
    </row>
    <row r="591">
      <c r="A591" s="6"/>
      <c r="B591" s="6"/>
      <c r="C591" s="7"/>
      <c r="D591" s="6"/>
      <c r="E591" s="6"/>
    </row>
    <row r="592">
      <c r="A592" s="6"/>
      <c r="B592" s="6"/>
      <c r="C592" s="7"/>
      <c r="D592" s="6"/>
      <c r="E592" s="6"/>
    </row>
    <row r="593">
      <c r="A593" s="6"/>
      <c r="B593" s="6"/>
      <c r="C593" s="7"/>
      <c r="D593" s="6"/>
      <c r="E593" s="6"/>
    </row>
    <row r="594">
      <c r="A594" s="6"/>
      <c r="B594" s="6"/>
      <c r="C594" s="7"/>
      <c r="D594" s="6"/>
      <c r="E594" s="6"/>
    </row>
    <row r="595">
      <c r="A595" s="6"/>
      <c r="B595" s="6"/>
      <c r="C595" s="7"/>
      <c r="D595" s="6"/>
      <c r="E595" s="6"/>
    </row>
    <row r="596">
      <c r="A596" s="6"/>
      <c r="B596" s="6"/>
      <c r="C596" s="7"/>
      <c r="D596" s="6"/>
      <c r="E596" s="6"/>
    </row>
    <row r="597">
      <c r="A597" s="6"/>
      <c r="B597" s="6"/>
      <c r="C597" s="7"/>
      <c r="D597" s="6"/>
      <c r="E597" s="6"/>
    </row>
    <row r="598">
      <c r="A598" s="6"/>
      <c r="B598" s="6"/>
      <c r="C598" s="7"/>
      <c r="D598" s="6"/>
      <c r="E598" s="6"/>
    </row>
    <row r="599">
      <c r="A599" s="6"/>
      <c r="B599" s="6"/>
      <c r="C599" s="7"/>
      <c r="D599" s="6"/>
      <c r="E599" s="6"/>
    </row>
    <row r="600">
      <c r="A600" s="6"/>
      <c r="B600" s="6"/>
      <c r="C600" s="7"/>
      <c r="D600" s="6"/>
      <c r="E600" s="6"/>
    </row>
    <row r="601">
      <c r="A601" s="6"/>
      <c r="B601" s="6"/>
      <c r="C601" s="7"/>
      <c r="D601" s="6"/>
      <c r="E601" s="6"/>
    </row>
    <row r="602">
      <c r="A602" s="6"/>
      <c r="B602" s="6"/>
      <c r="C602" s="7"/>
      <c r="D602" s="6"/>
      <c r="E602" s="6"/>
    </row>
    <row r="603">
      <c r="A603" s="6"/>
      <c r="B603" s="6"/>
      <c r="C603" s="7"/>
      <c r="D603" s="6"/>
      <c r="E603" s="6"/>
    </row>
    <row r="604">
      <c r="A604" s="6"/>
      <c r="B604" s="6"/>
      <c r="C604" s="7"/>
      <c r="D604" s="6"/>
      <c r="E604" s="6"/>
    </row>
    <row r="605">
      <c r="A605" s="6"/>
      <c r="B605" s="6"/>
      <c r="C605" s="7"/>
      <c r="D605" s="6"/>
      <c r="E605" s="6"/>
    </row>
    <row r="606">
      <c r="A606" s="6"/>
      <c r="B606" s="6"/>
      <c r="C606" s="7"/>
      <c r="D606" s="6"/>
      <c r="E606" s="6"/>
    </row>
    <row r="607">
      <c r="A607" s="6"/>
      <c r="B607" s="6"/>
      <c r="C607" s="7"/>
      <c r="D607" s="6"/>
      <c r="E607" s="6"/>
    </row>
    <row r="608">
      <c r="A608" s="6"/>
      <c r="B608" s="6"/>
      <c r="C608" s="7"/>
      <c r="D608" s="6"/>
      <c r="E608" s="6"/>
    </row>
    <row r="609">
      <c r="A609" s="6"/>
      <c r="B609" s="6"/>
      <c r="C609" s="7"/>
      <c r="D609" s="6"/>
      <c r="E609" s="6"/>
    </row>
    <row r="610">
      <c r="A610" s="6"/>
      <c r="B610" s="6"/>
      <c r="C610" s="7"/>
      <c r="D610" s="6"/>
      <c r="E610" s="6"/>
    </row>
    <row r="611">
      <c r="A611" s="6"/>
      <c r="B611" s="6"/>
      <c r="C611" s="7"/>
      <c r="D611" s="6"/>
      <c r="E611" s="6"/>
    </row>
    <row r="612">
      <c r="A612" s="6"/>
      <c r="B612" s="6"/>
      <c r="C612" s="7"/>
      <c r="D612" s="6"/>
      <c r="E612" s="6"/>
    </row>
    <row r="613">
      <c r="A613" s="6"/>
      <c r="B613" s="6"/>
      <c r="C613" s="7"/>
      <c r="D613" s="6"/>
      <c r="E613" s="6"/>
    </row>
    <row r="614">
      <c r="A614" s="6"/>
      <c r="B614" s="6"/>
      <c r="C614" s="7"/>
      <c r="D614" s="6"/>
      <c r="E614" s="6"/>
    </row>
    <row r="615">
      <c r="A615" s="6"/>
      <c r="B615" s="6"/>
      <c r="C615" s="7"/>
      <c r="D615" s="6"/>
      <c r="E615" s="6"/>
    </row>
    <row r="616">
      <c r="A616" s="6"/>
      <c r="B616" s="6"/>
      <c r="C616" s="7"/>
      <c r="D616" s="6"/>
      <c r="E616" s="6"/>
    </row>
    <row r="617">
      <c r="A617" s="6"/>
      <c r="B617" s="6"/>
      <c r="C617" s="7"/>
      <c r="D617" s="6"/>
      <c r="E617" s="6"/>
    </row>
    <row r="618">
      <c r="A618" s="6"/>
      <c r="B618" s="6"/>
      <c r="C618" s="7"/>
      <c r="D618" s="6"/>
      <c r="E618" s="6"/>
    </row>
    <row r="619">
      <c r="A619" s="6"/>
      <c r="B619" s="6"/>
      <c r="C619" s="7"/>
      <c r="D619" s="6"/>
      <c r="E619" s="6"/>
    </row>
    <row r="620">
      <c r="A620" s="6"/>
      <c r="B620" s="6"/>
      <c r="C620" s="7"/>
      <c r="D620" s="6"/>
      <c r="E620" s="6"/>
    </row>
    <row r="621">
      <c r="A621" s="6"/>
      <c r="B621" s="6"/>
      <c r="C621" s="7"/>
      <c r="D621" s="6"/>
      <c r="E621" s="6"/>
    </row>
    <row r="622">
      <c r="A622" s="6"/>
      <c r="B622" s="6"/>
      <c r="C622" s="7"/>
      <c r="D622" s="6"/>
      <c r="E622" s="6"/>
    </row>
    <row r="623">
      <c r="A623" s="6"/>
      <c r="B623" s="6"/>
      <c r="C623" s="7"/>
      <c r="D623" s="6"/>
      <c r="E623" s="6"/>
    </row>
    <row r="624">
      <c r="A624" s="6"/>
      <c r="B624" s="6"/>
      <c r="C624" s="7"/>
      <c r="D624" s="6"/>
      <c r="E624" s="6"/>
    </row>
    <row r="625">
      <c r="A625" s="6"/>
      <c r="B625" s="6"/>
      <c r="C625" s="7"/>
      <c r="D625" s="6"/>
      <c r="E625" s="6"/>
    </row>
    <row r="626">
      <c r="A626" s="6"/>
      <c r="B626" s="6"/>
      <c r="C626" s="7"/>
      <c r="D626" s="6"/>
      <c r="E626" s="6"/>
    </row>
    <row r="627">
      <c r="A627" s="6"/>
      <c r="B627" s="6"/>
      <c r="C627" s="7"/>
      <c r="D627" s="6"/>
      <c r="E627" s="6"/>
    </row>
    <row r="628">
      <c r="A628" s="6"/>
      <c r="B628" s="6"/>
      <c r="C628" s="7"/>
      <c r="D628" s="6"/>
      <c r="E628" s="6"/>
    </row>
    <row r="629">
      <c r="A629" s="6"/>
      <c r="B629" s="6"/>
      <c r="C629" s="7"/>
      <c r="D629" s="6"/>
      <c r="E629" s="6"/>
    </row>
    <row r="630">
      <c r="A630" s="6"/>
      <c r="B630" s="6"/>
      <c r="C630" s="7"/>
      <c r="D630" s="6"/>
      <c r="E630" s="6"/>
    </row>
    <row r="631">
      <c r="A631" s="6"/>
      <c r="B631" s="6"/>
      <c r="C631" s="7"/>
      <c r="D631" s="6"/>
      <c r="E631" s="6"/>
    </row>
    <row r="632">
      <c r="A632" s="6"/>
      <c r="B632" s="6"/>
      <c r="C632" s="7"/>
      <c r="D632" s="6"/>
      <c r="E632" s="6"/>
    </row>
    <row r="633">
      <c r="A633" s="6"/>
      <c r="B633" s="6"/>
      <c r="C633" s="7"/>
      <c r="D633" s="6"/>
      <c r="E633" s="6"/>
    </row>
    <row r="634">
      <c r="A634" s="6"/>
      <c r="B634" s="6"/>
      <c r="C634" s="7"/>
      <c r="D634" s="6"/>
      <c r="E634" s="6"/>
    </row>
    <row r="635">
      <c r="A635" s="6"/>
      <c r="B635" s="6"/>
      <c r="C635" s="7"/>
      <c r="D635" s="6"/>
      <c r="E635" s="6"/>
    </row>
    <row r="636">
      <c r="A636" s="6"/>
      <c r="B636" s="6"/>
      <c r="C636" s="7"/>
      <c r="D636" s="6"/>
      <c r="E636" s="6"/>
    </row>
    <row r="637">
      <c r="A637" s="6"/>
      <c r="B637" s="6"/>
      <c r="C637" s="7"/>
      <c r="D637" s="6"/>
      <c r="E637" s="6"/>
    </row>
    <row r="638">
      <c r="A638" s="6"/>
      <c r="B638" s="6"/>
      <c r="C638" s="7"/>
      <c r="D638" s="6"/>
      <c r="E638" s="6"/>
    </row>
    <row r="639">
      <c r="A639" s="6"/>
      <c r="B639" s="6"/>
      <c r="C639" s="7"/>
      <c r="D639" s="6"/>
      <c r="E639" s="6"/>
    </row>
    <row r="640">
      <c r="A640" s="6"/>
      <c r="B640" s="6"/>
      <c r="C640" s="7"/>
      <c r="D640" s="6"/>
      <c r="E640" s="6"/>
    </row>
    <row r="641">
      <c r="A641" s="6"/>
      <c r="B641" s="6"/>
      <c r="C641" s="7"/>
      <c r="D641" s="6"/>
      <c r="E641" s="6"/>
    </row>
    <row r="642">
      <c r="A642" s="6"/>
      <c r="B642" s="6"/>
      <c r="C642" s="7"/>
      <c r="D642" s="6"/>
      <c r="E642" s="6"/>
    </row>
    <row r="643">
      <c r="A643" s="6"/>
      <c r="B643" s="6"/>
      <c r="C643" s="7"/>
      <c r="D643" s="6"/>
      <c r="E643" s="6"/>
    </row>
    <row r="644">
      <c r="A644" s="6"/>
      <c r="B644" s="6"/>
      <c r="C644" s="7"/>
      <c r="D644" s="6"/>
      <c r="E644" s="6"/>
    </row>
    <row r="645">
      <c r="A645" s="6"/>
      <c r="B645" s="6"/>
      <c r="C645" s="7"/>
      <c r="D645" s="6"/>
      <c r="E645" s="6"/>
    </row>
    <row r="646">
      <c r="A646" s="6"/>
      <c r="B646" s="6"/>
      <c r="C646" s="7"/>
      <c r="D646" s="6"/>
      <c r="E646" s="6"/>
    </row>
    <row r="647">
      <c r="A647" s="6"/>
      <c r="B647" s="6"/>
      <c r="C647" s="7"/>
      <c r="D647" s="6"/>
      <c r="E647" s="6"/>
    </row>
    <row r="648">
      <c r="A648" s="6"/>
      <c r="B648" s="6"/>
      <c r="C648" s="7"/>
      <c r="D648" s="6"/>
      <c r="E648" s="6"/>
    </row>
    <row r="649">
      <c r="A649" s="6"/>
      <c r="B649" s="6"/>
      <c r="C649" s="7"/>
      <c r="D649" s="6"/>
      <c r="E649" s="6"/>
    </row>
    <row r="650">
      <c r="A650" s="6"/>
      <c r="B650" s="6"/>
      <c r="C650" s="7"/>
      <c r="D650" s="6"/>
      <c r="E650" s="6"/>
    </row>
    <row r="651">
      <c r="A651" s="6"/>
      <c r="B651" s="6"/>
      <c r="C651" s="7"/>
      <c r="D651" s="6"/>
      <c r="E651" s="6"/>
    </row>
    <row r="652">
      <c r="A652" s="6"/>
      <c r="B652" s="6"/>
      <c r="C652" s="7"/>
      <c r="D652" s="6"/>
      <c r="E652" s="6"/>
    </row>
    <row r="653">
      <c r="A653" s="6"/>
      <c r="B653" s="6"/>
      <c r="C653" s="7"/>
      <c r="D653" s="6"/>
      <c r="E653" s="6"/>
    </row>
    <row r="654">
      <c r="A654" s="6"/>
      <c r="B654" s="6"/>
      <c r="C654" s="7"/>
      <c r="D654" s="6"/>
      <c r="E654" s="6"/>
    </row>
    <row r="655">
      <c r="A655" s="6"/>
      <c r="B655" s="6"/>
      <c r="C655" s="7"/>
      <c r="D655" s="6"/>
      <c r="E655" s="6"/>
    </row>
    <row r="656">
      <c r="A656" s="6"/>
      <c r="B656" s="6"/>
      <c r="C656" s="7"/>
      <c r="D656" s="6"/>
      <c r="E656" s="6"/>
    </row>
    <row r="657">
      <c r="A657" s="6"/>
      <c r="B657" s="6"/>
      <c r="C657" s="7"/>
      <c r="D657" s="6"/>
      <c r="E657" s="6"/>
    </row>
    <row r="658">
      <c r="A658" s="6"/>
      <c r="B658" s="6"/>
      <c r="C658" s="7"/>
      <c r="D658" s="6"/>
      <c r="E658" s="6"/>
    </row>
    <row r="659">
      <c r="A659" s="6"/>
      <c r="B659" s="6"/>
      <c r="C659" s="7"/>
      <c r="D659" s="6"/>
      <c r="E659" s="6"/>
    </row>
    <row r="660">
      <c r="A660" s="6"/>
      <c r="B660" s="6"/>
      <c r="C660" s="7"/>
      <c r="D660" s="6"/>
      <c r="E660" s="6"/>
    </row>
    <row r="661">
      <c r="A661" s="6"/>
      <c r="B661" s="6"/>
      <c r="C661" s="7"/>
      <c r="D661" s="6"/>
      <c r="E661" s="6"/>
    </row>
    <row r="662">
      <c r="A662" s="6"/>
      <c r="B662" s="6"/>
      <c r="C662" s="7"/>
      <c r="D662" s="6"/>
      <c r="E662" s="6"/>
    </row>
    <row r="663">
      <c r="A663" s="6"/>
      <c r="B663" s="6"/>
      <c r="C663" s="7"/>
      <c r="D663" s="6"/>
      <c r="E663" s="6"/>
    </row>
    <row r="664">
      <c r="A664" s="6"/>
      <c r="B664" s="6"/>
      <c r="C664" s="7"/>
      <c r="D664" s="6"/>
      <c r="E664" s="6"/>
    </row>
    <row r="665">
      <c r="A665" s="6"/>
      <c r="B665" s="6"/>
      <c r="C665" s="7"/>
      <c r="D665" s="6"/>
      <c r="E665" s="6"/>
    </row>
    <row r="666">
      <c r="A666" s="6"/>
      <c r="B666" s="6"/>
      <c r="C666" s="7"/>
      <c r="D666" s="6"/>
      <c r="E666" s="6"/>
    </row>
    <row r="667">
      <c r="A667" s="6"/>
      <c r="B667" s="6"/>
      <c r="C667" s="7"/>
      <c r="D667" s="6"/>
      <c r="E667" s="6"/>
    </row>
    <row r="668">
      <c r="A668" s="6"/>
      <c r="B668" s="6"/>
      <c r="C668" s="7"/>
      <c r="D668" s="6"/>
      <c r="E668" s="6"/>
    </row>
    <row r="669">
      <c r="A669" s="6"/>
      <c r="B669" s="6"/>
      <c r="C669" s="7"/>
      <c r="D669" s="6"/>
      <c r="E669" s="6"/>
    </row>
    <row r="670">
      <c r="A670" s="6"/>
      <c r="B670" s="6"/>
      <c r="C670" s="7"/>
      <c r="D670" s="6"/>
      <c r="E670" s="6"/>
    </row>
    <row r="671">
      <c r="A671" s="6"/>
      <c r="B671" s="6"/>
      <c r="C671" s="7"/>
      <c r="D671" s="6"/>
      <c r="E671" s="6"/>
    </row>
    <row r="672">
      <c r="A672" s="6"/>
      <c r="B672" s="6"/>
      <c r="C672" s="7"/>
      <c r="D672" s="6"/>
      <c r="E672" s="6"/>
    </row>
    <row r="673">
      <c r="A673" s="6"/>
      <c r="B673" s="6"/>
      <c r="C673" s="7"/>
      <c r="D673" s="6"/>
      <c r="E673" s="6"/>
    </row>
    <row r="674">
      <c r="A674" s="6"/>
      <c r="B674" s="6"/>
      <c r="C674" s="7"/>
      <c r="D674" s="6"/>
      <c r="E674" s="6"/>
    </row>
    <row r="675">
      <c r="A675" s="6"/>
      <c r="B675" s="6"/>
      <c r="C675" s="7"/>
      <c r="D675" s="6"/>
      <c r="E675" s="6"/>
    </row>
    <row r="676">
      <c r="A676" s="6"/>
      <c r="B676" s="6"/>
      <c r="C676" s="7"/>
      <c r="D676" s="6"/>
      <c r="E676" s="6"/>
    </row>
    <row r="677">
      <c r="A677" s="6"/>
      <c r="B677" s="6"/>
      <c r="C677" s="7"/>
      <c r="D677" s="6"/>
      <c r="E677" s="6"/>
    </row>
    <row r="678">
      <c r="A678" s="6"/>
      <c r="B678" s="6"/>
      <c r="C678" s="7"/>
      <c r="D678" s="6"/>
      <c r="E678" s="6"/>
    </row>
    <row r="679">
      <c r="A679" s="6"/>
      <c r="B679" s="6"/>
      <c r="C679" s="7"/>
      <c r="D679" s="6"/>
      <c r="E679" s="6"/>
    </row>
    <row r="680">
      <c r="A680" s="6"/>
      <c r="B680" s="6"/>
      <c r="C680" s="7"/>
      <c r="D680" s="6"/>
      <c r="E680" s="6"/>
    </row>
    <row r="681">
      <c r="A681" s="6"/>
      <c r="B681" s="6"/>
      <c r="C681" s="7"/>
      <c r="D681" s="6"/>
      <c r="E681" s="6"/>
    </row>
    <row r="682">
      <c r="A682" s="6"/>
      <c r="B682" s="6"/>
      <c r="C682" s="7"/>
      <c r="D682" s="6"/>
      <c r="E682" s="6"/>
    </row>
    <row r="683">
      <c r="A683" s="6"/>
      <c r="B683" s="6"/>
      <c r="C683" s="7"/>
      <c r="D683" s="6"/>
      <c r="E683" s="6"/>
    </row>
    <row r="684">
      <c r="A684" s="6"/>
      <c r="B684" s="6"/>
      <c r="C684" s="7"/>
      <c r="D684" s="6"/>
      <c r="E684" s="6"/>
    </row>
    <row r="685">
      <c r="A685" s="6"/>
      <c r="B685" s="6"/>
      <c r="C685" s="7"/>
      <c r="D685" s="6"/>
      <c r="E685" s="6"/>
    </row>
    <row r="686">
      <c r="A686" s="6"/>
      <c r="B686" s="6"/>
      <c r="C686" s="7"/>
      <c r="D686" s="6"/>
      <c r="E686" s="6"/>
    </row>
    <row r="687">
      <c r="A687" s="6"/>
      <c r="B687" s="6"/>
      <c r="C687" s="7"/>
      <c r="D687" s="6"/>
      <c r="E687" s="6"/>
    </row>
    <row r="688">
      <c r="A688" s="6"/>
      <c r="B688" s="6"/>
      <c r="C688" s="7"/>
      <c r="D688" s="6"/>
      <c r="E688" s="6"/>
    </row>
    <row r="689">
      <c r="A689" s="6"/>
      <c r="B689" s="6"/>
      <c r="C689" s="7"/>
      <c r="D689" s="6"/>
      <c r="E689" s="6"/>
    </row>
    <row r="690">
      <c r="A690" s="6"/>
      <c r="B690" s="6"/>
      <c r="C690" s="7"/>
      <c r="D690" s="6"/>
      <c r="E690" s="6"/>
    </row>
    <row r="691">
      <c r="A691" s="6"/>
      <c r="B691" s="6"/>
      <c r="C691" s="7"/>
      <c r="D691" s="6"/>
      <c r="E691" s="6"/>
    </row>
    <row r="692">
      <c r="A692" s="6"/>
      <c r="B692" s="6"/>
      <c r="C692" s="7"/>
      <c r="D692" s="6"/>
      <c r="E692" s="6"/>
    </row>
    <row r="693">
      <c r="A693" s="6"/>
      <c r="B693" s="6"/>
      <c r="C693" s="7"/>
      <c r="D693" s="6"/>
      <c r="E693" s="6"/>
    </row>
    <row r="694">
      <c r="A694" s="6"/>
      <c r="B694" s="6"/>
      <c r="C694" s="7"/>
      <c r="D694" s="6"/>
      <c r="E694" s="6"/>
    </row>
    <row r="695">
      <c r="A695" s="6"/>
      <c r="B695" s="6"/>
      <c r="C695" s="7"/>
      <c r="D695" s="6"/>
      <c r="E695" s="6"/>
    </row>
    <row r="696">
      <c r="A696" s="6"/>
      <c r="B696" s="6"/>
      <c r="C696" s="7"/>
      <c r="D696" s="6"/>
      <c r="E696" s="6"/>
    </row>
    <row r="697">
      <c r="A697" s="6"/>
      <c r="B697" s="6"/>
      <c r="C697" s="7"/>
      <c r="D697" s="6"/>
      <c r="E697" s="6"/>
    </row>
    <row r="698">
      <c r="A698" s="6"/>
      <c r="B698" s="6"/>
      <c r="C698" s="7"/>
      <c r="D698" s="6"/>
      <c r="E698" s="6"/>
    </row>
    <row r="699">
      <c r="A699" s="6"/>
      <c r="B699" s="6"/>
      <c r="C699" s="7"/>
      <c r="D699" s="6"/>
      <c r="E699" s="6"/>
    </row>
    <row r="700">
      <c r="A700" s="6"/>
      <c r="B700" s="6"/>
      <c r="C700" s="7"/>
      <c r="D700" s="6"/>
      <c r="E700" s="6"/>
    </row>
    <row r="701">
      <c r="A701" s="6"/>
      <c r="B701" s="6"/>
      <c r="C701" s="7"/>
      <c r="D701" s="6"/>
      <c r="E701" s="6"/>
    </row>
    <row r="702">
      <c r="A702" s="6"/>
      <c r="B702" s="6"/>
      <c r="C702" s="7"/>
      <c r="D702" s="6"/>
      <c r="E702" s="6"/>
    </row>
    <row r="703">
      <c r="A703" s="6"/>
      <c r="B703" s="6"/>
      <c r="C703" s="7"/>
      <c r="D703" s="6"/>
      <c r="E703" s="6"/>
    </row>
    <row r="704">
      <c r="A704" s="6"/>
      <c r="B704" s="6"/>
      <c r="C704" s="7"/>
      <c r="D704" s="6"/>
      <c r="E704" s="6"/>
    </row>
    <row r="705">
      <c r="A705" s="6"/>
      <c r="B705" s="6"/>
      <c r="C705" s="7"/>
      <c r="D705" s="6"/>
      <c r="E705" s="6"/>
    </row>
    <row r="706">
      <c r="A706" s="6"/>
      <c r="B706" s="6"/>
      <c r="C706" s="7"/>
      <c r="D706" s="6"/>
      <c r="E706" s="6"/>
    </row>
    <row r="707">
      <c r="A707" s="6"/>
      <c r="B707" s="6"/>
      <c r="C707" s="7"/>
      <c r="D707" s="6"/>
      <c r="E707" s="6"/>
    </row>
    <row r="708">
      <c r="A708" s="6"/>
      <c r="B708" s="6"/>
      <c r="C708" s="7"/>
      <c r="D708" s="6"/>
      <c r="E708" s="6"/>
    </row>
    <row r="709">
      <c r="A709" s="6"/>
      <c r="B709" s="6"/>
      <c r="C709" s="7"/>
      <c r="D709" s="6"/>
      <c r="E709" s="6"/>
    </row>
    <row r="710">
      <c r="A710" s="6"/>
      <c r="B710" s="6"/>
      <c r="C710" s="7"/>
      <c r="D710" s="6"/>
      <c r="E710" s="6"/>
    </row>
    <row r="711">
      <c r="A711" s="6"/>
      <c r="B711" s="6"/>
      <c r="C711" s="7"/>
      <c r="D711" s="6"/>
      <c r="E711" s="6"/>
    </row>
    <row r="712">
      <c r="A712" s="6"/>
      <c r="B712" s="6"/>
      <c r="C712" s="7"/>
      <c r="D712" s="6"/>
      <c r="E712" s="6"/>
    </row>
    <row r="713">
      <c r="A713" s="6"/>
      <c r="B713" s="6"/>
      <c r="C713" s="7"/>
      <c r="D713" s="6"/>
      <c r="E713" s="6"/>
    </row>
    <row r="714">
      <c r="A714" s="6"/>
      <c r="B714" s="6"/>
      <c r="C714" s="7"/>
      <c r="D714" s="6"/>
      <c r="E714" s="6"/>
    </row>
    <row r="715">
      <c r="A715" s="6"/>
      <c r="B715" s="6"/>
      <c r="C715" s="7"/>
      <c r="D715" s="6"/>
      <c r="E715" s="6"/>
    </row>
    <row r="716">
      <c r="A716" s="6"/>
      <c r="B716" s="6"/>
      <c r="C716" s="7"/>
      <c r="D716" s="6"/>
      <c r="E716" s="6"/>
    </row>
    <row r="717">
      <c r="A717" s="6"/>
      <c r="B717" s="6"/>
      <c r="C717" s="7"/>
      <c r="D717" s="6"/>
      <c r="E717" s="6"/>
    </row>
    <row r="718">
      <c r="A718" s="6"/>
      <c r="B718" s="6"/>
      <c r="C718" s="7"/>
      <c r="D718" s="6"/>
      <c r="E718" s="6"/>
    </row>
    <row r="719">
      <c r="A719" s="6"/>
      <c r="B719" s="6"/>
      <c r="C719" s="7"/>
      <c r="D719" s="6"/>
      <c r="E719" s="6"/>
    </row>
    <row r="720">
      <c r="A720" s="6"/>
      <c r="B720" s="6"/>
      <c r="C720" s="7"/>
      <c r="D720" s="6"/>
      <c r="E720" s="6"/>
    </row>
    <row r="721">
      <c r="A721" s="6"/>
      <c r="B721" s="6"/>
      <c r="C721" s="7"/>
      <c r="D721" s="6"/>
      <c r="E721" s="6"/>
    </row>
    <row r="722">
      <c r="A722" s="6"/>
      <c r="B722" s="6"/>
      <c r="C722" s="7"/>
      <c r="D722" s="6"/>
      <c r="E722" s="6"/>
    </row>
    <row r="723">
      <c r="A723" s="6"/>
      <c r="B723" s="6"/>
      <c r="C723" s="7"/>
      <c r="D723" s="6"/>
      <c r="E723" s="6"/>
    </row>
    <row r="724">
      <c r="A724" s="6"/>
      <c r="B724" s="6"/>
      <c r="C724" s="7"/>
      <c r="D724" s="6"/>
      <c r="E724" s="6"/>
    </row>
    <row r="725">
      <c r="A725" s="6"/>
      <c r="B725" s="6"/>
      <c r="C725" s="7"/>
      <c r="D725" s="6"/>
      <c r="E725" s="6"/>
    </row>
    <row r="726">
      <c r="A726" s="6"/>
      <c r="B726" s="6"/>
      <c r="C726" s="7"/>
      <c r="D726" s="6"/>
      <c r="E726" s="6"/>
    </row>
    <row r="727">
      <c r="A727" s="6"/>
      <c r="B727" s="6"/>
      <c r="C727" s="7"/>
      <c r="D727" s="6"/>
      <c r="E727" s="6"/>
    </row>
    <row r="728">
      <c r="A728" s="6"/>
      <c r="B728" s="6"/>
      <c r="C728" s="7"/>
      <c r="D728" s="6"/>
      <c r="E728" s="6"/>
    </row>
    <row r="729">
      <c r="A729" s="6"/>
      <c r="B729" s="6"/>
      <c r="C729" s="7"/>
      <c r="D729" s="6"/>
      <c r="E729" s="6"/>
    </row>
    <row r="730">
      <c r="A730" s="6"/>
      <c r="B730" s="6"/>
      <c r="C730" s="7"/>
      <c r="D730" s="6"/>
      <c r="E730" s="6"/>
    </row>
    <row r="731">
      <c r="A731" s="6"/>
      <c r="B731" s="6"/>
      <c r="C731" s="7"/>
      <c r="D731" s="6"/>
      <c r="E731" s="6"/>
    </row>
    <row r="732">
      <c r="A732" s="6"/>
      <c r="B732" s="6"/>
      <c r="C732" s="7"/>
      <c r="D732" s="6"/>
      <c r="E732" s="6"/>
    </row>
    <row r="733">
      <c r="A733" s="6"/>
      <c r="B733" s="6"/>
      <c r="C733" s="7"/>
      <c r="D733" s="6"/>
      <c r="E733" s="6"/>
    </row>
    <row r="734">
      <c r="A734" s="6"/>
      <c r="B734" s="6"/>
      <c r="C734" s="7"/>
      <c r="D734" s="6"/>
      <c r="E734" s="6"/>
    </row>
    <row r="735">
      <c r="A735" s="6"/>
      <c r="B735" s="6"/>
      <c r="C735" s="7"/>
      <c r="D735" s="6"/>
      <c r="E735" s="6"/>
    </row>
    <row r="736">
      <c r="A736" s="6"/>
      <c r="B736" s="6"/>
      <c r="C736" s="7"/>
      <c r="D736" s="6"/>
      <c r="E736" s="6"/>
    </row>
    <row r="737">
      <c r="A737" s="6"/>
      <c r="B737" s="6"/>
      <c r="C737" s="7"/>
      <c r="D737" s="6"/>
      <c r="E737" s="6"/>
    </row>
    <row r="738">
      <c r="A738" s="6"/>
      <c r="B738" s="6"/>
      <c r="C738" s="7"/>
      <c r="D738" s="6"/>
      <c r="E738" s="6"/>
    </row>
    <row r="739">
      <c r="A739" s="6"/>
      <c r="B739" s="6"/>
      <c r="C739" s="7"/>
      <c r="D739" s="6"/>
      <c r="E739" s="6"/>
    </row>
    <row r="740">
      <c r="A740" s="6"/>
      <c r="B740" s="6"/>
      <c r="C740" s="7"/>
      <c r="D740" s="6"/>
      <c r="E740" s="6"/>
    </row>
    <row r="741">
      <c r="A741" s="6"/>
      <c r="B741" s="6"/>
      <c r="C741" s="7"/>
      <c r="D741" s="6"/>
      <c r="E741" s="6"/>
    </row>
    <row r="742">
      <c r="A742" s="6"/>
      <c r="B742" s="6"/>
      <c r="C742" s="7"/>
      <c r="D742" s="6"/>
      <c r="E742" s="6"/>
    </row>
    <row r="743">
      <c r="A743" s="6"/>
      <c r="B743" s="6"/>
      <c r="C743" s="7"/>
      <c r="D743" s="6"/>
      <c r="E743" s="6"/>
    </row>
    <row r="744">
      <c r="A744" s="6"/>
      <c r="B744" s="6"/>
      <c r="C744" s="7"/>
      <c r="D744" s="6"/>
      <c r="E744" s="6"/>
    </row>
    <row r="745">
      <c r="A745" s="6"/>
      <c r="B745" s="6"/>
      <c r="C745" s="7"/>
      <c r="D745" s="6"/>
      <c r="E745" s="6"/>
    </row>
    <row r="746">
      <c r="A746" s="6"/>
      <c r="B746" s="6"/>
      <c r="C746" s="7"/>
      <c r="D746" s="6"/>
      <c r="E746" s="6"/>
    </row>
    <row r="747">
      <c r="A747" s="6"/>
      <c r="B747" s="6"/>
      <c r="C747" s="7"/>
      <c r="D747" s="6"/>
      <c r="E747" s="6"/>
    </row>
    <row r="748">
      <c r="A748" s="6"/>
      <c r="B748" s="6"/>
      <c r="C748" s="7"/>
      <c r="D748" s="6"/>
      <c r="E748" s="6"/>
    </row>
    <row r="749">
      <c r="A749" s="6"/>
      <c r="B749" s="6"/>
      <c r="C749" s="7"/>
      <c r="D749" s="6"/>
      <c r="E749" s="6"/>
    </row>
    <row r="750">
      <c r="A750" s="6"/>
      <c r="B750" s="6"/>
      <c r="C750" s="7"/>
      <c r="D750" s="6"/>
      <c r="E750" s="6"/>
    </row>
    <row r="751">
      <c r="A751" s="6"/>
      <c r="B751" s="6"/>
      <c r="C751" s="7"/>
      <c r="D751" s="6"/>
      <c r="E751" s="6"/>
    </row>
    <row r="752">
      <c r="A752" s="6"/>
      <c r="B752" s="6"/>
      <c r="C752" s="7"/>
      <c r="D752" s="6"/>
      <c r="E752" s="6"/>
    </row>
    <row r="753">
      <c r="A753" s="6"/>
      <c r="B753" s="6"/>
      <c r="C753" s="7"/>
      <c r="D753" s="6"/>
      <c r="E753" s="6"/>
    </row>
    <row r="754">
      <c r="A754" s="6"/>
      <c r="B754" s="6"/>
      <c r="C754" s="7"/>
      <c r="D754" s="6"/>
      <c r="E754" s="6"/>
    </row>
    <row r="755">
      <c r="A755" s="6"/>
      <c r="B755" s="6"/>
      <c r="C755" s="7"/>
      <c r="D755" s="6"/>
      <c r="E755" s="6"/>
    </row>
    <row r="756">
      <c r="A756" s="6"/>
      <c r="B756" s="6"/>
      <c r="C756" s="7"/>
      <c r="D756" s="6"/>
      <c r="E756" s="6"/>
    </row>
    <row r="757">
      <c r="A757" s="6"/>
      <c r="B757" s="6"/>
      <c r="C757" s="7"/>
      <c r="D757" s="6"/>
      <c r="E757" s="6"/>
    </row>
    <row r="758">
      <c r="A758" s="6"/>
      <c r="B758" s="6"/>
      <c r="C758" s="7"/>
      <c r="D758" s="6"/>
      <c r="E758" s="6"/>
    </row>
    <row r="759">
      <c r="A759" s="6"/>
      <c r="B759" s="6"/>
      <c r="C759" s="7"/>
      <c r="D759" s="6"/>
      <c r="E759" s="6"/>
    </row>
    <row r="760">
      <c r="A760" s="6"/>
      <c r="B760" s="6"/>
      <c r="C760" s="7"/>
      <c r="D760" s="6"/>
      <c r="E760" s="6"/>
    </row>
    <row r="761">
      <c r="A761" s="6"/>
      <c r="B761" s="6"/>
      <c r="C761" s="7"/>
      <c r="D761" s="6"/>
      <c r="E761" s="6"/>
    </row>
    <row r="762">
      <c r="A762" s="6"/>
      <c r="B762" s="6"/>
      <c r="C762" s="7"/>
      <c r="D762" s="6"/>
      <c r="E762" s="6"/>
    </row>
    <row r="763">
      <c r="A763" s="6"/>
      <c r="B763" s="6"/>
      <c r="C763" s="7"/>
      <c r="D763" s="6"/>
      <c r="E763" s="6"/>
    </row>
    <row r="764">
      <c r="A764" s="6"/>
      <c r="B764" s="6"/>
      <c r="C764" s="7"/>
      <c r="D764" s="6"/>
      <c r="E764" s="6"/>
    </row>
    <row r="765">
      <c r="A765" s="6"/>
      <c r="B765" s="6"/>
      <c r="C765" s="7"/>
      <c r="D765" s="6"/>
      <c r="E765" s="6"/>
    </row>
    <row r="766">
      <c r="A766" s="6"/>
      <c r="B766" s="6"/>
      <c r="C766" s="7"/>
      <c r="D766" s="6"/>
      <c r="E766" s="6"/>
    </row>
    <row r="767">
      <c r="A767" s="6"/>
      <c r="B767" s="6"/>
      <c r="C767" s="7"/>
      <c r="D767" s="6"/>
      <c r="E767" s="6"/>
    </row>
    <row r="768">
      <c r="A768" s="6"/>
      <c r="B768" s="6"/>
      <c r="C768" s="7"/>
      <c r="D768" s="6"/>
      <c r="E768" s="6"/>
    </row>
    <row r="769">
      <c r="A769" s="6"/>
      <c r="B769" s="6"/>
      <c r="C769" s="7"/>
      <c r="D769" s="6"/>
      <c r="E769" s="6"/>
    </row>
    <row r="770">
      <c r="A770" s="6"/>
      <c r="B770" s="6"/>
      <c r="C770" s="7"/>
      <c r="D770" s="6"/>
      <c r="E770" s="6"/>
    </row>
    <row r="771">
      <c r="A771" s="6"/>
      <c r="B771" s="6"/>
      <c r="C771" s="7"/>
      <c r="D771" s="6"/>
      <c r="E771" s="6"/>
    </row>
    <row r="772">
      <c r="A772" s="6"/>
      <c r="B772" s="6"/>
      <c r="C772" s="7"/>
      <c r="D772" s="6"/>
      <c r="E772" s="6"/>
    </row>
    <row r="773">
      <c r="A773" s="6"/>
      <c r="B773" s="6"/>
      <c r="C773" s="7"/>
      <c r="D773" s="6"/>
      <c r="E773" s="6"/>
    </row>
    <row r="774">
      <c r="A774" s="6"/>
      <c r="B774" s="6"/>
      <c r="C774" s="7"/>
      <c r="D774" s="6"/>
      <c r="E774" s="6"/>
    </row>
    <row r="775">
      <c r="A775" s="6"/>
      <c r="B775" s="6"/>
      <c r="C775" s="7"/>
      <c r="D775" s="6"/>
      <c r="E775" s="6"/>
    </row>
    <row r="776">
      <c r="A776" s="6"/>
      <c r="B776" s="6"/>
      <c r="C776" s="7"/>
      <c r="D776" s="6"/>
      <c r="E776" s="6"/>
    </row>
    <row r="777">
      <c r="A777" s="6"/>
      <c r="B777" s="6"/>
      <c r="C777" s="7"/>
      <c r="D777" s="6"/>
      <c r="E777" s="6"/>
    </row>
    <row r="778">
      <c r="A778" s="6"/>
      <c r="B778" s="6"/>
      <c r="C778" s="7"/>
      <c r="D778" s="6"/>
      <c r="E778" s="6"/>
    </row>
    <row r="779">
      <c r="A779" s="6"/>
      <c r="B779" s="6"/>
      <c r="C779" s="7"/>
      <c r="D779" s="6"/>
      <c r="E779" s="6"/>
    </row>
    <row r="780">
      <c r="A780" s="6"/>
      <c r="B780" s="6"/>
      <c r="C780" s="7"/>
      <c r="D780" s="6"/>
      <c r="E780" s="6"/>
    </row>
    <row r="781">
      <c r="A781" s="6"/>
      <c r="B781" s="6"/>
      <c r="C781" s="7"/>
      <c r="D781" s="6"/>
      <c r="E781" s="6"/>
    </row>
    <row r="782">
      <c r="A782" s="6"/>
      <c r="B782" s="6"/>
      <c r="C782" s="7"/>
      <c r="D782" s="6"/>
      <c r="E782" s="6"/>
    </row>
    <row r="783">
      <c r="A783" s="6"/>
      <c r="B783" s="6"/>
      <c r="C783" s="7"/>
      <c r="D783" s="6"/>
      <c r="E783" s="6"/>
    </row>
    <row r="784">
      <c r="A784" s="6"/>
      <c r="B784" s="6"/>
      <c r="C784" s="7"/>
      <c r="D784" s="6"/>
      <c r="E784" s="6"/>
    </row>
    <row r="785">
      <c r="A785" s="6"/>
      <c r="B785" s="6"/>
      <c r="C785" s="7"/>
      <c r="D785" s="6"/>
      <c r="E785" s="6"/>
    </row>
    <row r="786">
      <c r="A786" s="6"/>
      <c r="B786" s="6"/>
      <c r="C786" s="7"/>
      <c r="D786" s="6"/>
      <c r="E786" s="6"/>
    </row>
    <row r="787">
      <c r="A787" s="6"/>
      <c r="B787" s="6"/>
      <c r="C787" s="7"/>
      <c r="D787" s="6"/>
      <c r="E787" s="6"/>
    </row>
    <row r="788">
      <c r="A788" s="6"/>
      <c r="B788" s="6"/>
      <c r="C788" s="7"/>
      <c r="D788" s="6"/>
      <c r="E788" s="6"/>
    </row>
    <row r="789">
      <c r="A789" s="6"/>
      <c r="B789" s="6"/>
      <c r="C789" s="7"/>
      <c r="D789" s="6"/>
      <c r="E789" s="6"/>
    </row>
    <row r="790">
      <c r="A790" s="6"/>
      <c r="B790" s="6"/>
      <c r="C790" s="7"/>
      <c r="D790" s="6"/>
      <c r="E790" s="6"/>
    </row>
    <row r="791">
      <c r="A791" s="6"/>
      <c r="B791" s="6"/>
      <c r="C791" s="7"/>
      <c r="D791" s="6"/>
      <c r="E791" s="6"/>
    </row>
    <row r="792">
      <c r="A792" s="6"/>
      <c r="B792" s="6"/>
      <c r="C792" s="7"/>
      <c r="D792" s="6"/>
      <c r="E792" s="6"/>
    </row>
    <row r="793">
      <c r="A793" s="6"/>
      <c r="B793" s="6"/>
      <c r="C793" s="7"/>
      <c r="D793" s="6"/>
      <c r="E793" s="6"/>
    </row>
    <row r="794">
      <c r="A794" s="6"/>
      <c r="B794" s="6"/>
      <c r="C794" s="7"/>
      <c r="D794" s="6"/>
      <c r="E794" s="6"/>
    </row>
    <row r="795">
      <c r="A795" s="6"/>
      <c r="B795" s="6"/>
      <c r="C795" s="7"/>
      <c r="D795" s="6"/>
      <c r="E795" s="6"/>
    </row>
    <row r="796">
      <c r="A796" s="6"/>
      <c r="B796" s="6"/>
      <c r="C796" s="7"/>
      <c r="D796" s="6"/>
      <c r="E796" s="6"/>
    </row>
    <row r="797">
      <c r="A797" s="6"/>
      <c r="B797" s="6"/>
      <c r="C797" s="7"/>
      <c r="D797" s="6"/>
      <c r="E797" s="6"/>
    </row>
    <row r="798">
      <c r="A798" s="6"/>
      <c r="B798" s="6"/>
      <c r="C798" s="7"/>
      <c r="D798" s="6"/>
      <c r="E798" s="6"/>
    </row>
    <row r="799">
      <c r="A799" s="6"/>
      <c r="B799" s="6"/>
      <c r="C799" s="7"/>
      <c r="D799" s="6"/>
      <c r="E799" s="6"/>
    </row>
    <row r="800">
      <c r="A800" s="6"/>
      <c r="B800" s="6"/>
      <c r="C800" s="7"/>
      <c r="D800" s="6"/>
      <c r="E800" s="6"/>
    </row>
    <row r="801">
      <c r="A801" s="6"/>
      <c r="B801" s="6"/>
      <c r="C801" s="7"/>
      <c r="D801" s="6"/>
      <c r="E801" s="6"/>
    </row>
    <row r="802">
      <c r="A802" s="6"/>
      <c r="B802" s="6"/>
      <c r="C802" s="7"/>
      <c r="D802" s="6"/>
      <c r="E802" s="6"/>
    </row>
    <row r="803">
      <c r="A803" s="6"/>
      <c r="B803" s="6"/>
      <c r="C803" s="7"/>
      <c r="D803" s="6"/>
      <c r="E803" s="6"/>
    </row>
    <row r="804">
      <c r="A804" s="6"/>
      <c r="B804" s="6"/>
      <c r="C804" s="7"/>
      <c r="D804" s="6"/>
      <c r="E804" s="6"/>
    </row>
    <row r="805">
      <c r="A805" s="6"/>
      <c r="B805" s="6"/>
      <c r="C805" s="7"/>
      <c r="D805" s="6"/>
      <c r="E805" s="6"/>
    </row>
    <row r="806">
      <c r="A806" s="6"/>
      <c r="B806" s="6"/>
      <c r="C806" s="7"/>
      <c r="D806" s="6"/>
      <c r="E806" s="6"/>
    </row>
    <row r="807">
      <c r="A807" s="6"/>
      <c r="B807" s="6"/>
      <c r="C807" s="7"/>
      <c r="D807" s="6"/>
      <c r="E807" s="6"/>
    </row>
    <row r="808">
      <c r="A808" s="6"/>
      <c r="B808" s="6"/>
      <c r="C808" s="7"/>
      <c r="D808" s="6"/>
      <c r="E808" s="6"/>
    </row>
    <row r="809">
      <c r="A809" s="6"/>
      <c r="B809" s="6"/>
      <c r="C809" s="7"/>
      <c r="D809" s="6"/>
      <c r="E809" s="6"/>
    </row>
    <row r="810">
      <c r="A810" s="6"/>
      <c r="B810" s="6"/>
      <c r="C810" s="7"/>
      <c r="D810" s="6"/>
      <c r="E810" s="6"/>
    </row>
    <row r="811">
      <c r="A811" s="6"/>
      <c r="B811" s="6"/>
      <c r="C811" s="7"/>
      <c r="D811" s="6"/>
      <c r="E811" s="6"/>
    </row>
    <row r="812">
      <c r="A812" s="6"/>
      <c r="B812" s="6"/>
      <c r="C812" s="7"/>
      <c r="D812" s="6"/>
      <c r="E812" s="6"/>
    </row>
    <row r="813">
      <c r="A813" s="6"/>
      <c r="B813" s="6"/>
      <c r="C813" s="7"/>
      <c r="D813" s="6"/>
      <c r="E813" s="6"/>
    </row>
    <row r="814">
      <c r="A814" s="6"/>
      <c r="B814" s="6"/>
      <c r="C814" s="7"/>
      <c r="D814" s="6"/>
      <c r="E814" s="6"/>
    </row>
    <row r="815">
      <c r="A815" s="6"/>
      <c r="B815" s="6"/>
      <c r="C815" s="7"/>
      <c r="D815" s="6"/>
      <c r="E815" s="6"/>
    </row>
    <row r="816">
      <c r="A816" s="6"/>
      <c r="B816" s="6"/>
      <c r="C816" s="7"/>
      <c r="D816" s="6"/>
      <c r="E816" s="6"/>
    </row>
    <row r="817">
      <c r="A817" s="6"/>
      <c r="B817" s="6"/>
      <c r="C817" s="7"/>
      <c r="D817" s="6"/>
      <c r="E817" s="6"/>
    </row>
    <row r="818">
      <c r="A818" s="6"/>
      <c r="B818" s="6"/>
      <c r="C818" s="7"/>
      <c r="D818" s="6"/>
      <c r="E818" s="6"/>
    </row>
    <row r="819">
      <c r="A819" s="6"/>
      <c r="B819" s="6"/>
      <c r="C819" s="7"/>
      <c r="D819" s="6"/>
      <c r="E819" s="6"/>
    </row>
    <row r="820">
      <c r="A820" s="6"/>
      <c r="B820" s="6"/>
      <c r="C820" s="7"/>
      <c r="D820" s="6"/>
      <c r="E820" s="6"/>
    </row>
    <row r="821">
      <c r="A821" s="6"/>
      <c r="B821" s="6"/>
      <c r="C821" s="7"/>
      <c r="D821" s="6"/>
      <c r="E821" s="6"/>
    </row>
    <row r="822">
      <c r="A822" s="6"/>
      <c r="B822" s="6"/>
      <c r="C822" s="7"/>
      <c r="D822" s="6"/>
      <c r="E822" s="6"/>
    </row>
    <row r="823">
      <c r="A823" s="6"/>
      <c r="B823" s="6"/>
      <c r="C823" s="7"/>
      <c r="D823" s="6"/>
      <c r="E823" s="6"/>
    </row>
    <row r="824">
      <c r="A824" s="6"/>
      <c r="B824" s="6"/>
      <c r="C824" s="7"/>
      <c r="D824" s="6"/>
      <c r="E824" s="6"/>
    </row>
    <row r="825">
      <c r="A825" s="6"/>
      <c r="B825" s="6"/>
      <c r="C825" s="7"/>
      <c r="D825" s="6"/>
      <c r="E825" s="6"/>
    </row>
    <row r="826">
      <c r="A826" s="6"/>
      <c r="B826" s="6"/>
      <c r="C826" s="7"/>
      <c r="D826" s="6"/>
      <c r="E826" s="6"/>
    </row>
    <row r="827">
      <c r="A827" s="6"/>
      <c r="B827" s="6"/>
      <c r="C827" s="7"/>
      <c r="D827" s="6"/>
      <c r="E827" s="6"/>
    </row>
    <row r="828">
      <c r="A828" s="6"/>
      <c r="B828" s="6"/>
      <c r="C828" s="7"/>
      <c r="D828" s="6"/>
      <c r="E828" s="6"/>
    </row>
    <row r="829">
      <c r="A829" s="6"/>
      <c r="B829" s="6"/>
      <c r="C829" s="7"/>
      <c r="D829" s="6"/>
      <c r="E829" s="6"/>
    </row>
    <row r="830">
      <c r="A830" s="6"/>
      <c r="B830" s="6"/>
      <c r="C830" s="7"/>
      <c r="D830" s="6"/>
      <c r="E830" s="6"/>
    </row>
    <row r="831">
      <c r="A831" s="6"/>
      <c r="B831" s="6"/>
      <c r="C831" s="7"/>
      <c r="D831" s="6"/>
      <c r="E831" s="6"/>
    </row>
    <row r="832">
      <c r="A832" s="6"/>
      <c r="B832" s="6"/>
      <c r="C832" s="7"/>
      <c r="D832" s="6"/>
      <c r="E832" s="6"/>
    </row>
    <row r="833">
      <c r="A833" s="6"/>
      <c r="B833" s="6"/>
      <c r="C833" s="7"/>
      <c r="D833" s="6"/>
      <c r="E833" s="6"/>
    </row>
    <row r="834">
      <c r="A834" s="6"/>
      <c r="B834" s="6"/>
      <c r="C834" s="7"/>
      <c r="D834" s="6"/>
      <c r="E834" s="6"/>
    </row>
    <row r="835">
      <c r="A835" s="6"/>
      <c r="B835" s="6"/>
      <c r="C835" s="7"/>
      <c r="D835" s="6"/>
      <c r="E835" s="6"/>
    </row>
    <row r="836">
      <c r="A836" s="6"/>
      <c r="B836" s="6"/>
      <c r="C836" s="7"/>
      <c r="D836" s="6"/>
      <c r="E836" s="6"/>
    </row>
    <row r="837">
      <c r="A837" s="6"/>
      <c r="B837" s="6"/>
      <c r="C837" s="7"/>
      <c r="D837" s="6"/>
      <c r="E837" s="6"/>
    </row>
    <row r="838">
      <c r="A838" s="6"/>
      <c r="B838" s="6"/>
      <c r="C838" s="7"/>
      <c r="D838" s="6"/>
      <c r="E838" s="6"/>
    </row>
    <row r="839">
      <c r="A839" s="6"/>
      <c r="B839" s="6"/>
      <c r="C839" s="7"/>
      <c r="D839" s="6"/>
      <c r="E839" s="6"/>
    </row>
    <row r="840">
      <c r="A840" s="6"/>
      <c r="B840" s="6"/>
      <c r="C840" s="7"/>
      <c r="D840" s="6"/>
      <c r="E840" s="6"/>
    </row>
    <row r="841">
      <c r="A841" s="6"/>
      <c r="B841" s="6"/>
      <c r="C841" s="7"/>
      <c r="D841" s="6"/>
      <c r="E841" s="6"/>
    </row>
    <row r="842">
      <c r="A842" s="6"/>
      <c r="B842" s="6"/>
      <c r="C842" s="7"/>
      <c r="D842" s="6"/>
      <c r="E842" s="6"/>
    </row>
    <row r="843">
      <c r="A843" s="6"/>
      <c r="B843" s="6"/>
      <c r="C843" s="7"/>
      <c r="D843" s="6"/>
      <c r="E843" s="6"/>
    </row>
    <row r="844">
      <c r="A844" s="6"/>
      <c r="B844" s="6"/>
      <c r="C844" s="7"/>
      <c r="D844" s="6"/>
      <c r="E844" s="6"/>
    </row>
    <row r="845">
      <c r="A845" s="6"/>
      <c r="B845" s="6"/>
      <c r="C845" s="7"/>
      <c r="D845" s="6"/>
      <c r="E845" s="6"/>
    </row>
    <row r="846">
      <c r="A846" s="6"/>
      <c r="B846" s="6"/>
      <c r="C846" s="7"/>
      <c r="D846" s="6"/>
      <c r="E846" s="6"/>
    </row>
    <row r="847">
      <c r="A847" s="6"/>
      <c r="B847" s="6"/>
      <c r="C847" s="7"/>
      <c r="D847" s="6"/>
      <c r="E847" s="6"/>
    </row>
    <row r="848">
      <c r="A848" s="6"/>
      <c r="B848" s="6"/>
      <c r="C848" s="7"/>
      <c r="D848" s="6"/>
      <c r="E848" s="6"/>
    </row>
    <row r="849">
      <c r="A849" s="6"/>
      <c r="B849" s="6"/>
      <c r="C849" s="7"/>
      <c r="D849" s="6"/>
      <c r="E849" s="6"/>
    </row>
    <row r="850">
      <c r="A850" s="6"/>
      <c r="B850" s="6"/>
      <c r="C850" s="7"/>
      <c r="D850" s="6"/>
      <c r="E850" s="6"/>
    </row>
    <row r="851">
      <c r="A851" s="6"/>
      <c r="B851" s="6"/>
      <c r="C851" s="7"/>
      <c r="D851" s="6"/>
      <c r="E851" s="6"/>
    </row>
    <row r="852">
      <c r="A852" s="6"/>
      <c r="B852" s="6"/>
      <c r="C852" s="7"/>
      <c r="D852" s="6"/>
      <c r="E852" s="6"/>
    </row>
    <row r="853">
      <c r="A853" s="6"/>
      <c r="B853" s="6"/>
      <c r="C853" s="7"/>
      <c r="D853" s="6"/>
      <c r="E853" s="6"/>
    </row>
    <row r="854">
      <c r="A854" s="6"/>
      <c r="B854" s="6"/>
      <c r="C854" s="7"/>
      <c r="D854" s="6"/>
      <c r="E854" s="6"/>
    </row>
    <row r="855">
      <c r="A855" s="6"/>
      <c r="B855" s="6"/>
      <c r="C855" s="7"/>
      <c r="D855" s="6"/>
      <c r="E855" s="6"/>
    </row>
    <row r="856">
      <c r="A856" s="6"/>
      <c r="B856" s="6"/>
      <c r="C856" s="7"/>
      <c r="D856" s="6"/>
      <c r="E856" s="6"/>
    </row>
    <row r="857">
      <c r="A857" s="6"/>
      <c r="B857" s="6"/>
      <c r="C857" s="7"/>
      <c r="D857" s="6"/>
      <c r="E857" s="6"/>
    </row>
    <row r="858">
      <c r="A858" s="6"/>
      <c r="B858" s="6"/>
      <c r="C858" s="7"/>
      <c r="D858" s="6"/>
      <c r="E858" s="6"/>
    </row>
    <row r="859">
      <c r="A859" s="6"/>
      <c r="B859" s="6"/>
      <c r="C859" s="7"/>
      <c r="D859" s="6"/>
      <c r="E859" s="6"/>
    </row>
    <row r="860">
      <c r="A860" s="6"/>
      <c r="B860" s="6"/>
      <c r="C860" s="7"/>
      <c r="D860" s="6"/>
      <c r="E860" s="6"/>
    </row>
    <row r="861">
      <c r="A861" s="6"/>
      <c r="B861" s="6"/>
      <c r="C861" s="7"/>
      <c r="D861" s="6"/>
      <c r="E861" s="6"/>
    </row>
    <row r="862">
      <c r="A862" s="6"/>
      <c r="B862" s="6"/>
      <c r="C862" s="7"/>
      <c r="D862" s="6"/>
      <c r="E862" s="6"/>
    </row>
    <row r="863">
      <c r="A863" s="6"/>
      <c r="B863" s="6"/>
      <c r="C863" s="7"/>
      <c r="D863" s="6"/>
      <c r="E863" s="6"/>
    </row>
    <row r="864">
      <c r="A864" s="6"/>
      <c r="B864" s="6"/>
      <c r="C864" s="7"/>
      <c r="D864" s="6"/>
      <c r="E864" s="6"/>
    </row>
    <row r="865">
      <c r="A865" s="6"/>
      <c r="B865" s="6"/>
      <c r="C865" s="7"/>
      <c r="D865" s="6"/>
      <c r="E865" s="6"/>
    </row>
    <row r="866">
      <c r="A866" s="6"/>
      <c r="B866" s="6"/>
      <c r="C866" s="7"/>
      <c r="D866" s="6"/>
      <c r="E866" s="6"/>
    </row>
    <row r="867">
      <c r="A867" s="6"/>
      <c r="B867" s="6"/>
      <c r="C867" s="7"/>
      <c r="D867" s="6"/>
      <c r="E867" s="6"/>
    </row>
    <row r="868">
      <c r="A868" s="6"/>
      <c r="B868" s="6"/>
      <c r="C868" s="7"/>
      <c r="D868" s="6"/>
      <c r="E868" s="6"/>
    </row>
    <row r="869">
      <c r="A869" s="6"/>
      <c r="B869" s="6"/>
      <c r="C869" s="7"/>
      <c r="D869" s="6"/>
      <c r="E869" s="6"/>
    </row>
    <row r="870">
      <c r="A870" s="6"/>
      <c r="B870" s="6"/>
      <c r="C870" s="7"/>
      <c r="D870" s="6"/>
      <c r="E870" s="6"/>
    </row>
    <row r="871">
      <c r="A871" s="6"/>
      <c r="B871" s="6"/>
      <c r="C871" s="7"/>
      <c r="D871" s="6"/>
      <c r="E871" s="6"/>
    </row>
    <row r="872">
      <c r="A872" s="6"/>
      <c r="B872" s="6"/>
      <c r="C872" s="7"/>
      <c r="D872" s="6"/>
      <c r="E872" s="6"/>
    </row>
    <row r="873">
      <c r="A873" s="6"/>
      <c r="B873" s="6"/>
      <c r="C873" s="7"/>
      <c r="D873" s="6"/>
      <c r="E873" s="6"/>
    </row>
    <row r="874">
      <c r="A874" s="6"/>
      <c r="B874" s="6"/>
      <c r="C874" s="7"/>
      <c r="D874" s="6"/>
      <c r="E874" s="6"/>
    </row>
    <row r="875">
      <c r="A875" s="6"/>
      <c r="B875" s="6"/>
      <c r="C875" s="7"/>
      <c r="D875" s="6"/>
      <c r="E875" s="6"/>
    </row>
    <row r="876">
      <c r="A876" s="6"/>
      <c r="B876" s="6"/>
      <c r="C876" s="7"/>
      <c r="D876" s="6"/>
      <c r="E876" s="6"/>
    </row>
    <row r="877">
      <c r="A877" s="6"/>
      <c r="B877" s="6"/>
      <c r="C877" s="7"/>
      <c r="D877" s="6"/>
      <c r="E877" s="6"/>
    </row>
    <row r="878">
      <c r="A878" s="6"/>
      <c r="B878" s="6"/>
      <c r="C878" s="7"/>
      <c r="D878" s="6"/>
      <c r="E878" s="6"/>
    </row>
    <row r="879">
      <c r="A879" s="6"/>
      <c r="B879" s="6"/>
      <c r="C879" s="7"/>
      <c r="D879" s="6"/>
      <c r="E879" s="6"/>
    </row>
    <row r="880">
      <c r="A880" s="6"/>
      <c r="B880" s="6"/>
      <c r="C880" s="7"/>
      <c r="D880" s="6"/>
      <c r="E880" s="6"/>
    </row>
    <row r="881">
      <c r="A881" s="6"/>
      <c r="B881" s="6"/>
      <c r="C881" s="7"/>
      <c r="D881" s="6"/>
      <c r="E881" s="6"/>
    </row>
    <row r="882">
      <c r="A882" s="6"/>
      <c r="B882" s="6"/>
      <c r="C882" s="7"/>
      <c r="D882" s="6"/>
      <c r="E882" s="6"/>
    </row>
    <row r="883">
      <c r="A883" s="6"/>
      <c r="B883" s="6"/>
      <c r="C883" s="7"/>
      <c r="D883" s="6"/>
      <c r="E883" s="6"/>
    </row>
    <row r="884">
      <c r="A884" s="6"/>
      <c r="B884" s="6"/>
      <c r="C884" s="7"/>
      <c r="D884" s="6"/>
      <c r="E884" s="6"/>
    </row>
    <row r="885">
      <c r="A885" s="6"/>
      <c r="B885" s="6"/>
      <c r="C885" s="7"/>
      <c r="D885" s="6"/>
      <c r="E885" s="6"/>
    </row>
    <row r="886">
      <c r="A886" s="6"/>
      <c r="B886" s="6"/>
      <c r="C886" s="7"/>
      <c r="D886" s="6"/>
      <c r="E886" s="6"/>
    </row>
    <row r="887">
      <c r="A887" s="6"/>
      <c r="B887" s="6"/>
      <c r="C887" s="7"/>
      <c r="D887" s="6"/>
      <c r="E887" s="6"/>
    </row>
    <row r="888">
      <c r="A888" s="6"/>
      <c r="B888" s="6"/>
      <c r="C888" s="7"/>
      <c r="D888" s="6"/>
      <c r="E888" s="6"/>
    </row>
    <row r="889">
      <c r="A889" s="6"/>
      <c r="B889" s="6"/>
      <c r="C889" s="7"/>
      <c r="D889" s="6"/>
      <c r="E889" s="6"/>
    </row>
    <row r="890">
      <c r="A890" s="6"/>
      <c r="B890" s="6"/>
      <c r="C890" s="7"/>
      <c r="D890" s="6"/>
      <c r="E890" s="6"/>
    </row>
    <row r="891">
      <c r="A891" s="6"/>
      <c r="B891" s="6"/>
      <c r="C891" s="7"/>
      <c r="D891" s="6"/>
      <c r="E891" s="6"/>
    </row>
    <row r="892">
      <c r="A892" s="6"/>
      <c r="B892" s="6"/>
      <c r="C892" s="7"/>
      <c r="D892" s="6"/>
      <c r="E892" s="6"/>
    </row>
    <row r="893">
      <c r="A893" s="6"/>
      <c r="B893" s="6"/>
      <c r="C893" s="7"/>
      <c r="D893" s="6"/>
      <c r="E893" s="6"/>
    </row>
    <row r="894">
      <c r="A894" s="6"/>
      <c r="B894" s="6"/>
      <c r="C894" s="7"/>
      <c r="D894" s="6"/>
      <c r="E894" s="6"/>
    </row>
    <row r="895">
      <c r="A895" s="6"/>
      <c r="B895" s="6"/>
      <c r="C895" s="7"/>
      <c r="D895" s="6"/>
      <c r="E895" s="6"/>
    </row>
    <row r="896">
      <c r="A896" s="6"/>
      <c r="B896" s="6"/>
      <c r="C896" s="7"/>
      <c r="D896" s="6"/>
      <c r="E896" s="6"/>
    </row>
    <row r="897">
      <c r="A897" s="6"/>
      <c r="B897" s="6"/>
      <c r="C897" s="7"/>
      <c r="D897" s="6"/>
      <c r="E897" s="6"/>
    </row>
    <row r="898">
      <c r="A898" s="6"/>
      <c r="B898" s="6"/>
      <c r="C898" s="7"/>
      <c r="D898" s="6"/>
      <c r="E898" s="6"/>
    </row>
    <row r="899">
      <c r="A899" s="6"/>
      <c r="B899" s="6"/>
      <c r="C899" s="7"/>
      <c r="D899" s="6"/>
      <c r="E899" s="6"/>
    </row>
    <row r="900">
      <c r="A900" s="6"/>
      <c r="B900" s="6"/>
      <c r="C900" s="7"/>
      <c r="D900" s="6"/>
      <c r="E900" s="6"/>
    </row>
    <row r="901">
      <c r="A901" s="6"/>
      <c r="B901" s="6"/>
      <c r="C901" s="7"/>
      <c r="D901" s="6"/>
      <c r="E901" s="6"/>
    </row>
    <row r="902">
      <c r="A902" s="6"/>
      <c r="B902" s="6"/>
      <c r="C902" s="7"/>
      <c r="D902" s="6"/>
      <c r="E902" s="6"/>
    </row>
    <row r="903">
      <c r="A903" s="6"/>
      <c r="B903" s="6"/>
      <c r="C903" s="7"/>
      <c r="D903" s="6"/>
      <c r="E903" s="6"/>
    </row>
    <row r="904">
      <c r="A904" s="6"/>
      <c r="B904" s="6"/>
      <c r="C904" s="7"/>
      <c r="D904" s="6"/>
      <c r="E904" s="6"/>
    </row>
    <row r="905">
      <c r="A905" s="6"/>
      <c r="B905" s="6"/>
      <c r="C905" s="7"/>
      <c r="D905" s="6"/>
      <c r="E905" s="6"/>
    </row>
    <row r="906">
      <c r="A906" s="6"/>
      <c r="B906" s="6"/>
      <c r="C906" s="7"/>
      <c r="D906" s="6"/>
      <c r="E906" s="6"/>
    </row>
    <row r="907">
      <c r="A907" s="6"/>
      <c r="B907" s="6"/>
      <c r="C907" s="7"/>
      <c r="D907" s="6"/>
      <c r="E907" s="6"/>
    </row>
    <row r="908">
      <c r="A908" s="6"/>
      <c r="B908" s="6"/>
      <c r="C908" s="7"/>
      <c r="D908" s="6"/>
      <c r="E908" s="6"/>
    </row>
    <row r="909">
      <c r="A909" s="6"/>
      <c r="B909" s="6"/>
      <c r="C909" s="7"/>
      <c r="D909" s="6"/>
      <c r="E909" s="6"/>
    </row>
    <row r="910">
      <c r="A910" s="6"/>
      <c r="B910" s="6"/>
      <c r="C910" s="7"/>
      <c r="D910" s="6"/>
      <c r="E910" s="6"/>
    </row>
    <row r="911">
      <c r="A911" s="6"/>
      <c r="B911" s="6"/>
      <c r="C911" s="7"/>
      <c r="D911" s="6"/>
      <c r="E911" s="6"/>
    </row>
    <row r="912">
      <c r="A912" s="6"/>
      <c r="B912" s="6"/>
      <c r="C912" s="7"/>
      <c r="D912" s="6"/>
      <c r="E912" s="6"/>
    </row>
    <row r="913">
      <c r="A913" s="6"/>
      <c r="B913" s="6"/>
      <c r="C913" s="7"/>
      <c r="D913" s="6"/>
      <c r="E913" s="6"/>
    </row>
    <row r="914">
      <c r="A914" s="6"/>
      <c r="B914" s="6"/>
      <c r="C914" s="7"/>
      <c r="D914" s="6"/>
      <c r="E914" s="6"/>
    </row>
    <row r="915">
      <c r="A915" s="6"/>
      <c r="B915" s="6"/>
      <c r="C915" s="7"/>
      <c r="D915" s="6"/>
      <c r="E915" s="6"/>
    </row>
    <row r="916">
      <c r="A916" s="6"/>
      <c r="B916" s="6"/>
      <c r="C916" s="7"/>
      <c r="D916" s="6"/>
      <c r="E916" s="6"/>
    </row>
    <row r="917">
      <c r="A917" s="6"/>
      <c r="B917" s="6"/>
      <c r="C917" s="7"/>
      <c r="D917" s="6"/>
      <c r="E917" s="6"/>
    </row>
    <row r="918">
      <c r="A918" s="6"/>
      <c r="B918" s="6"/>
      <c r="C918" s="7"/>
      <c r="D918" s="6"/>
      <c r="E918" s="6"/>
    </row>
    <row r="919">
      <c r="A919" s="6"/>
      <c r="B919" s="6"/>
      <c r="C919" s="7"/>
      <c r="D919" s="6"/>
      <c r="E919" s="6"/>
    </row>
    <row r="920">
      <c r="A920" s="6"/>
      <c r="B920" s="6"/>
      <c r="C920" s="7"/>
      <c r="D920" s="6"/>
      <c r="E920" s="6"/>
    </row>
    <row r="921">
      <c r="A921" s="6"/>
      <c r="B921" s="6"/>
      <c r="C921" s="7"/>
      <c r="D921" s="6"/>
      <c r="E921" s="6"/>
    </row>
    <row r="922">
      <c r="A922" s="6"/>
      <c r="B922" s="6"/>
      <c r="C922" s="7"/>
      <c r="D922" s="6"/>
      <c r="E922" s="6"/>
    </row>
    <row r="923">
      <c r="A923" s="6"/>
      <c r="B923" s="6"/>
      <c r="C923" s="7"/>
      <c r="D923" s="6"/>
      <c r="E923" s="6"/>
    </row>
    <row r="924">
      <c r="A924" s="6"/>
      <c r="B924" s="6"/>
      <c r="C924" s="7"/>
      <c r="D924" s="6"/>
      <c r="E924" s="6"/>
    </row>
    <row r="925">
      <c r="A925" s="6"/>
      <c r="B925" s="6"/>
      <c r="C925" s="7"/>
      <c r="D925" s="6"/>
      <c r="E925" s="6"/>
    </row>
    <row r="926">
      <c r="A926" s="6"/>
      <c r="B926" s="6"/>
      <c r="C926" s="7"/>
      <c r="D926" s="6"/>
      <c r="E926" s="6"/>
    </row>
    <row r="927">
      <c r="A927" s="6"/>
      <c r="B927" s="6"/>
      <c r="C927" s="7"/>
      <c r="D927" s="6"/>
      <c r="E927" s="6"/>
    </row>
    <row r="928">
      <c r="A928" s="6"/>
      <c r="B928" s="6"/>
      <c r="C928" s="7"/>
      <c r="D928" s="6"/>
      <c r="E928" s="6"/>
    </row>
    <row r="929">
      <c r="A929" s="6"/>
      <c r="B929" s="6"/>
      <c r="C929" s="7"/>
      <c r="D929" s="6"/>
      <c r="E929" s="6"/>
    </row>
    <row r="930">
      <c r="A930" s="6"/>
      <c r="B930" s="6"/>
      <c r="C930" s="7"/>
      <c r="D930" s="6"/>
      <c r="E930" s="6"/>
    </row>
    <row r="931">
      <c r="A931" s="6"/>
      <c r="B931" s="6"/>
      <c r="C931" s="7"/>
      <c r="D931" s="6"/>
      <c r="E931" s="6"/>
    </row>
    <row r="932">
      <c r="A932" s="6"/>
      <c r="B932" s="6"/>
      <c r="C932" s="7"/>
      <c r="D932" s="6"/>
      <c r="E932" s="6"/>
    </row>
    <row r="933">
      <c r="A933" s="6"/>
      <c r="B933" s="6"/>
      <c r="C933" s="7"/>
      <c r="D933" s="6"/>
      <c r="E933" s="6"/>
    </row>
    <row r="934">
      <c r="A934" s="6"/>
      <c r="B934" s="6"/>
      <c r="C934" s="7"/>
      <c r="D934" s="6"/>
      <c r="E934" s="6"/>
    </row>
    <row r="935">
      <c r="A935" s="6"/>
      <c r="B935" s="6"/>
      <c r="C935" s="7"/>
      <c r="D935" s="6"/>
      <c r="E935" s="6"/>
    </row>
    <row r="936">
      <c r="A936" s="6"/>
      <c r="B936" s="6"/>
      <c r="C936" s="7"/>
      <c r="D936" s="6"/>
      <c r="E936" s="6"/>
    </row>
    <row r="937">
      <c r="A937" s="6"/>
      <c r="B937" s="6"/>
      <c r="C937" s="7"/>
      <c r="D937" s="6"/>
      <c r="E937" s="6"/>
    </row>
    <row r="938">
      <c r="A938" s="6"/>
      <c r="B938" s="6"/>
      <c r="C938" s="7"/>
      <c r="D938" s="6"/>
      <c r="E938" s="6"/>
    </row>
    <row r="939">
      <c r="A939" s="6"/>
      <c r="B939" s="6"/>
      <c r="C939" s="7"/>
      <c r="D939" s="6"/>
      <c r="E939" s="6"/>
    </row>
    <row r="940">
      <c r="A940" s="6"/>
      <c r="B940" s="6"/>
      <c r="C940" s="7"/>
      <c r="D940" s="6"/>
      <c r="E940" s="6"/>
    </row>
    <row r="941">
      <c r="A941" s="6"/>
      <c r="B941" s="6"/>
      <c r="C941" s="7"/>
      <c r="D941" s="6"/>
      <c r="E941" s="6"/>
    </row>
    <row r="942">
      <c r="A942" s="6"/>
      <c r="B942" s="6"/>
      <c r="C942" s="7"/>
      <c r="D942" s="6"/>
      <c r="E942" s="6"/>
    </row>
    <row r="943">
      <c r="A943" s="6"/>
      <c r="B943" s="6"/>
      <c r="C943" s="7"/>
      <c r="D943" s="6"/>
      <c r="E943" s="6"/>
    </row>
    <row r="944">
      <c r="A944" s="6"/>
      <c r="B944" s="6"/>
      <c r="C944" s="7"/>
      <c r="D944" s="6"/>
      <c r="E944" s="6"/>
    </row>
    <row r="945">
      <c r="A945" s="6"/>
      <c r="B945" s="6"/>
      <c r="C945" s="7"/>
      <c r="D945" s="6"/>
      <c r="E945" s="6"/>
    </row>
    <row r="946">
      <c r="A946" s="6"/>
      <c r="B946" s="6"/>
      <c r="C946" s="7"/>
      <c r="D946" s="6"/>
      <c r="E946" s="6"/>
    </row>
    <row r="947">
      <c r="A947" s="6"/>
      <c r="B947" s="6"/>
      <c r="C947" s="7"/>
      <c r="D947" s="6"/>
      <c r="E947" s="6"/>
    </row>
    <row r="948">
      <c r="A948" s="6"/>
      <c r="B948" s="6"/>
      <c r="C948" s="7"/>
      <c r="D948" s="6"/>
      <c r="E948" s="6"/>
    </row>
    <row r="949">
      <c r="A949" s="6"/>
      <c r="B949" s="6"/>
      <c r="C949" s="7"/>
      <c r="D949" s="6"/>
      <c r="E949" s="6"/>
    </row>
    <row r="950">
      <c r="A950" s="6"/>
      <c r="B950" s="6"/>
      <c r="C950" s="7"/>
      <c r="D950" s="6"/>
      <c r="E950" s="6"/>
    </row>
    <row r="951">
      <c r="A951" s="6"/>
      <c r="B951" s="6"/>
      <c r="C951" s="7"/>
      <c r="D951" s="6"/>
      <c r="E951" s="6"/>
    </row>
    <row r="952">
      <c r="A952" s="6"/>
      <c r="B952" s="6"/>
      <c r="C952" s="7"/>
      <c r="D952" s="6"/>
      <c r="E952" s="6"/>
    </row>
    <row r="953">
      <c r="A953" s="6"/>
      <c r="B953" s="6"/>
      <c r="C953" s="7"/>
      <c r="D953" s="6"/>
      <c r="E953" s="6"/>
    </row>
    <row r="954">
      <c r="A954" s="6"/>
      <c r="B954" s="6"/>
      <c r="C954" s="7"/>
      <c r="D954" s="6"/>
      <c r="E954" s="6"/>
    </row>
    <row r="955">
      <c r="A955" s="6"/>
      <c r="B955" s="6"/>
      <c r="C955" s="7"/>
      <c r="D955" s="6"/>
      <c r="E955" s="6"/>
    </row>
    <row r="956">
      <c r="A956" s="6"/>
      <c r="B956" s="6"/>
      <c r="C956" s="7"/>
      <c r="D956" s="6"/>
      <c r="E956" s="6"/>
    </row>
    <row r="957">
      <c r="A957" s="6"/>
      <c r="B957" s="6"/>
      <c r="C957" s="7"/>
      <c r="D957" s="6"/>
      <c r="E957" s="6"/>
    </row>
    <row r="958">
      <c r="A958" s="6"/>
      <c r="B958" s="6"/>
      <c r="C958" s="7"/>
      <c r="D958" s="6"/>
      <c r="E958" s="6"/>
    </row>
    <row r="959">
      <c r="A959" s="6"/>
      <c r="B959" s="6"/>
      <c r="C959" s="7"/>
      <c r="D959" s="6"/>
      <c r="E959" s="6"/>
    </row>
    <row r="960">
      <c r="A960" s="6"/>
      <c r="B960" s="6"/>
      <c r="C960" s="7"/>
      <c r="D960" s="6"/>
      <c r="E960" s="6"/>
    </row>
    <row r="961">
      <c r="A961" s="6"/>
      <c r="B961" s="6"/>
      <c r="C961" s="7"/>
      <c r="D961" s="6"/>
      <c r="E961" s="6"/>
    </row>
    <row r="962">
      <c r="A962" s="6"/>
      <c r="B962" s="6"/>
      <c r="C962" s="7"/>
      <c r="D962" s="6"/>
      <c r="E962" s="6"/>
    </row>
    <row r="963">
      <c r="A963" s="6"/>
      <c r="B963" s="6"/>
      <c r="C963" s="7"/>
      <c r="D963" s="6"/>
      <c r="E963" s="6"/>
    </row>
    <row r="964">
      <c r="A964" s="6"/>
      <c r="B964" s="6"/>
      <c r="C964" s="7"/>
      <c r="D964" s="6"/>
      <c r="E964" s="6"/>
    </row>
    <row r="965">
      <c r="A965" s="6"/>
      <c r="B965" s="6"/>
      <c r="C965" s="7"/>
      <c r="D965" s="6"/>
      <c r="E965" s="6"/>
    </row>
    <row r="966">
      <c r="A966" s="6"/>
      <c r="B966" s="6"/>
      <c r="C966" s="7"/>
      <c r="D966" s="6"/>
      <c r="E966" s="6"/>
    </row>
    <row r="967">
      <c r="A967" s="6"/>
      <c r="B967" s="6"/>
      <c r="C967" s="7"/>
      <c r="D967" s="6"/>
      <c r="E967" s="6"/>
    </row>
    <row r="968">
      <c r="A968" s="6"/>
      <c r="B968" s="6"/>
      <c r="C968" s="7"/>
      <c r="D968" s="6"/>
      <c r="E968" s="6"/>
    </row>
    <row r="969">
      <c r="A969" s="6"/>
      <c r="B969" s="6"/>
      <c r="C969" s="7"/>
      <c r="D969" s="6"/>
      <c r="E969" s="6"/>
    </row>
    <row r="970">
      <c r="A970" s="6"/>
      <c r="B970" s="6"/>
      <c r="C970" s="7"/>
      <c r="D970" s="6"/>
      <c r="E970" s="6"/>
    </row>
    <row r="971">
      <c r="A971" s="6"/>
      <c r="B971" s="6"/>
      <c r="C971" s="7"/>
      <c r="D971" s="6"/>
      <c r="E971" s="6"/>
    </row>
    <row r="972">
      <c r="A972" s="6"/>
      <c r="B972" s="6"/>
      <c r="C972" s="7"/>
      <c r="D972" s="6"/>
      <c r="E972" s="6"/>
    </row>
    <row r="973">
      <c r="A973" s="6"/>
      <c r="B973" s="6"/>
      <c r="C973" s="7"/>
      <c r="D973" s="6"/>
      <c r="E973" s="6"/>
    </row>
    <row r="974">
      <c r="A974" s="6"/>
      <c r="B974" s="6"/>
      <c r="C974" s="7"/>
      <c r="D974" s="6"/>
      <c r="E974" s="6"/>
    </row>
    <row r="975">
      <c r="A975" s="6"/>
      <c r="B975" s="6"/>
      <c r="C975" s="7"/>
      <c r="D975" s="6"/>
      <c r="E975" s="6"/>
    </row>
    <row r="976">
      <c r="A976" s="6"/>
      <c r="B976" s="6"/>
      <c r="C976" s="7"/>
      <c r="D976" s="6"/>
      <c r="E976" s="6"/>
    </row>
    <row r="977">
      <c r="A977" s="6"/>
      <c r="B977" s="6"/>
      <c r="C977" s="7"/>
      <c r="D977" s="6"/>
      <c r="E977" s="6"/>
    </row>
    <row r="978">
      <c r="A978" s="6"/>
      <c r="B978" s="6"/>
      <c r="C978" s="7"/>
      <c r="D978" s="6"/>
      <c r="E978" s="6"/>
    </row>
    <row r="979">
      <c r="A979" s="6"/>
      <c r="B979" s="6"/>
      <c r="C979" s="7"/>
      <c r="D979" s="6"/>
      <c r="E979" s="6"/>
    </row>
    <row r="980">
      <c r="A980" s="6"/>
      <c r="B980" s="6"/>
      <c r="C980" s="7"/>
      <c r="D980" s="6"/>
      <c r="E980" s="6"/>
    </row>
    <row r="981">
      <c r="A981" s="6"/>
      <c r="B981" s="6"/>
      <c r="C981" s="7"/>
      <c r="D981" s="6"/>
      <c r="E981" s="6"/>
    </row>
    <row r="982">
      <c r="A982" s="6"/>
      <c r="B982" s="6"/>
      <c r="C982" s="7"/>
      <c r="D982" s="6"/>
      <c r="E982" s="6"/>
    </row>
    <row r="983">
      <c r="A983" s="6"/>
      <c r="B983" s="6"/>
      <c r="C983" s="7"/>
      <c r="D983" s="6"/>
      <c r="E983" s="6"/>
    </row>
    <row r="984">
      <c r="A984" s="6"/>
      <c r="B984" s="6"/>
      <c r="C984" s="7"/>
      <c r="D984" s="6"/>
      <c r="E984" s="6"/>
    </row>
    <row r="985">
      <c r="A985" s="6"/>
      <c r="B985" s="6"/>
      <c r="C985" s="7"/>
      <c r="D985" s="6"/>
      <c r="E985" s="6"/>
    </row>
    <row r="986">
      <c r="A986" s="6"/>
      <c r="B986" s="6"/>
      <c r="C986" s="7"/>
      <c r="D986" s="6"/>
      <c r="E986" s="6"/>
    </row>
    <row r="987">
      <c r="A987" s="6"/>
      <c r="B987" s="6"/>
      <c r="C987" s="7"/>
      <c r="D987" s="6"/>
      <c r="E987" s="6"/>
    </row>
    <row r="988">
      <c r="A988" s="6"/>
      <c r="B988" s="6"/>
      <c r="C988" s="7"/>
      <c r="D988" s="6"/>
      <c r="E988" s="6"/>
    </row>
    <row r="989">
      <c r="A989" s="6"/>
      <c r="B989" s="6"/>
      <c r="C989" s="7"/>
      <c r="D989" s="6"/>
      <c r="E989" s="6"/>
    </row>
    <row r="990">
      <c r="A990" s="6"/>
      <c r="B990" s="6"/>
      <c r="C990" s="7"/>
      <c r="D990" s="6"/>
      <c r="E990" s="6"/>
    </row>
    <row r="991">
      <c r="A991" s="6"/>
      <c r="B991" s="6"/>
      <c r="C991" s="7"/>
      <c r="D991" s="6"/>
      <c r="E991" s="6"/>
    </row>
    <row r="992">
      <c r="A992" s="6"/>
      <c r="B992" s="6"/>
      <c r="C992" s="7"/>
      <c r="D992" s="6"/>
      <c r="E992" s="6"/>
    </row>
    <row r="993">
      <c r="A993" s="6"/>
      <c r="B993" s="6"/>
      <c r="C993" s="7"/>
      <c r="D993" s="6"/>
      <c r="E993" s="6"/>
    </row>
    <row r="994">
      <c r="A994" s="6"/>
      <c r="B994" s="6"/>
      <c r="C994" s="7"/>
      <c r="D994" s="6"/>
      <c r="E994" s="6"/>
    </row>
    <row r="995">
      <c r="A995" s="6"/>
      <c r="B995" s="6"/>
      <c r="C995" s="7"/>
      <c r="D995" s="6"/>
      <c r="E995" s="6"/>
    </row>
    <row r="996">
      <c r="A996" s="6"/>
      <c r="B996" s="6"/>
      <c r="C996" s="7"/>
      <c r="D996" s="6"/>
      <c r="E996" s="6"/>
    </row>
    <row r="997">
      <c r="A997" s="6"/>
      <c r="B997" s="6"/>
      <c r="C997" s="7"/>
      <c r="D997" s="6"/>
      <c r="E997" s="6"/>
    </row>
    <row r="998">
      <c r="A998" s="6"/>
      <c r="B998" s="6"/>
      <c r="C998" s="7"/>
      <c r="D998" s="6"/>
      <c r="E998" s="6"/>
    </row>
    <row r="999">
      <c r="A999" s="6"/>
      <c r="B999" s="6"/>
      <c r="C999" s="7"/>
      <c r="D999" s="6"/>
      <c r="E999" s="6"/>
    </row>
    <row r="1000">
      <c r="A1000" s="6"/>
      <c r="B1000" s="6"/>
      <c r="C1000" s="7"/>
      <c r="D1000" s="6"/>
      <c r="E1000" s="6"/>
    </row>
    <row r="1001">
      <c r="A1001" s="6"/>
      <c r="B1001" s="6"/>
      <c r="C1001" s="7"/>
      <c r="D1001" s="6"/>
      <c r="E1001" s="6"/>
    </row>
    <row r="1002">
      <c r="A1002" s="6"/>
      <c r="B1002" s="6"/>
      <c r="C1002" s="7"/>
      <c r="D1002" s="6"/>
      <c r="E1002" s="6"/>
    </row>
    <row r="1003">
      <c r="A1003" s="6"/>
      <c r="B1003" s="6"/>
      <c r="C1003" s="7"/>
      <c r="D1003" s="6"/>
      <c r="E1003" s="6"/>
    </row>
    <row r="1004">
      <c r="A1004" s="6"/>
      <c r="B1004" s="6"/>
      <c r="C1004" s="7"/>
      <c r="D1004" s="6"/>
      <c r="E1004" s="6"/>
    </row>
    <row r="1005">
      <c r="A1005" s="6"/>
      <c r="B1005" s="6"/>
      <c r="C1005" s="7"/>
      <c r="D1005" s="6"/>
      <c r="E1005" s="6"/>
    </row>
    <row r="1006">
      <c r="A1006" s="6"/>
      <c r="B1006" s="6"/>
      <c r="C1006" s="7"/>
      <c r="D1006" s="6"/>
      <c r="E1006" s="6"/>
    </row>
    <row r="1007">
      <c r="A1007" s="6"/>
      <c r="B1007" s="6"/>
      <c r="C1007" s="7"/>
      <c r="D1007" s="6"/>
      <c r="E1007" s="6"/>
    </row>
    <row r="1008">
      <c r="A1008" s="6"/>
      <c r="B1008" s="6"/>
      <c r="C1008" s="7"/>
      <c r="D1008" s="6"/>
      <c r="E1008" s="6"/>
    </row>
    <row r="1009">
      <c r="A1009" s="6"/>
      <c r="B1009" s="6"/>
      <c r="C1009" s="7"/>
      <c r="D1009" s="6"/>
      <c r="E1009" s="6"/>
    </row>
    <row r="1010">
      <c r="A1010" s="6"/>
      <c r="B1010" s="6"/>
      <c r="C1010" s="7"/>
      <c r="D1010" s="6"/>
      <c r="E1010" s="6"/>
    </row>
    <row r="1011">
      <c r="A1011" s="6"/>
      <c r="B1011" s="6"/>
      <c r="C1011" s="7"/>
      <c r="D1011" s="6"/>
      <c r="E1011" s="6"/>
    </row>
    <row r="1012">
      <c r="A1012" s="6"/>
      <c r="B1012" s="6"/>
      <c r="C1012" s="7"/>
      <c r="D1012" s="6"/>
      <c r="E1012" s="6"/>
    </row>
    <row r="1013">
      <c r="A1013" s="6"/>
      <c r="B1013" s="6"/>
      <c r="C1013" s="7"/>
      <c r="D1013" s="6"/>
      <c r="E1013" s="6"/>
    </row>
    <row r="1014">
      <c r="A1014" s="6"/>
      <c r="B1014" s="6"/>
      <c r="C1014" s="7"/>
      <c r="D1014" s="6"/>
      <c r="E1014" s="6"/>
    </row>
    <row r="1015">
      <c r="A1015" s="6"/>
      <c r="B1015" s="6"/>
      <c r="C1015" s="7"/>
      <c r="D1015" s="6"/>
      <c r="E1015" s="6"/>
    </row>
    <row r="1016">
      <c r="A1016" s="6"/>
      <c r="B1016" s="6"/>
      <c r="C1016" s="7"/>
      <c r="D1016" s="6"/>
      <c r="E1016" s="6"/>
    </row>
    <row r="1017">
      <c r="A1017" s="6"/>
      <c r="B1017" s="6"/>
      <c r="C1017" s="7"/>
      <c r="D1017" s="6"/>
      <c r="E1017" s="6"/>
    </row>
    <row r="1018">
      <c r="A1018" s="6"/>
      <c r="B1018" s="6"/>
      <c r="C1018" s="7"/>
      <c r="D1018" s="6"/>
      <c r="E1018" s="6"/>
    </row>
    <row r="1019">
      <c r="A1019" s="6"/>
      <c r="B1019" s="6"/>
      <c r="C1019" s="7"/>
      <c r="D1019" s="6"/>
      <c r="E1019" s="6"/>
    </row>
    <row r="1020">
      <c r="A1020" s="6"/>
      <c r="B1020" s="6"/>
      <c r="C1020" s="7"/>
      <c r="D1020" s="6"/>
      <c r="E1020" s="6"/>
    </row>
    <row r="1021">
      <c r="A1021" s="6"/>
      <c r="B1021" s="6"/>
      <c r="C1021" s="7"/>
      <c r="D1021" s="6"/>
      <c r="E1021" s="6"/>
    </row>
    <row r="1022">
      <c r="A1022" s="6"/>
      <c r="B1022" s="6"/>
      <c r="C1022" s="7"/>
      <c r="D1022" s="6"/>
      <c r="E1022" s="6"/>
    </row>
    <row r="1023">
      <c r="A1023" s="6"/>
      <c r="B1023" s="6"/>
      <c r="C1023" s="7"/>
      <c r="D1023" s="6"/>
      <c r="E1023" s="6"/>
    </row>
    <row r="1024">
      <c r="A1024" s="6"/>
      <c r="B1024" s="6"/>
      <c r="C1024" s="7"/>
      <c r="D1024" s="6"/>
      <c r="E1024" s="6"/>
    </row>
    <row r="1025">
      <c r="A1025" s="6"/>
      <c r="B1025" s="6"/>
      <c r="C1025" s="7"/>
      <c r="D1025" s="6"/>
      <c r="E1025" s="6"/>
    </row>
    <row r="1026">
      <c r="A1026" s="6"/>
      <c r="B1026" s="6"/>
      <c r="C1026" s="7"/>
      <c r="D1026" s="6"/>
      <c r="E1026" s="6"/>
    </row>
    <row r="1027">
      <c r="A1027" s="6"/>
      <c r="B1027" s="6"/>
      <c r="C1027" s="7"/>
      <c r="D1027" s="6"/>
      <c r="E1027" s="6"/>
    </row>
    <row r="1028">
      <c r="A1028" s="6"/>
      <c r="B1028" s="6"/>
      <c r="C1028" s="7"/>
      <c r="D1028" s="6"/>
      <c r="E1028" s="6"/>
    </row>
    <row r="1029">
      <c r="A1029" s="6"/>
      <c r="B1029" s="6"/>
      <c r="C1029" s="7"/>
      <c r="D1029" s="6"/>
      <c r="E1029" s="6"/>
    </row>
    <row r="1030">
      <c r="A1030" s="6"/>
      <c r="B1030" s="6"/>
      <c r="C1030" s="7"/>
      <c r="D1030" s="6"/>
      <c r="E1030" s="6"/>
    </row>
    <row r="1031">
      <c r="A1031" s="6"/>
      <c r="B1031" s="6"/>
      <c r="C1031" s="7"/>
      <c r="D1031" s="6"/>
      <c r="E1031" s="6"/>
    </row>
    <row r="1032">
      <c r="A1032" s="6"/>
      <c r="B1032" s="6"/>
      <c r="C1032" s="7"/>
      <c r="D1032" s="6"/>
      <c r="E1032" s="6"/>
    </row>
    <row r="1033">
      <c r="A1033" s="6"/>
      <c r="B1033" s="6"/>
      <c r="C1033" s="7"/>
      <c r="D1033" s="6"/>
      <c r="E1033" s="6"/>
    </row>
    <row r="1034">
      <c r="A1034" s="6"/>
      <c r="B1034" s="6"/>
      <c r="C1034" s="7"/>
      <c r="D1034" s="6"/>
      <c r="E1034" s="6"/>
    </row>
    <row r="1035">
      <c r="A1035" s="6"/>
      <c r="B1035" s="6"/>
      <c r="C1035" s="7"/>
      <c r="D1035" s="6"/>
      <c r="E1035" s="6"/>
    </row>
    <row r="1036">
      <c r="A1036" s="6"/>
      <c r="B1036" s="6"/>
      <c r="C1036" s="7"/>
      <c r="D1036" s="6"/>
      <c r="E1036" s="6"/>
    </row>
    <row r="1037">
      <c r="A1037" s="6"/>
      <c r="B1037" s="6"/>
      <c r="C1037" s="7"/>
      <c r="D1037" s="6"/>
      <c r="E1037" s="6"/>
    </row>
    <row r="1038">
      <c r="A1038" s="6"/>
      <c r="B1038" s="6"/>
      <c r="C1038" s="7"/>
      <c r="D1038" s="6"/>
      <c r="E1038" s="6"/>
    </row>
    <row r="1039">
      <c r="A1039" s="6"/>
      <c r="B1039" s="6"/>
      <c r="C1039" s="7"/>
      <c r="D1039" s="6"/>
      <c r="E1039" s="6"/>
    </row>
    <row r="1040">
      <c r="A1040" s="6"/>
      <c r="B1040" s="6"/>
      <c r="C1040" s="7"/>
      <c r="D1040" s="6"/>
      <c r="E1040" s="6"/>
    </row>
    <row r="1041">
      <c r="A1041" s="6"/>
      <c r="B1041" s="6"/>
      <c r="C1041" s="7"/>
      <c r="D1041" s="6"/>
      <c r="E1041" s="6"/>
    </row>
    <row r="1042">
      <c r="A1042" s="6"/>
      <c r="B1042" s="6"/>
      <c r="C1042" s="7"/>
      <c r="D1042" s="6"/>
      <c r="E1042" s="6"/>
    </row>
    <row r="1043">
      <c r="A1043" s="6"/>
      <c r="B1043" s="6"/>
      <c r="C1043" s="7"/>
      <c r="D1043" s="6"/>
      <c r="E1043" s="6"/>
    </row>
    <row r="1044">
      <c r="A1044" s="6"/>
      <c r="B1044" s="6"/>
      <c r="C1044" s="7"/>
      <c r="D1044" s="6"/>
      <c r="E1044" s="6"/>
    </row>
    <row r="1045">
      <c r="A1045" s="6"/>
      <c r="B1045" s="6"/>
      <c r="C1045" s="7"/>
      <c r="D1045" s="6"/>
      <c r="E1045" s="6"/>
    </row>
    <row r="1046">
      <c r="A1046" s="6"/>
      <c r="B1046" s="6"/>
      <c r="C1046" s="7"/>
      <c r="D1046" s="6"/>
      <c r="E1046" s="6"/>
    </row>
    <row r="1047">
      <c r="A1047" s="6"/>
      <c r="B1047" s="6"/>
      <c r="C1047" s="7"/>
      <c r="D1047" s="6"/>
      <c r="E1047" s="6"/>
    </row>
    <row r="1048">
      <c r="A1048" s="6"/>
      <c r="B1048" s="6"/>
      <c r="C1048" s="7"/>
      <c r="D1048" s="6"/>
      <c r="E1048" s="6"/>
    </row>
    <row r="1049">
      <c r="A1049" s="6"/>
      <c r="B1049" s="6"/>
      <c r="C1049" s="7"/>
      <c r="D1049" s="6"/>
      <c r="E1049" s="6"/>
    </row>
    <row r="1050">
      <c r="A1050" s="6"/>
      <c r="B1050" s="6"/>
      <c r="C1050" s="7"/>
      <c r="D1050" s="6"/>
      <c r="E1050" s="6"/>
    </row>
    <row r="1051">
      <c r="A1051" s="6"/>
      <c r="B1051" s="6"/>
      <c r="C1051" s="7"/>
      <c r="D1051" s="6"/>
      <c r="E1051" s="6"/>
    </row>
    <row r="1052">
      <c r="A1052" s="6"/>
      <c r="B1052" s="6"/>
      <c r="C1052" s="7"/>
      <c r="D1052" s="6"/>
      <c r="E1052" s="6"/>
    </row>
    <row r="1053">
      <c r="A1053" s="6"/>
      <c r="B1053" s="6"/>
      <c r="C1053" s="7"/>
      <c r="D1053" s="6"/>
      <c r="E1053" s="6"/>
    </row>
    <row r="1054">
      <c r="A1054" s="6"/>
      <c r="B1054" s="6"/>
      <c r="C1054" s="7"/>
      <c r="D1054" s="6"/>
      <c r="E1054" s="6"/>
    </row>
    <row r="1055">
      <c r="A1055" s="6"/>
      <c r="B1055" s="6"/>
      <c r="C1055" s="7"/>
      <c r="D1055" s="6"/>
      <c r="E1055" s="6"/>
    </row>
    <row r="1056">
      <c r="A1056" s="6"/>
      <c r="B1056" s="6"/>
      <c r="C1056" s="7"/>
      <c r="D1056" s="6"/>
      <c r="E1056" s="6"/>
    </row>
    <row r="1057">
      <c r="A1057" s="6"/>
      <c r="B1057" s="6"/>
      <c r="C1057" s="7"/>
      <c r="D1057" s="6"/>
      <c r="E1057" s="6"/>
    </row>
    <row r="1058">
      <c r="A1058" s="6"/>
      <c r="B1058" s="6"/>
      <c r="C1058" s="7"/>
      <c r="D1058" s="6"/>
      <c r="E1058" s="6"/>
    </row>
    <row r="1059">
      <c r="A1059" s="6"/>
      <c r="B1059" s="6"/>
      <c r="C1059" s="7"/>
      <c r="D1059" s="6"/>
      <c r="E1059" s="6"/>
    </row>
    <row r="1060">
      <c r="A1060" s="6"/>
      <c r="B1060" s="6"/>
      <c r="C1060" s="7"/>
      <c r="D1060" s="6"/>
      <c r="E1060" s="6"/>
    </row>
    <row r="1061">
      <c r="A1061" s="6"/>
      <c r="B1061" s="6"/>
      <c r="C1061" s="7"/>
      <c r="D1061" s="6"/>
      <c r="E1061" s="6"/>
    </row>
    <row r="1062">
      <c r="A1062" s="6"/>
      <c r="B1062" s="6"/>
      <c r="C1062" s="7"/>
      <c r="D1062" s="6"/>
      <c r="E1062" s="6"/>
    </row>
    <row r="1063">
      <c r="A1063" s="6"/>
      <c r="B1063" s="6"/>
      <c r="C1063" s="7"/>
      <c r="D1063" s="6"/>
      <c r="E1063" s="6"/>
    </row>
    <row r="1064">
      <c r="A1064" s="6"/>
      <c r="B1064" s="6"/>
      <c r="C1064" s="7"/>
      <c r="D1064" s="6"/>
      <c r="E1064" s="6"/>
    </row>
    <row r="1065">
      <c r="A1065" s="6"/>
      <c r="B1065" s="6"/>
      <c r="C1065" s="7"/>
      <c r="D1065" s="6"/>
      <c r="E1065" s="6"/>
    </row>
    <row r="1066">
      <c r="A1066" s="6"/>
      <c r="B1066" s="6"/>
      <c r="C1066" s="7"/>
      <c r="D1066" s="6"/>
      <c r="E1066" s="6"/>
    </row>
    <row r="1067">
      <c r="A1067" s="6"/>
      <c r="B1067" s="6"/>
      <c r="C1067" s="7"/>
      <c r="D1067" s="6"/>
      <c r="E1067" s="6"/>
    </row>
    <row r="1068">
      <c r="A1068" s="6"/>
      <c r="B1068" s="6"/>
      <c r="C1068" s="7"/>
      <c r="D1068" s="6"/>
      <c r="E1068" s="6"/>
    </row>
    <row r="1069">
      <c r="A1069" s="6"/>
      <c r="B1069" s="6"/>
      <c r="C1069" s="7"/>
      <c r="D1069" s="6"/>
      <c r="E1069" s="6"/>
    </row>
    <row r="1070">
      <c r="A1070" s="6"/>
      <c r="B1070" s="6"/>
      <c r="C1070" s="7"/>
      <c r="D1070" s="6"/>
      <c r="E1070" s="6"/>
    </row>
    <row r="1071">
      <c r="A1071" s="6"/>
      <c r="B1071" s="6"/>
      <c r="C1071" s="7"/>
      <c r="D1071" s="6"/>
      <c r="E1071" s="6"/>
    </row>
    <row r="1072">
      <c r="A1072" s="6"/>
      <c r="B1072" s="6"/>
      <c r="C1072" s="7"/>
      <c r="D1072" s="6"/>
      <c r="E1072" s="6"/>
    </row>
    <row r="1073">
      <c r="A1073" s="6"/>
      <c r="B1073" s="6"/>
      <c r="C1073" s="7"/>
      <c r="D1073" s="6"/>
      <c r="E1073" s="6"/>
    </row>
    <row r="1074">
      <c r="A1074" s="6"/>
      <c r="B1074" s="6"/>
      <c r="C1074" s="7"/>
      <c r="D1074" s="6"/>
      <c r="E1074" s="6"/>
    </row>
    <row r="1075">
      <c r="A1075" s="6"/>
      <c r="B1075" s="6"/>
      <c r="C1075" s="7"/>
      <c r="D1075" s="6"/>
      <c r="E1075" s="6"/>
    </row>
    <row r="1076">
      <c r="A1076" s="6"/>
      <c r="B1076" s="6"/>
      <c r="C1076" s="7"/>
      <c r="D1076" s="6"/>
      <c r="E1076" s="6"/>
    </row>
    <row r="1077">
      <c r="A1077" s="6"/>
      <c r="B1077" s="6"/>
      <c r="C1077" s="7"/>
      <c r="D1077" s="6"/>
      <c r="E1077" s="6"/>
    </row>
    <row r="1078">
      <c r="A1078" s="6"/>
      <c r="B1078" s="6"/>
      <c r="C1078" s="7"/>
      <c r="D1078" s="6"/>
      <c r="E1078" s="6"/>
    </row>
    <row r="1079">
      <c r="A1079" s="6"/>
      <c r="B1079" s="6"/>
      <c r="C1079" s="7"/>
      <c r="D1079" s="6"/>
      <c r="E1079" s="6"/>
    </row>
    <row r="1080">
      <c r="A1080" s="6"/>
      <c r="B1080" s="6"/>
      <c r="C1080" s="7"/>
      <c r="D1080" s="6"/>
      <c r="E1080" s="6"/>
    </row>
    <row r="1081">
      <c r="A1081" s="6"/>
      <c r="B1081" s="6"/>
      <c r="C1081" s="7"/>
      <c r="D1081" s="6"/>
      <c r="E1081" s="6"/>
    </row>
    <row r="1082">
      <c r="A1082" s="6"/>
      <c r="B1082" s="6"/>
      <c r="C1082" s="7"/>
      <c r="D1082" s="6"/>
      <c r="E1082" s="6"/>
    </row>
    <row r="1083">
      <c r="A1083" s="6"/>
      <c r="B1083" s="6"/>
      <c r="C1083" s="7"/>
      <c r="D1083" s="6"/>
      <c r="E1083" s="6"/>
    </row>
    <row r="1084">
      <c r="A1084" s="6"/>
      <c r="B1084" s="6"/>
      <c r="C1084" s="7"/>
      <c r="D1084" s="6"/>
      <c r="E1084" s="6"/>
    </row>
    <row r="1085">
      <c r="A1085" s="6"/>
      <c r="B1085" s="6"/>
      <c r="C1085" s="7"/>
      <c r="D1085" s="6"/>
      <c r="E1085" s="6"/>
    </row>
    <row r="1086">
      <c r="A1086" s="6"/>
      <c r="B1086" s="6"/>
      <c r="C1086" s="7"/>
      <c r="D1086" s="6"/>
      <c r="E1086" s="6"/>
    </row>
    <row r="1087">
      <c r="A1087" s="6"/>
      <c r="B1087" s="6"/>
      <c r="C1087" s="7"/>
      <c r="D1087" s="6"/>
      <c r="E1087" s="6"/>
    </row>
    <row r="1088">
      <c r="A1088" s="6"/>
      <c r="B1088" s="6"/>
      <c r="C1088" s="7"/>
      <c r="D1088" s="6"/>
      <c r="E1088" s="6"/>
    </row>
    <row r="1089">
      <c r="A1089" s="6"/>
      <c r="B1089" s="6"/>
      <c r="C1089" s="7"/>
      <c r="D1089" s="6"/>
      <c r="E1089" s="6"/>
    </row>
    <row r="1090">
      <c r="A1090" s="6"/>
      <c r="B1090" s="6"/>
      <c r="C1090" s="7"/>
      <c r="D1090" s="6"/>
      <c r="E1090" s="6"/>
    </row>
    <row r="1091">
      <c r="A1091" s="6"/>
      <c r="B1091" s="6"/>
      <c r="C1091" s="7"/>
      <c r="D1091" s="6"/>
      <c r="E1091" s="6"/>
    </row>
    <row r="1092">
      <c r="A1092" s="6"/>
      <c r="B1092" s="6"/>
      <c r="C1092" s="7"/>
      <c r="D1092" s="6"/>
      <c r="E1092" s="6"/>
    </row>
    <row r="1093">
      <c r="A1093" s="6"/>
      <c r="B1093" s="6"/>
      <c r="C1093" s="7"/>
      <c r="D1093" s="6"/>
      <c r="E1093" s="6"/>
    </row>
    <row r="1094">
      <c r="A1094" s="6"/>
      <c r="B1094" s="6"/>
      <c r="C1094" s="7"/>
      <c r="D1094" s="6"/>
      <c r="E1094" s="6"/>
    </row>
    <row r="1095">
      <c r="A1095" s="6"/>
      <c r="B1095" s="6"/>
      <c r="C1095" s="7"/>
      <c r="D1095" s="6"/>
      <c r="E1095" s="6"/>
    </row>
    <row r="1096">
      <c r="A1096" s="6"/>
      <c r="B1096" s="6"/>
      <c r="C1096" s="7"/>
      <c r="D1096" s="6"/>
      <c r="E1096" s="6"/>
    </row>
    <row r="1097">
      <c r="A1097" s="6"/>
      <c r="B1097" s="6"/>
      <c r="C1097" s="7"/>
      <c r="D1097" s="6"/>
      <c r="E1097" s="6"/>
    </row>
    <row r="1098">
      <c r="A1098" s="6"/>
      <c r="B1098" s="6"/>
      <c r="C1098" s="7"/>
      <c r="D1098" s="6"/>
      <c r="E1098" s="6"/>
    </row>
    <row r="1099">
      <c r="A1099" s="6"/>
      <c r="B1099" s="6"/>
      <c r="C1099" s="7"/>
      <c r="D1099" s="6"/>
      <c r="E1099" s="6"/>
    </row>
    <row r="1100">
      <c r="A1100" s="6"/>
      <c r="B1100" s="6"/>
      <c r="C1100" s="7"/>
      <c r="D1100" s="6"/>
      <c r="E1100" s="6"/>
    </row>
    <row r="1101">
      <c r="A1101" s="6"/>
      <c r="B1101" s="6"/>
      <c r="C1101" s="7"/>
      <c r="D1101" s="6"/>
      <c r="E1101" s="6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5" max="5" width="29.38"/>
  </cols>
  <sheetData>
    <row r="1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3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9" t="s">
        <v>32</v>
      </c>
      <c r="Q1" s="9" t="s">
        <v>33</v>
      </c>
      <c r="R1" s="10" t="s">
        <v>34</v>
      </c>
      <c r="S1" s="10" t="s">
        <v>34</v>
      </c>
      <c r="T1" s="10" t="s">
        <v>34</v>
      </c>
      <c r="U1" s="10" t="s">
        <v>34</v>
      </c>
    </row>
    <row r="2" hidden="1">
      <c r="A2" s="11" t="s">
        <v>35</v>
      </c>
      <c r="B2" s="11" t="s">
        <v>36</v>
      </c>
      <c r="C2" s="11" t="s">
        <v>37</v>
      </c>
      <c r="D2" s="11" t="s">
        <v>38</v>
      </c>
      <c r="E2" s="11" t="s">
        <v>39</v>
      </c>
      <c r="F2" s="11"/>
      <c r="G2" s="11"/>
      <c r="H2" s="11" t="s">
        <v>40</v>
      </c>
      <c r="I2" s="12">
        <v>1666.66</v>
      </c>
      <c r="J2" s="12">
        <v>2250.0</v>
      </c>
      <c r="K2" s="11"/>
      <c r="L2" s="11"/>
      <c r="M2" s="11"/>
      <c r="N2" s="11"/>
      <c r="O2" s="11" t="s">
        <v>41</v>
      </c>
      <c r="P2" s="11" t="s">
        <v>42</v>
      </c>
      <c r="Q2" s="13" t="str">
        <f>IFERROR(VLOOKUP(E2,'SF Churn Data'!E:R,14,0),"")</f>
        <v/>
      </c>
    </row>
    <row r="3" hidden="1">
      <c r="A3" s="11" t="s">
        <v>43</v>
      </c>
      <c r="B3" s="11" t="s">
        <v>44</v>
      </c>
      <c r="C3" s="11" t="s">
        <v>45</v>
      </c>
      <c r="D3" s="11" t="s">
        <v>46</v>
      </c>
      <c r="E3" s="11" t="s">
        <v>47</v>
      </c>
      <c r="F3" s="11"/>
      <c r="G3" s="11">
        <v>10.62</v>
      </c>
      <c r="H3" s="11" t="s">
        <v>45</v>
      </c>
      <c r="I3" s="12">
        <v>5100.0</v>
      </c>
      <c r="J3" s="12">
        <v>6150.0</v>
      </c>
      <c r="K3" s="12"/>
      <c r="L3" s="11"/>
      <c r="M3" s="11"/>
      <c r="N3" s="11"/>
      <c r="O3" s="11" t="s">
        <v>41</v>
      </c>
      <c r="P3" s="11" t="s">
        <v>48</v>
      </c>
      <c r="Q3" s="13" t="str">
        <f>IFERROR(VLOOKUP(E3,'SF Churn Data'!E:R,14,0),"")</f>
        <v/>
      </c>
    </row>
    <row r="4" hidden="1">
      <c r="A4" s="11" t="s">
        <v>49</v>
      </c>
      <c r="B4" s="11" t="s">
        <v>45</v>
      </c>
      <c r="C4" s="11" t="s">
        <v>50</v>
      </c>
      <c r="D4" s="11" t="s">
        <v>51</v>
      </c>
      <c r="E4" s="11" t="s">
        <v>52</v>
      </c>
      <c r="F4" s="11"/>
      <c r="G4" s="11">
        <v>9.12</v>
      </c>
      <c r="H4" s="11" t="s">
        <v>40</v>
      </c>
      <c r="I4" s="12">
        <v>3551.0</v>
      </c>
      <c r="J4" s="12">
        <v>4100.0</v>
      </c>
      <c r="K4" s="12">
        <v>4350.0</v>
      </c>
      <c r="L4" s="11"/>
      <c r="M4" s="11"/>
      <c r="N4" s="11"/>
      <c r="O4" s="11" t="s">
        <v>41</v>
      </c>
      <c r="P4" s="11" t="s">
        <v>48</v>
      </c>
      <c r="Q4" s="13" t="str">
        <f>IFERROR(VLOOKUP(E4,'SF Churn Data'!E:R,14,0),"")</f>
        <v/>
      </c>
    </row>
    <row r="5" hidden="1">
      <c r="A5" s="11" t="s">
        <v>43</v>
      </c>
      <c r="B5" s="11" t="s">
        <v>44</v>
      </c>
      <c r="C5" s="11" t="s">
        <v>53</v>
      </c>
      <c r="D5" s="11" t="s">
        <v>54</v>
      </c>
      <c r="E5" s="11" t="s">
        <v>55</v>
      </c>
      <c r="F5" s="11"/>
      <c r="G5" s="11">
        <v>15.03</v>
      </c>
      <c r="H5" s="11" t="s">
        <v>56</v>
      </c>
      <c r="I5" s="12">
        <v>6400.0</v>
      </c>
      <c r="J5" s="12">
        <v>7700.0</v>
      </c>
      <c r="K5" s="11"/>
      <c r="L5" s="11"/>
      <c r="M5" s="11"/>
      <c r="N5" s="11"/>
      <c r="O5" s="11" t="s">
        <v>57</v>
      </c>
      <c r="P5" s="11" t="s">
        <v>48</v>
      </c>
      <c r="Q5" s="13" t="str">
        <f>IFERROR(VLOOKUP(E5,'SF Churn Data'!E:R,14,0),"")</f>
        <v/>
      </c>
    </row>
    <row r="6" hidden="1">
      <c r="A6" s="11" t="s">
        <v>58</v>
      </c>
      <c r="B6" s="11" t="s">
        <v>59</v>
      </c>
      <c r="C6" s="11" t="s">
        <v>53</v>
      </c>
      <c r="D6" s="11" t="s">
        <v>60</v>
      </c>
      <c r="E6" s="11" t="s">
        <v>61</v>
      </c>
      <c r="F6" s="11"/>
      <c r="G6" s="11">
        <v>15.04</v>
      </c>
      <c r="H6" s="11" t="s">
        <v>62</v>
      </c>
      <c r="I6" s="12">
        <v>6430.0</v>
      </c>
      <c r="J6" s="12">
        <v>6450.0</v>
      </c>
      <c r="K6" s="12"/>
      <c r="L6" s="11"/>
      <c r="M6" s="11"/>
      <c r="N6" s="11"/>
      <c r="O6" s="11" t="s">
        <v>57</v>
      </c>
      <c r="P6" s="11" t="s">
        <v>63</v>
      </c>
      <c r="Q6" s="13" t="str">
        <f>IFERROR(VLOOKUP(E6,'SF Churn Data'!E:R,14,0),"")</f>
        <v/>
      </c>
    </row>
    <row r="7" hidden="1">
      <c r="A7" s="11" t="s">
        <v>58</v>
      </c>
      <c r="B7" s="11" t="s">
        <v>59</v>
      </c>
      <c r="C7" s="11" t="s">
        <v>64</v>
      </c>
      <c r="D7" s="11" t="s">
        <v>65</v>
      </c>
      <c r="E7" s="11" t="s">
        <v>66</v>
      </c>
      <c r="F7" s="11"/>
      <c r="G7" s="11">
        <v>17.06</v>
      </c>
      <c r="H7" s="11" t="s">
        <v>67</v>
      </c>
      <c r="I7" s="12">
        <v>6861.0</v>
      </c>
      <c r="J7" s="12">
        <v>6900.0</v>
      </c>
      <c r="K7" s="11"/>
      <c r="L7" s="11"/>
      <c r="M7" s="11"/>
      <c r="N7" s="11"/>
      <c r="O7" s="11" t="s">
        <v>57</v>
      </c>
      <c r="P7" s="11" t="s">
        <v>63</v>
      </c>
      <c r="Q7" s="13" t="str">
        <f>IFERROR(VLOOKUP(E7,'SF Churn Data'!E:R,14,0),"")</f>
        <v/>
      </c>
    </row>
    <row r="8" hidden="1">
      <c r="A8" s="11" t="s">
        <v>58</v>
      </c>
      <c r="B8" s="11" t="s">
        <v>59</v>
      </c>
      <c r="C8" s="11" t="s">
        <v>53</v>
      </c>
      <c r="D8" s="11" t="s">
        <v>68</v>
      </c>
      <c r="E8" s="11" t="s">
        <v>69</v>
      </c>
      <c r="F8" s="11"/>
      <c r="G8" s="11">
        <v>15.04</v>
      </c>
      <c r="H8" s="11" t="s">
        <v>62</v>
      </c>
      <c r="I8" s="12">
        <v>6430.0</v>
      </c>
      <c r="J8" s="12">
        <v>6450.0</v>
      </c>
      <c r="K8" s="11"/>
      <c r="L8" s="11"/>
      <c r="M8" s="11"/>
      <c r="N8" s="11"/>
      <c r="O8" s="11" t="s">
        <v>57</v>
      </c>
      <c r="P8" s="11" t="s">
        <v>63</v>
      </c>
      <c r="Q8" s="13" t="str">
        <f>IFERROR(VLOOKUP(E8,'SF Churn Data'!E:R,14,0),"")</f>
        <v/>
      </c>
    </row>
    <row r="9" hidden="1">
      <c r="A9" s="11" t="s">
        <v>58</v>
      </c>
      <c r="B9" s="11" t="s">
        <v>59</v>
      </c>
      <c r="C9" s="11" t="s">
        <v>53</v>
      </c>
      <c r="D9" s="11" t="s">
        <v>70</v>
      </c>
      <c r="E9" s="11" t="s">
        <v>71</v>
      </c>
      <c r="F9" s="11"/>
      <c r="G9" s="11">
        <v>15.15</v>
      </c>
      <c r="H9" s="11" t="s">
        <v>62</v>
      </c>
      <c r="I9" s="12">
        <v>6430.0</v>
      </c>
      <c r="J9" s="12">
        <v>6450.0</v>
      </c>
      <c r="K9" s="12"/>
      <c r="L9" s="11"/>
      <c r="M9" s="11"/>
      <c r="N9" s="11"/>
      <c r="O9" s="11" t="s">
        <v>57</v>
      </c>
      <c r="P9" s="11" t="s">
        <v>63</v>
      </c>
      <c r="Q9" s="13" t="str">
        <f>IFERROR(VLOOKUP(E9,'SF Churn Data'!E:R,14,0),"")</f>
        <v/>
      </c>
    </row>
    <row r="10" hidden="1">
      <c r="A10" s="11" t="s">
        <v>58</v>
      </c>
      <c r="B10" s="11" t="s">
        <v>59</v>
      </c>
      <c r="C10" s="11" t="s">
        <v>64</v>
      </c>
      <c r="D10" s="11" t="s">
        <v>72</v>
      </c>
      <c r="E10" s="11" t="s">
        <v>73</v>
      </c>
      <c r="F10" s="11"/>
      <c r="G10" s="11">
        <v>17.06</v>
      </c>
      <c r="H10" s="11" t="s">
        <v>67</v>
      </c>
      <c r="I10" s="12">
        <v>6861.0</v>
      </c>
      <c r="J10" s="12">
        <v>6900.0</v>
      </c>
      <c r="K10" s="12"/>
      <c r="L10" s="11"/>
      <c r="M10" s="11"/>
      <c r="N10" s="11"/>
      <c r="O10" s="11" t="s">
        <v>57</v>
      </c>
      <c r="P10" s="11" t="s">
        <v>63</v>
      </c>
      <c r="Q10" s="13" t="str">
        <f>IFERROR(VLOOKUP(E10,'SF Churn Data'!E:R,14,0),"")</f>
        <v/>
      </c>
    </row>
    <row r="11" hidden="1">
      <c r="A11" s="11" t="s">
        <v>58</v>
      </c>
      <c r="B11" s="11" t="s">
        <v>59</v>
      </c>
      <c r="C11" s="11" t="s">
        <v>53</v>
      </c>
      <c r="D11" s="11" t="s">
        <v>74</v>
      </c>
      <c r="E11" s="11" t="s">
        <v>75</v>
      </c>
      <c r="F11" s="11"/>
      <c r="G11" s="11">
        <v>15.04</v>
      </c>
      <c r="H11" s="11" t="s">
        <v>62</v>
      </c>
      <c r="I11" s="12">
        <v>6430.0</v>
      </c>
      <c r="J11" s="12">
        <v>6450.0</v>
      </c>
      <c r="K11" s="11"/>
      <c r="L11" s="11"/>
      <c r="M11" s="11"/>
      <c r="N11" s="11"/>
      <c r="O11" s="11" t="s">
        <v>57</v>
      </c>
      <c r="P11" s="11" t="s">
        <v>63</v>
      </c>
      <c r="Q11" s="13" t="str">
        <f>IFERROR(VLOOKUP(E11,'SF Churn Data'!E:R,14,0),"")</f>
        <v/>
      </c>
    </row>
    <row r="12" hidden="1">
      <c r="A12" s="11" t="s">
        <v>58</v>
      </c>
      <c r="B12" s="11" t="s">
        <v>59</v>
      </c>
      <c r="C12" s="11" t="s">
        <v>76</v>
      </c>
      <c r="D12" s="11" t="s">
        <v>77</v>
      </c>
      <c r="E12" s="11" t="s">
        <v>78</v>
      </c>
      <c r="F12" s="11"/>
      <c r="G12" s="11">
        <v>19.04</v>
      </c>
      <c r="H12" s="11" t="s">
        <v>67</v>
      </c>
      <c r="I12" s="12">
        <v>7300.0</v>
      </c>
      <c r="J12" s="12">
        <v>7300.0</v>
      </c>
      <c r="K12" s="12"/>
      <c r="L12" s="11"/>
      <c r="M12" s="11"/>
      <c r="N12" s="11"/>
      <c r="O12" s="11" t="s">
        <v>57</v>
      </c>
      <c r="P12" s="11" t="s">
        <v>63</v>
      </c>
      <c r="Q12" s="13" t="str">
        <f>IFERROR(VLOOKUP(E12,'SF Churn Data'!E:R,14,0),"")</f>
        <v/>
      </c>
    </row>
    <row r="13" hidden="1">
      <c r="A13" s="11" t="s">
        <v>58</v>
      </c>
      <c r="B13" s="11" t="s">
        <v>59</v>
      </c>
      <c r="C13" s="11" t="s">
        <v>76</v>
      </c>
      <c r="D13" s="11" t="s">
        <v>79</v>
      </c>
      <c r="E13" s="11" t="s">
        <v>80</v>
      </c>
      <c r="F13" s="11"/>
      <c r="G13" s="11">
        <v>19.04</v>
      </c>
      <c r="H13" s="11" t="s">
        <v>67</v>
      </c>
      <c r="I13" s="12">
        <v>7300.0</v>
      </c>
      <c r="J13" s="12">
        <v>7300.0</v>
      </c>
      <c r="K13" s="12"/>
      <c r="L13" s="11"/>
      <c r="M13" s="11"/>
      <c r="N13" s="11"/>
      <c r="O13" s="11" t="s">
        <v>57</v>
      </c>
      <c r="P13" s="11" t="s">
        <v>63</v>
      </c>
      <c r="Q13" s="13" t="str">
        <f>IFERROR(VLOOKUP(E13,'SF Churn Data'!E:R,14,0),"")</f>
        <v/>
      </c>
    </row>
    <row r="14" hidden="1">
      <c r="A14" s="11" t="s">
        <v>58</v>
      </c>
      <c r="B14" s="11" t="s">
        <v>59</v>
      </c>
      <c r="C14" s="11" t="s">
        <v>53</v>
      </c>
      <c r="D14" s="11" t="s">
        <v>81</v>
      </c>
      <c r="E14" s="11" t="s">
        <v>82</v>
      </c>
      <c r="F14" s="11"/>
      <c r="G14" s="11">
        <v>15.03</v>
      </c>
      <c r="H14" s="11" t="s">
        <v>62</v>
      </c>
      <c r="I14" s="12">
        <v>6430.0</v>
      </c>
      <c r="J14" s="12">
        <v>6450.0</v>
      </c>
      <c r="K14" s="12"/>
      <c r="L14" s="11"/>
      <c r="M14" s="11"/>
      <c r="N14" s="11"/>
      <c r="O14" s="11" t="s">
        <v>83</v>
      </c>
      <c r="P14" s="11" t="s">
        <v>63</v>
      </c>
      <c r="Q14" s="13" t="str">
        <f>IFERROR(VLOOKUP(E14,'SF Churn Data'!E:R,14,0),"")</f>
        <v/>
      </c>
    </row>
    <row r="15" hidden="1">
      <c r="A15" s="11" t="s">
        <v>58</v>
      </c>
      <c r="B15" s="11" t="s">
        <v>59</v>
      </c>
      <c r="C15" s="11" t="s">
        <v>76</v>
      </c>
      <c r="D15" s="11" t="s">
        <v>84</v>
      </c>
      <c r="E15" s="11" t="s">
        <v>85</v>
      </c>
      <c r="F15" s="11"/>
      <c r="G15" s="11">
        <v>19.15</v>
      </c>
      <c r="H15" s="11" t="s">
        <v>67</v>
      </c>
      <c r="I15" s="12">
        <v>7300.0</v>
      </c>
      <c r="J15" s="12">
        <v>7300.0</v>
      </c>
      <c r="K15" s="12"/>
      <c r="L15" s="11"/>
      <c r="M15" s="11"/>
      <c r="N15" s="11"/>
      <c r="O15" s="11" t="s">
        <v>83</v>
      </c>
      <c r="P15" s="11" t="s">
        <v>63</v>
      </c>
      <c r="Q15" s="13" t="str">
        <f>IFERROR(VLOOKUP(E15,'SF Churn Data'!E:R,14,0),"")</f>
        <v/>
      </c>
    </row>
    <row r="16" hidden="1">
      <c r="A16" s="11" t="s">
        <v>58</v>
      </c>
      <c r="B16" s="11" t="s">
        <v>59</v>
      </c>
      <c r="C16" s="11" t="s">
        <v>53</v>
      </c>
      <c r="D16" s="11" t="s">
        <v>86</v>
      </c>
      <c r="E16" s="11" t="s">
        <v>87</v>
      </c>
      <c r="F16" s="11"/>
      <c r="G16" s="11">
        <v>15.03</v>
      </c>
      <c r="H16" s="11" t="s">
        <v>62</v>
      </c>
      <c r="I16" s="12">
        <v>6430.0</v>
      </c>
      <c r="J16" s="12">
        <v>6450.0</v>
      </c>
      <c r="K16" s="12"/>
      <c r="L16" s="11"/>
      <c r="M16" s="11"/>
      <c r="N16" s="11"/>
      <c r="O16" s="11" t="s">
        <v>83</v>
      </c>
      <c r="P16" s="11" t="s">
        <v>63</v>
      </c>
      <c r="Q16" s="13" t="str">
        <f>IFERROR(VLOOKUP(E16,'SF Churn Data'!E:R,14,0),"")</f>
        <v/>
      </c>
    </row>
    <row r="17" hidden="1">
      <c r="A17" s="11" t="s">
        <v>58</v>
      </c>
      <c r="B17" s="11" t="s">
        <v>59</v>
      </c>
      <c r="C17" s="11" t="s">
        <v>76</v>
      </c>
      <c r="D17" s="11" t="s">
        <v>88</v>
      </c>
      <c r="E17" s="11" t="s">
        <v>89</v>
      </c>
      <c r="F17" s="11"/>
      <c r="G17" s="11">
        <v>19.04</v>
      </c>
      <c r="H17" s="11" t="s">
        <v>67</v>
      </c>
      <c r="I17" s="12">
        <v>7300.0</v>
      </c>
      <c r="J17" s="12">
        <v>7300.0</v>
      </c>
      <c r="K17" s="12"/>
      <c r="L17" s="11"/>
      <c r="M17" s="11"/>
      <c r="N17" s="11"/>
      <c r="O17" s="11" t="s">
        <v>83</v>
      </c>
      <c r="P17" s="11" t="s">
        <v>63</v>
      </c>
      <c r="Q17" s="13" t="str">
        <f>IFERROR(VLOOKUP(E17,'SF Churn Data'!E:R,14,0),"")</f>
        <v/>
      </c>
    </row>
    <row r="18" hidden="1">
      <c r="A18" s="11" t="s">
        <v>58</v>
      </c>
      <c r="B18" s="11" t="s">
        <v>59</v>
      </c>
      <c r="C18" s="11" t="s">
        <v>76</v>
      </c>
      <c r="D18" s="11" t="s">
        <v>90</v>
      </c>
      <c r="E18" s="11" t="s">
        <v>91</v>
      </c>
      <c r="F18" s="11"/>
      <c r="G18" s="11">
        <v>19.04</v>
      </c>
      <c r="H18" s="11" t="s">
        <v>67</v>
      </c>
      <c r="I18" s="12">
        <v>7300.0</v>
      </c>
      <c r="J18" s="12">
        <v>7300.0</v>
      </c>
      <c r="K18" s="11"/>
      <c r="L18" s="11"/>
      <c r="M18" s="11"/>
      <c r="N18" s="11"/>
      <c r="O18" s="11" t="s">
        <v>83</v>
      </c>
      <c r="P18" s="11" t="s">
        <v>63</v>
      </c>
      <c r="Q18" s="13" t="str">
        <f>IFERROR(VLOOKUP(E18,'SF Churn Data'!E:R,14,0),"")</f>
        <v/>
      </c>
    </row>
    <row r="19" hidden="1">
      <c r="A19" s="11" t="s">
        <v>58</v>
      </c>
      <c r="B19" s="11" t="s">
        <v>59</v>
      </c>
      <c r="C19" s="11" t="s">
        <v>64</v>
      </c>
      <c r="D19" s="11" t="s">
        <v>92</v>
      </c>
      <c r="E19" s="11" t="s">
        <v>93</v>
      </c>
      <c r="F19" s="11"/>
      <c r="G19" s="11">
        <v>17.06</v>
      </c>
      <c r="H19" s="11" t="s">
        <v>67</v>
      </c>
      <c r="I19" s="12">
        <v>6861.0</v>
      </c>
      <c r="J19" s="12">
        <v>6900.0</v>
      </c>
      <c r="K19" s="12"/>
      <c r="L19" s="11"/>
      <c r="M19" s="11"/>
      <c r="N19" s="11"/>
      <c r="O19" s="11" t="s">
        <v>57</v>
      </c>
      <c r="P19" s="11" t="s">
        <v>63</v>
      </c>
      <c r="Q19" s="13" t="str">
        <f>IFERROR(VLOOKUP(E19,'SF Churn Data'!E:R,14,0),"")</f>
        <v/>
      </c>
    </row>
    <row r="20" hidden="1">
      <c r="A20" s="11" t="s">
        <v>58</v>
      </c>
      <c r="B20" s="11" t="s">
        <v>59</v>
      </c>
      <c r="C20" s="11" t="s">
        <v>53</v>
      </c>
      <c r="D20" s="11" t="s">
        <v>94</v>
      </c>
      <c r="E20" s="11" t="s">
        <v>95</v>
      </c>
      <c r="F20" s="11"/>
      <c r="G20" s="11">
        <v>15.03</v>
      </c>
      <c r="H20" s="11" t="s">
        <v>62</v>
      </c>
      <c r="I20" s="12">
        <v>6430.0</v>
      </c>
      <c r="J20" s="12">
        <v>6450.0</v>
      </c>
      <c r="K20" s="11"/>
      <c r="L20" s="11"/>
      <c r="M20" s="11"/>
      <c r="N20" s="11"/>
      <c r="O20" s="11" t="s">
        <v>83</v>
      </c>
      <c r="P20" s="11" t="s">
        <v>63</v>
      </c>
      <c r="Q20" s="13" t="str">
        <f>IFERROR(VLOOKUP(E20,'SF Churn Data'!E:R,14,0),"")</f>
        <v/>
      </c>
    </row>
    <row r="21" hidden="1">
      <c r="A21" s="11" t="s">
        <v>58</v>
      </c>
      <c r="B21" s="11" t="s">
        <v>59</v>
      </c>
      <c r="C21" s="11" t="s">
        <v>53</v>
      </c>
      <c r="D21" s="11" t="s">
        <v>96</v>
      </c>
      <c r="E21" s="11" t="s">
        <v>97</v>
      </c>
      <c r="F21" s="11"/>
      <c r="G21" s="11">
        <v>15.03</v>
      </c>
      <c r="H21" s="11" t="s">
        <v>62</v>
      </c>
      <c r="I21" s="12">
        <v>6430.0</v>
      </c>
      <c r="J21" s="12">
        <v>6450.0</v>
      </c>
      <c r="K21" s="11"/>
      <c r="L21" s="11"/>
      <c r="M21" s="11"/>
      <c r="N21" s="11"/>
      <c r="O21" s="11" t="s">
        <v>83</v>
      </c>
      <c r="P21" s="11" t="s">
        <v>63</v>
      </c>
      <c r="Q21" s="13" t="str">
        <f>IFERROR(VLOOKUP(E21,'SF Churn Data'!E:R,14,0),"")</f>
        <v/>
      </c>
    </row>
    <row r="22" hidden="1">
      <c r="A22" s="11" t="s">
        <v>58</v>
      </c>
      <c r="B22" s="11" t="s">
        <v>59</v>
      </c>
      <c r="C22" s="11" t="s">
        <v>53</v>
      </c>
      <c r="D22" s="11" t="s">
        <v>98</v>
      </c>
      <c r="E22" s="11" t="s">
        <v>99</v>
      </c>
      <c r="F22" s="11"/>
      <c r="G22" s="11">
        <v>15.04</v>
      </c>
      <c r="H22" s="11" t="s">
        <v>62</v>
      </c>
      <c r="I22" s="12">
        <v>6430.0</v>
      </c>
      <c r="J22" s="12">
        <v>6450.0</v>
      </c>
      <c r="K22" s="11"/>
      <c r="L22" s="11"/>
      <c r="M22" s="11"/>
      <c r="N22" s="11"/>
      <c r="O22" s="11" t="s">
        <v>57</v>
      </c>
      <c r="P22" s="11" t="s">
        <v>63</v>
      </c>
      <c r="Q22" s="13" t="str">
        <f>IFERROR(VLOOKUP(E22,'SF Churn Data'!E:R,14,0),"")</f>
        <v/>
      </c>
    </row>
    <row r="23" hidden="1">
      <c r="A23" s="11" t="s">
        <v>58</v>
      </c>
      <c r="B23" s="11" t="s">
        <v>59</v>
      </c>
      <c r="C23" s="11" t="s">
        <v>64</v>
      </c>
      <c r="D23" s="11" t="s">
        <v>100</v>
      </c>
      <c r="E23" s="11" t="s">
        <v>101</v>
      </c>
      <c r="F23" s="11"/>
      <c r="G23" s="11">
        <v>17.06</v>
      </c>
      <c r="H23" s="11" t="s">
        <v>67</v>
      </c>
      <c r="I23" s="12">
        <v>6861.0</v>
      </c>
      <c r="J23" s="12">
        <v>6900.0</v>
      </c>
      <c r="K23" s="11"/>
      <c r="L23" s="11"/>
      <c r="M23" s="11"/>
      <c r="N23" s="11"/>
      <c r="O23" s="11" t="s">
        <v>57</v>
      </c>
      <c r="P23" s="11" t="s">
        <v>63</v>
      </c>
      <c r="Q23" s="13" t="str">
        <f>IFERROR(VLOOKUP(E23,'SF Churn Data'!E:R,14,0),"")</f>
        <v/>
      </c>
    </row>
    <row r="24" hidden="1">
      <c r="A24" s="11" t="s">
        <v>58</v>
      </c>
      <c r="B24" s="11" t="s">
        <v>59</v>
      </c>
      <c r="C24" s="11" t="s">
        <v>64</v>
      </c>
      <c r="D24" s="11" t="s">
        <v>102</v>
      </c>
      <c r="E24" s="11" t="s">
        <v>103</v>
      </c>
      <c r="F24" s="11"/>
      <c r="G24" s="11">
        <v>17.06</v>
      </c>
      <c r="H24" s="11" t="s">
        <v>67</v>
      </c>
      <c r="I24" s="12">
        <v>6861.0</v>
      </c>
      <c r="J24" s="12">
        <v>6900.0</v>
      </c>
      <c r="K24" s="11"/>
      <c r="L24" s="11"/>
      <c r="M24" s="11"/>
      <c r="N24" s="11"/>
      <c r="O24" s="11" t="s">
        <v>57</v>
      </c>
      <c r="P24" s="11" t="s">
        <v>63</v>
      </c>
      <c r="Q24" s="13" t="str">
        <f>IFERROR(VLOOKUP(E24,'SF Churn Data'!E:R,14,0),"")</f>
        <v/>
      </c>
    </row>
    <row r="25" hidden="1">
      <c r="A25" s="11" t="s">
        <v>58</v>
      </c>
      <c r="B25" s="11" t="s">
        <v>59</v>
      </c>
      <c r="C25" s="11" t="s">
        <v>53</v>
      </c>
      <c r="D25" s="11" t="s">
        <v>104</v>
      </c>
      <c r="E25" s="11" t="s">
        <v>105</v>
      </c>
      <c r="F25" s="11"/>
      <c r="G25" s="11">
        <v>15.04</v>
      </c>
      <c r="H25" s="11" t="s">
        <v>62</v>
      </c>
      <c r="I25" s="12">
        <v>6430.0</v>
      </c>
      <c r="J25" s="12">
        <v>6450.0</v>
      </c>
      <c r="K25" s="12"/>
      <c r="L25" s="11"/>
      <c r="M25" s="11"/>
      <c r="N25" s="11"/>
      <c r="O25" s="11" t="s">
        <v>57</v>
      </c>
      <c r="P25" s="11" t="s">
        <v>63</v>
      </c>
      <c r="Q25" s="13" t="str">
        <f>IFERROR(VLOOKUP(E25,'SF Churn Data'!E:R,14,0),"")</f>
        <v/>
      </c>
    </row>
    <row r="26" hidden="1">
      <c r="A26" s="11" t="s">
        <v>58</v>
      </c>
      <c r="B26" s="11" t="s">
        <v>59</v>
      </c>
      <c r="C26" s="11" t="s">
        <v>64</v>
      </c>
      <c r="D26" s="11" t="s">
        <v>106</v>
      </c>
      <c r="E26" s="11" t="s">
        <v>107</v>
      </c>
      <c r="F26" s="11"/>
      <c r="G26" s="11">
        <v>17.06</v>
      </c>
      <c r="H26" s="11" t="s">
        <v>67</v>
      </c>
      <c r="I26" s="12">
        <v>6861.0</v>
      </c>
      <c r="J26" s="12">
        <v>6900.0</v>
      </c>
      <c r="K26" s="11"/>
      <c r="L26" s="11"/>
      <c r="M26" s="11"/>
      <c r="N26" s="11"/>
      <c r="O26" s="11" t="s">
        <v>57</v>
      </c>
      <c r="P26" s="11" t="s">
        <v>63</v>
      </c>
      <c r="Q26" s="13" t="str">
        <f>IFERROR(VLOOKUP(E26,'SF Churn Data'!E:R,14,0),"")</f>
        <v/>
      </c>
    </row>
    <row r="27" hidden="1">
      <c r="A27" s="11" t="s">
        <v>58</v>
      </c>
      <c r="B27" s="11" t="s">
        <v>59</v>
      </c>
      <c r="C27" s="11" t="s">
        <v>64</v>
      </c>
      <c r="D27" s="11" t="s">
        <v>108</v>
      </c>
      <c r="E27" s="11" t="s">
        <v>109</v>
      </c>
      <c r="F27" s="11"/>
      <c r="G27" s="11">
        <v>17.06</v>
      </c>
      <c r="H27" s="11" t="s">
        <v>67</v>
      </c>
      <c r="I27" s="12">
        <v>6861.0</v>
      </c>
      <c r="J27" s="12">
        <v>6900.0</v>
      </c>
      <c r="K27" s="12"/>
      <c r="L27" s="11"/>
      <c r="M27" s="11"/>
      <c r="N27" s="11"/>
      <c r="O27" s="11" t="s">
        <v>57</v>
      </c>
      <c r="P27" s="11" t="s">
        <v>63</v>
      </c>
      <c r="Q27" s="13" t="str">
        <f>IFERROR(VLOOKUP(E27,'SF Churn Data'!E:R,14,0),"")</f>
        <v/>
      </c>
    </row>
    <row r="28" hidden="1">
      <c r="A28" s="11" t="s">
        <v>58</v>
      </c>
      <c r="B28" s="11" t="s">
        <v>59</v>
      </c>
      <c r="C28" s="11" t="s">
        <v>53</v>
      </c>
      <c r="D28" s="11" t="s">
        <v>110</v>
      </c>
      <c r="E28" s="11" t="s">
        <v>111</v>
      </c>
      <c r="F28" s="11"/>
      <c r="G28" s="11">
        <v>15.04</v>
      </c>
      <c r="H28" s="11" t="s">
        <v>62</v>
      </c>
      <c r="I28" s="12">
        <v>6430.0</v>
      </c>
      <c r="J28" s="12">
        <v>6450.0</v>
      </c>
      <c r="K28" s="12"/>
      <c r="L28" s="11"/>
      <c r="M28" s="11"/>
      <c r="N28" s="11"/>
      <c r="O28" s="11" t="s">
        <v>57</v>
      </c>
      <c r="P28" s="11" t="s">
        <v>63</v>
      </c>
      <c r="Q28" s="13" t="str">
        <f>IFERROR(VLOOKUP(E28,'SF Churn Data'!E:R,14,0),"")</f>
        <v/>
      </c>
    </row>
    <row r="29" hidden="1">
      <c r="A29" s="11" t="s">
        <v>112</v>
      </c>
      <c r="B29" s="11" t="s">
        <v>44</v>
      </c>
      <c r="C29" s="11" t="s">
        <v>113</v>
      </c>
      <c r="D29" s="11" t="s">
        <v>114</v>
      </c>
      <c r="E29" s="11" t="s">
        <v>115</v>
      </c>
      <c r="F29" s="11"/>
      <c r="G29" s="11">
        <v>11.9</v>
      </c>
      <c r="H29" s="11" t="s">
        <v>116</v>
      </c>
      <c r="I29" s="12">
        <v>5148.0</v>
      </c>
      <c r="J29" s="12">
        <v>7250.0</v>
      </c>
      <c r="K29" s="12">
        <v>6200.0</v>
      </c>
      <c r="L29" s="11"/>
      <c r="M29" s="11"/>
      <c r="N29" s="11"/>
      <c r="O29" s="11" t="s">
        <v>117</v>
      </c>
      <c r="P29" s="11" t="s">
        <v>42</v>
      </c>
      <c r="Q29" s="13" t="str">
        <f>IFERROR(VLOOKUP(E29,'SF Churn Data'!E:R,14,0),"")</f>
        <v/>
      </c>
    </row>
    <row r="30" hidden="1">
      <c r="A30" s="11" t="s">
        <v>112</v>
      </c>
      <c r="B30" s="11" t="s">
        <v>44</v>
      </c>
      <c r="C30" s="11" t="s">
        <v>53</v>
      </c>
      <c r="D30" s="11" t="s">
        <v>118</v>
      </c>
      <c r="E30" s="11" t="s">
        <v>119</v>
      </c>
      <c r="F30" s="11"/>
      <c r="G30" s="11">
        <v>16.9</v>
      </c>
      <c r="H30" s="11" t="s">
        <v>120</v>
      </c>
      <c r="I30" s="12">
        <v>6437.0</v>
      </c>
      <c r="J30" s="12">
        <v>9050.0</v>
      </c>
      <c r="K30" s="11">
        <v>7750.0</v>
      </c>
      <c r="L30" s="11"/>
      <c r="M30" s="11"/>
      <c r="N30" s="11"/>
      <c r="O30" s="11" t="s">
        <v>117</v>
      </c>
      <c r="P30" s="11" t="s">
        <v>42</v>
      </c>
      <c r="Q30" s="13" t="str">
        <f>IFERROR(VLOOKUP(E30,'SF Churn Data'!E:R,14,0),"")</f>
        <v/>
      </c>
    </row>
    <row r="31" hidden="1">
      <c r="A31" s="11" t="s">
        <v>112</v>
      </c>
      <c r="B31" s="11" t="s">
        <v>44</v>
      </c>
      <c r="C31" s="11" t="s">
        <v>53</v>
      </c>
      <c r="D31" s="11" t="s">
        <v>121</v>
      </c>
      <c r="E31" s="11" t="s">
        <v>122</v>
      </c>
      <c r="F31" s="11"/>
      <c r="G31" s="11">
        <v>16.0</v>
      </c>
      <c r="H31" s="11" t="s">
        <v>56</v>
      </c>
      <c r="I31" s="12">
        <v>6008.0</v>
      </c>
      <c r="J31" s="12">
        <v>8450.0</v>
      </c>
      <c r="K31" s="11">
        <v>7300.0</v>
      </c>
      <c r="L31" s="11"/>
      <c r="M31" s="11"/>
      <c r="N31" s="11"/>
      <c r="O31" s="11" t="s">
        <v>117</v>
      </c>
      <c r="P31" s="11" t="s">
        <v>42</v>
      </c>
      <c r="Q31" s="13" t="str">
        <f>IFERROR(VLOOKUP(E31,'SF Churn Data'!E:R,14,0),"")</f>
        <v/>
      </c>
    </row>
    <row r="32" hidden="1">
      <c r="A32" s="11" t="s">
        <v>112</v>
      </c>
      <c r="B32" s="11" t="s">
        <v>44</v>
      </c>
      <c r="C32" s="11" t="s">
        <v>113</v>
      </c>
      <c r="D32" s="11" t="s">
        <v>123</v>
      </c>
      <c r="E32" s="11" t="s">
        <v>124</v>
      </c>
      <c r="F32" s="11"/>
      <c r="G32" s="11">
        <v>11.3</v>
      </c>
      <c r="H32" s="11" t="s">
        <v>116</v>
      </c>
      <c r="I32" s="12">
        <v>5148.0</v>
      </c>
      <c r="J32" s="12">
        <v>7250.0</v>
      </c>
      <c r="K32" s="12">
        <v>6200.0</v>
      </c>
      <c r="L32" s="11"/>
      <c r="M32" s="11"/>
      <c r="N32" s="11"/>
      <c r="O32" s="11" t="s">
        <v>41</v>
      </c>
      <c r="P32" s="11" t="s">
        <v>42</v>
      </c>
      <c r="Q32" s="13" t="str">
        <f>IFERROR(VLOOKUP(E32,'SF Churn Data'!E:R,14,0),"")</f>
        <v/>
      </c>
    </row>
    <row r="33" hidden="1">
      <c r="A33" s="11" t="s">
        <v>125</v>
      </c>
      <c r="B33" s="11" t="s">
        <v>44</v>
      </c>
      <c r="C33" s="11" t="s">
        <v>76</v>
      </c>
      <c r="D33" s="11" t="s">
        <v>126</v>
      </c>
      <c r="E33" s="11" t="s">
        <v>127</v>
      </c>
      <c r="F33" s="11" t="s">
        <v>128</v>
      </c>
      <c r="G33" s="11">
        <v>21.06</v>
      </c>
      <c r="H33" s="11" t="s">
        <v>120</v>
      </c>
      <c r="I33" s="12">
        <v>3229.0</v>
      </c>
      <c r="J33" s="12">
        <v>2750.0</v>
      </c>
      <c r="K33" s="12">
        <v>3900.0</v>
      </c>
      <c r="L33" s="11" t="s">
        <v>129</v>
      </c>
      <c r="M33" s="11" t="s">
        <v>130</v>
      </c>
      <c r="N33" s="11" t="s">
        <v>131</v>
      </c>
      <c r="O33" s="11" t="s">
        <v>83</v>
      </c>
      <c r="P33" s="11"/>
      <c r="Q33" s="13">
        <f>IFERROR(VLOOKUP(E33,'SF Churn Data'!E:R,14,0),"")</f>
        <v>46078</v>
      </c>
    </row>
    <row r="34" hidden="1">
      <c r="A34" s="11" t="s">
        <v>132</v>
      </c>
      <c r="B34" s="11" t="s">
        <v>44</v>
      </c>
      <c r="C34" s="11" t="s">
        <v>133</v>
      </c>
      <c r="D34" s="11" t="s">
        <v>134</v>
      </c>
      <c r="E34" s="11" t="s">
        <v>135</v>
      </c>
      <c r="F34" s="11" t="s">
        <v>128</v>
      </c>
      <c r="G34" s="11">
        <v>14.78</v>
      </c>
      <c r="H34" s="11" t="s">
        <v>62</v>
      </c>
      <c r="I34" s="12">
        <v>2975.44</v>
      </c>
      <c r="J34" s="12">
        <v>2400.0</v>
      </c>
      <c r="K34" s="12">
        <v>3500.0</v>
      </c>
      <c r="L34" s="11" t="s">
        <v>136</v>
      </c>
      <c r="M34" s="11" t="s">
        <v>137</v>
      </c>
      <c r="N34" s="11" t="s">
        <v>131</v>
      </c>
      <c r="O34" s="11" t="s">
        <v>41</v>
      </c>
      <c r="P34" s="11"/>
      <c r="Q34" s="13">
        <f>IFERROR(VLOOKUP(E34,'SF Churn Data'!E:R,14,0),"")</f>
        <v>46065</v>
      </c>
    </row>
    <row r="35" hidden="1">
      <c r="A35" s="11" t="s">
        <v>138</v>
      </c>
      <c r="B35" s="11" t="s">
        <v>44</v>
      </c>
      <c r="C35" s="11" t="s">
        <v>113</v>
      </c>
      <c r="D35" s="11" t="s">
        <v>139</v>
      </c>
      <c r="E35" s="11" t="s">
        <v>140</v>
      </c>
      <c r="F35" s="11" t="s">
        <v>128</v>
      </c>
      <c r="G35" s="11">
        <v>11.97</v>
      </c>
      <c r="H35" s="11" t="s">
        <v>116</v>
      </c>
      <c r="I35" s="12">
        <v>2482.0</v>
      </c>
      <c r="J35" s="12">
        <v>3600.0</v>
      </c>
      <c r="K35" s="12">
        <v>3000.0</v>
      </c>
      <c r="L35" s="11" t="s">
        <v>141</v>
      </c>
      <c r="M35" s="11" t="s">
        <v>142</v>
      </c>
      <c r="N35" s="11" t="s">
        <v>143</v>
      </c>
      <c r="O35" s="11" t="s">
        <v>57</v>
      </c>
      <c r="P35" s="11" t="s">
        <v>144</v>
      </c>
      <c r="Q35" s="13">
        <f>IFERROR(VLOOKUP(E35,'SF Churn Data'!E:R,14,0),"")</f>
        <v>46082</v>
      </c>
    </row>
    <row r="36" hidden="1">
      <c r="A36" s="11" t="s">
        <v>145</v>
      </c>
      <c r="B36" s="11" t="s">
        <v>44</v>
      </c>
      <c r="C36" s="11" t="s">
        <v>53</v>
      </c>
      <c r="D36" s="11" t="s">
        <v>146</v>
      </c>
      <c r="E36" s="11" t="s">
        <v>147</v>
      </c>
      <c r="F36" s="11" t="s">
        <v>128</v>
      </c>
      <c r="G36" s="11">
        <v>16.0</v>
      </c>
      <c r="H36" s="11" t="s">
        <v>56</v>
      </c>
      <c r="I36" s="12">
        <v>8592.0</v>
      </c>
      <c r="J36" s="12">
        <v>9500.0</v>
      </c>
      <c r="K36" s="12">
        <v>10350.0</v>
      </c>
      <c r="L36" s="11"/>
      <c r="M36" s="11"/>
      <c r="N36" s="11"/>
      <c r="O36" s="11" t="s">
        <v>57</v>
      </c>
      <c r="P36" s="11" t="s">
        <v>63</v>
      </c>
      <c r="Q36" s="13">
        <f>IFERROR(VLOOKUP(E36,'SF Churn Data'!E:R,14,0),"")</f>
        <v>46082</v>
      </c>
    </row>
    <row r="37" hidden="1">
      <c r="A37" s="11" t="s">
        <v>148</v>
      </c>
      <c r="B37" s="11" t="s">
        <v>44</v>
      </c>
      <c r="C37" s="11" t="s">
        <v>64</v>
      </c>
      <c r="D37" s="11" t="s">
        <v>149</v>
      </c>
      <c r="E37" s="11" t="s">
        <v>150</v>
      </c>
      <c r="F37" s="11" t="s">
        <v>128</v>
      </c>
      <c r="G37" s="11">
        <v>18.1</v>
      </c>
      <c r="H37" s="11" t="s">
        <v>56</v>
      </c>
      <c r="I37" s="12">
        <v>7096.0</v>
      </c>
      <c r="J37" s="12">
        <v>7100.0</v>
      </c>
      <c r="K37" s="11">
        <v>8550.0</v>
      </c>
      <c r="L37" s="11"/>
      <c r="M37" s="11"/>
      <c r="N37" s="11"/>
      <c r="O37" s="11" t="s">
        <v>151</v>
      </c>
      <c r="P37" s="11" t="s">
        <v>48</v>
      </c>
      <c r="Q37" s="13">
        <f>IFERROR(VLOOKUP(E37,'SF Churn Data'!E:R,14,0),"")</f>
        <v>46081</v>
      </c>
    </row>
    <row r="38" hidden="1">
      <c r="A38" s="11" t="s">
        <v>148</v>
      </c>
      <c r="B38" s="11" t="s">
        <v>44</v>
      </c>
      <c r="C38" s="11" t="s">
        <v>76</v>
      </c>
      <c r="D38" s="11" t="s">
        <v>152</v>
      </c>
      <c r="E38" s="11" t="s">
        <v>153</v>
      </c>
      <c r="F38" s="11" t="s">
        <v>128</v>
      </c>
      <c r="G38" s="11">
        <v>20.8</v>
      </c>
      <c r="H38" s="11" t="s">
        <v>56</v>
      </c>
      <c r="I38" s="12">
        <v>7514.0</v>
      </c>
      <c r="J38" s="12">
        <v>7550.0</v>
      </c>
      <c r="K38" s="11">
        <v>9100.0</v>
      </c>
      <c r="L38" s="11"/>
      <c r="M38" s="11"/>
      <c r="N38" s="11"/>
      <c r="O38" s="11" t="s">
        <v>57</v>
      </c>
      <c r="P38" s="11" t="s">
        <v>48</v>
      </c>
      <c r="Q38" s="13">
        <f>IFERROR(VLOOKUP(E38,'SF Churn Data'!E:R,14,0),"")</f>
        <v>46082</v>
      </c>
    </row>
    <row r="39" hidden="1">
      <c r="A39" s="11" t="s">
        <v>154</v>
      </c>
      <c r="B39" s="11" t="s">
        <v>44</v>
      </c>
      <c r="C39" s="11" t="s">
        <v>53</v>
      </c>
      <c r="D39" s="11" t="s">
        <v>155</v>
      </c>
      <c r="E39" s="11" t="s">
        <v>156</v>
      </c>
      <c r="F39" s="11" t="s">
        <v>128</v>
      </c>
      <c r="G39" s="11">
        <v>16.0</v>
      </c>
      <c r="H39" s="11" t="s">
        <v>56</v>
      </c>
      <c r="I39" s="12">
        <v>4799.0</v>
      </c>
      <c r="J39" s="12">
        <v>6750.0</v>
      </c>
      <c r="K39" s="11">
        <v>5800.0</v>
      </c>
      <c r="L39" s="11"/>
      <c r="M39" s="11"/>
      <c r="N39" s="11"/>
      <c r="O39" s="11" t="s">
        <v>151</v>
      </c>
      <c r="P39" s="11" t="s">
        <v>157</v>
      </c>
      <c r="Q39" s="13">
        <f>IFERROR(VLOOKUP(E39,'SF Churn Data'!E:R,14,0),"")</f>
        <v>46068</v>
      </c>
    </row>
    <row r="40" hidden="1">
      <c r="A40" s="11" t="s">
        <v>158</v>
      </c>
      <c r="B40" s="11" t="s">
        <v>44</v>
      </c>
      <c r="C40" s="11" t="s">
        <v>133</v>
      </c>
      <c r="D40" s="11" t="s">
        <v>159</v>
      </c>
      <c r="E40" s="11" t="s">
        <v>160</v>
      </c>
      <c r="F40" s="11" t="s">
        <v>128</v>
      </c>
      <c r="G40" s="11">
        <v>14.54</v>
      </c>
      <c r="H40" s="11" t="s">
        <v>56</v>
      </c>
      <c r="I40" s="12">
        <v>4666.0</v>
      </c>
      <c r="J40" s="12">
        <v>4700.0</v>
      </c>
      <c r="K40" s="11">
        <v>5650.0</v>
      </c>
      <c r="L40" s="11"/>
      <c r="M40" s="11"/>
      <c r="N40" s="11"/>
      <c r="O40" s="11" t="s">
        <v>161</v>
      </c>
      <c r="P40" s="11" t="s">
        <v>162</v>
      </c>
      <c r="Q40" s="13">
        <f>IFERROR(VLOOKUP(E40,'SF Churn Data'!E:R,14,0),"")</f>
        <v>46082</v>
      </c>
    </row>
    <row r="41" hidden="1">
      <c r="A41" s="11" t="s">
        <v>148</v>
      </c>
      <c r="B41" s="11" t="s">
        <v>44</v>
      </c>
      <c r="C41" s="11" t="s">
        <v>64</v>
      </c>
      <c r="D41" s="11" t="s">
        <v>163</v>
      </c>
      <c r="E41" s="11" t="s">
        <v>164</v>
      </c>
      <c r="F41" s="11" t="s">
        <v>128</v>
      </c>
      <c r="G41" s="11">
        <v>18.1</v>
      </c>
      <c r="H41" s="11" t="s">
        <v>56</v>
      </c>
      <c r="I41" s="12">
        <v>7096.0</v>
      </c>
      <c r="J41" s="12">
        <v>7100.0</v>
      </c>
      <c r="K41" s="11">
        <v>8550.0</v>
      </c>
      <c r="L41" s="11"/>
      <c r="M41" s="11"/>
      <c r="N41" s="11"/>
      <c r="O41" s="11" t="s">
        <v>151</v>
      </c>
      <c r="P41" s="11" t="s">
        <v>48</v>
      </c>
      <c r="Q41" s="13">
        <f>IFERROR(VLOOKUP(E41,'SF Churn Data'!E:R,14,0),"")</f>
        <v>46082</v>
      </c>
    </row>
    <row r="42" hidden="1">
      <c r="A42" s="11" t="s">
        <v>165</v>
      </c>
      <c r="B42" s="11" t="s">
        <v>44</v>
      </c>
      <c r="C42" s="11" t="s">
        <v>151</v>
      </c>
      <c r="D42" s="11" t="s">
        <v>166</v>
      </c>
      <c r="E42" s="11" t="s">
        <v>167</v>
      </c>
      <c r="F42" s="11" t="s">
        <v>128</v>
      </c>
      <c r="G42" s="11">
        <v>24.71</v>
      </c>
      <c r="H42" s="11" t="s">
        <v>168</v>
      </c>
      <c r="I42" s="12">
        <v>4750.0</v>
      </c>
      <c r="J42" s="12">
        <v>5700.0</v>
      </c>
      <c r="K42" s="12">
        <v>5700.0</v>
      </c>
      <c r="L42" s="11"/>
      <c r="M42" s="11"/>
      <c r="N42" s="11"/>
      <c r="O42" s="11" t="s">
        <v>117</v>
      </c>
      <c r="P42" s="11"/>
      <c r="Q42" s="13">
        <f>IFERROR(VLOOKUP(E42,'SF Churn Data'!E:R,14,0),"")</f>
        <v>46081</v>
      </c>
    </row>
    <row r="43" hidden="1">
      <c r="A43" s="11" t="s">
        <v>138</v>
      </c>
      <c r="B43" s="11" t="s">
        <v>44</v>
      </c>
      <c r="C43" s="11" t="s">
        <v>64</v>
      </c>
      <c r="D43" s="11" t="s">
        <v>169</v>
      </c>
      <c r="E43" s="11" t="s">
        <v>170</v>
      </c>
      <c r="F43" s="11" t="s">
        <v>128</v>
      </c>
      <c r="G43" s="11">
        <v>19.55</v>
      </c>
      <c r="H43" s="11" t="s">
        <v>120</v>
      </c>
      <c r="I43" s="12">
        <v>3944.0</v>
      </c>
      <c r="J43" s="12">
        <v>5750.0</v>
      </c>
      <c r="K43" s="12">
        <v>4750.0</v>
      </c>
      <c r="L43" s="11"/>
      <c r="M43" s="11"/>
      <c r="N43" s="11"/>
      <c r="O43" s="11" t="s">
        <v>57</v>
      </c>
      <c r="P43" s="11" t="s">
        <v>144</v>
      </c>
      <c r="Q43" s="13">
        <f>IFERROR(VLOOKUP(E43,'SF Churn Data'!E:R,14,0),"")</f>
        <v>46082</v>
      </c>
    </row>
    <row r="44" hidden="1">
      <c r="A44" s="11" t="s">
        <v>171</v>
      </c>
      <c r="B44" s="11" t="s">
        <v>44</v>
      </c>
      <c r="C44" s="11" t="s">
        <v>53</v>
      </c>
      <c r="D44" s="11" t="s">
        <v>172</v>
      </c>
      <c r="E44" s="11" t="s">
        <v>173</v>
      </c>
      <c r="F44" s="11" t="s">
        <v>128</v>
      </c>
      <c r="G44" s="11">
        <v>15.43</v>
      </c>
      <c r="H44" s="11" t="s">
        <v>56</v>
      </c>
      <c r="I44" s="12">
        <v>4250.0</v>
      </c>
      <c r="J44" s="12">
        <v>4900.0</v>
      </c>
      <c r="K44" s="11">
        <v>5100.0</v>
      </c>
      <c r="L44" s="11"/>
      <c r="M44" s="11"/>
      <c r="N44" s="11"/>
      <c r="O44" s="11" t="s">
        <v>117</v>
      </c>
      <c r="P44" s="11"/>
      <c r="Q44" s="13">
        <f>IFERROR(VLOOKUP(E44,'SF Churn Data'!E:R,14,0),"")</f>
        <v>46081</v>
      </c>
    </row>
    <row r="45" hidden="1">
      <c r="A45" s="11" t="s">
        <v>171</v>
      </c>
      <c r="B45" s="11" t="s">
        <v>44</v>
      </c>
      <c r="C45" s="11" t="s">
        <v>53</v>
      </c>
      <c r="D45" s="11" t="s">
        <v>174</v>
      </c>
      <c r="E45" s="11" t="s">
        <v>175</v>
      </c>
      <c r="F45" s="11" t="s">
        <v>128</v>
      </c>
      <c r="G45" s="11">
        <v>15.67</v>
      </c>
      <c r="H45" s="11" t="s">
        <v>56</v>
      </c>
      <c r="I45" s="12">
        <v>4250.0</v>
      </c>
      <c r="J45" s="12">
        <v>4900.0</v>
      </c>
      <c r="K45" s="11">
        <v>5100.0</v>
      </c>
      <c r="L45" s="11"/>
      <c r="M45" s="11"/>
      <c r="N45" s="11"/>
      <c r="O45" s="11" t="s">
        <v>117</v>
      </c>
      <c r="P45" s="11"/>
      <c r="Q45" s="13">
        <f>IFERROR(VLOOKUP(E45,'SF Churn Data'!E:R,14,0),"")</f>
        <v>46081</v>
      </c>
    </row>
    <row r="46" hidden="1">
      <c r="A46" s="11" t="s">
        <v>171</v>
      </c>
      <c r="B46" s="11" t="s">
        <v>44</v>
      </c>
      <c r="C46" s="11" t="s">
        <v>64</v>
      </c>
      <c r="D46" s="11" t="s">
        <v>176</v>
      </c>
      <c r="E46" s="11" t="s">
        <v>177</v>
      </c>
      <c r="F46" s="11" t="s">
        <v>128</v>
      </c>
      <c r="G46" s="11">
        <v>18.31</v>
      </c>
      <c r="H46" s="11" t="s">
        <v>120</v>
      </c>
      <c r="I46" s="12">
        <v>4990.0</v>
      </c>
      <c r="J46" s="12">
        <v>5750.0</v>
      </c>
      <c r="K46" s="11">
        <v>6000.0</v>
      </c>
      <c r="L46" s="11"/>
      <c r="M46" s="11"/>
      <c r="N46" s="11"/>
      <c r="O46" s="11" t="s">
        <v>41</v>
      </c>
      <c r="P46" s="11"/>
      <c r="Q46" s="13">
        <f>IFERROR(VLOOKUP(E46,'SF Churn Data'!E:R,14,0),"")</f>
        <v>46127</v>
      </c>
    </row>
    <row r="47" hidden="1">
      <c r="A47" s="11" t="s">
        <v>154</v>
      </c>
      <c r="B47" s="11" t="s">
        <v>44</v>
      </c>
      <c r="C47" s="11" t="s">
        <v>53</v>
      </c>
      <c r="D47" s="11" t="s">
        <v>178</v>
      </c>
      <c r="E47" s="11" t="s">
        <v>179</v>
      </c>
      <c r="F47" s="11" t="s">
        <v>128</v>
      </c>
      <c r="G47" s="11">
        <v>16.0</v>
      </c>
      <c r="H47" s="11" t="s">
        <v>56</v>
      </c>
      <c r="I47" s="12">
        <v>4799.0</v>
      </c>
      <c r="J47" s="12">
        <v>6750.0</v>
      </c>
      <c r="K47" s="12">
        <v>5800.0</v>
      </c>
      <c r="L47" s="11"/>
      <c r="M47" s="11"/>
      <c r="N47" s="11"/>
      <c r="O47" s="11" t="s">
        <v>151</v>
      </c>
      <c r="P47" s="11" t="s">
        <v>157</v>
      </c>
      <c r="Q47" s="13">
        <f>IFERROR(VLOOKUP(E47,'SF Churn Data'!E:R,14,0),"")</f>
        <v>46082</v>
      </c>
    </row>
    <row r="48" hidden="1">
      <c r="A48" s="11" t="s">
        <v>154</v>
      </c>
      <c r="B48" s="11" t="s">
        <v>44</v>
      </c>
      <c r="C48" s="11" t="s">
        <v>180</v>
      </c>
      <c r="D48" s="11" t="s">
        <v>181</v>
      </c>
      <c r="E48" s="11" t="s">
        <v>182</v>
      </c>
      <c r="F48" s="11" t="s">
        <v>128</v>
      </c>
      <c r="G48" s="11">
        <v>22.0</v>
      </c>
      <c r="H48" s="11" t="s">
        <v>56</v>
      </c>
      <c r="I48" s="12">
        <v>6090.0</v>
      </c>
      <c r="J48" s="12">
        <v>8550.0</v>
      </c>
      <c r="K48" s="11">
        <v>7350.0</v>
      </c>
      <c r="L48" s="11"/>
      <c r="M48" s="11"/>
      <c r="N48" s="11"/>
      <c r="O48" s="11" t="s">
        <v>151</v>
      </c>
      <c r="P48" s="11" t="s">
        <v>157</v>
      </c>
      <c r="Q48" s="13">
        <f>IFERROR(VLOOKUP(E48,'SF Churn Data'!E:R,14,0),"")</f>
        <v>46068</v>
      </c>
    </row>
    <row r="49" hidden="1">
      <c r="A49" s="11" t="s">
        <v>154</v>
      </c>
      <c r="B49" s="11" t="s">
        <v>44</v>
      </c>
      <c r="C49" s="11" t="s">
        <v>180</v>
      </c>
      <c r="D49" s="11" t="s">
        <v>183</v>
      </c>
      <c r="E49" s="11" t="s">
        <v>184</v>
      </c>
      <c r="F49" s="11" t="s">
        <v>128</v>
      </c>
      <c r="G49" s="11">
        <v>22.0</v>
      </c>
      <c r="H49" s="11" t="s">
        <v>56</v>
      </c>
      <c r="I49" s="12">
        <v>6090.0</v>
      </c>
      <c r="J49" s="12">
        <v>8550.0</v>
      </c>
      <c r="K49" s="12">
        <v>7350.0</v>
      </c>
      <c r="L49" s="11"/>
      <c r="M49" s="11"/>
      <c r="N49" s="11"/>
      <c r="O49" s="11" t="s">
        <v>151</v>
      </c>
      <c r="P49" s="11" t="s">
        <v>157</v>
      </c>
      <c r="Q49" s="13">
        <f>IFERROR(VLOOKUP(E49,'SF Churn Data'!E:R,14,0),"")</f>
        <v>46130</v>
      </c>
    </row>
    <row r="50" hidden="1">
      <c r="A50" s="11" t="s">
        <v>154</v>
      </c>
      <c r="B50" s="11" t="s">
        <v>44</v>
      </c>
      <c r="C50" s="11" t="s">
        <v>64</v>
      </c>
      <c r="D50" s="11" t="s">
        <v>185</v>
      </c>
      <c r="E50" s="11" t="s">
        <v>186</v>
      </c>
      <c r="F50" s="11" t="s">
        <v>128</v>
      </c>
      <c r="G50" s="11">
        <v>17.0</v>
      </c>
      <c r="H50" s="11" t="s">
        <v>56</v>
      </c>
      <c r="I50" s="12">
        <v>5731.0</v>
      </c>
      <c r="J50" s="12">
        <v>8050.0</v>
      </c>
      <c r="K50" s="11">
        <v>6900.0</v>
      </c>
      <c r="L50" s="11"/>
      <c r="M50" s="11"/>
      <c r="N50" s="11"/>
      <c r="O50" s="11" t="s">
        <v>151</v>
      </c>
      <c r="P50" s="11" t="s">
        <v>157</v>
      </c>
      <c r="Q50" s="13">
        <f>IFERROR(VLOOKUP(E50,'SF Churn Data'!E:R,14,0),"")</f>
        <v>46082</v>
      </c>
    </row>
    <row r="51" hidden="1">
      <c r="A51" s="11" t="s">
        <v>154</v>
      </c>
      <c r="B51" s="11" t="s">
        <v>45</v>
      </c>
      <c r="C51" s="11" t="s">
        <v>45</v>
      </c>
      <c r="D51" s="11" t="s">
        <v>187</v>
      </c>
      <c r="E51" s="11" t="s">
        <v>188</v>
      </c>
      <c r="F51" s="11" t="s">
        <v>128</v>
      </c>
      <c r="G51" s="11">
        <v>11.0</v>
      </c>
      <c r="H51" s="11" t="s">
        <v>45</v>
      </c>
      <c r="I51" s="12">
        <v>3580.0</v>
      </c>
      <c r="J51" s="12">
        <v>5050.0</v>
      </c>
      <c r="K51" s="11">
        <v>4350.0</v>
      </c>
      <c r="L51" s="11"/>
      <c r="M51" s="11"/>
      <c r="N51" s="11"/>
      <c r="O51" s="11" t="s">
        <v>151</v>
      </c>
      <c r="P51" s="11" t="s">
        <v>157</v>
      </c>
      <c r="Q51" s="13">
        <f>IFERROR(VLOOKUP(E51,'SF Churn Data'!E:R,14,0),"")</f>
        <v>46082</v>
      </c>
    </row>
    <row r="52" hidden="1">
      <c r="A52" s="11" t="s">
        <v>43</v>
      </c>
      <c r="B52" s="11" t="s">
        <v>44</v>
      </c>
      <c r="C52" s="11" t="s">
        <v>133</v>
      </c>
      <c r="D52" s="11" t="s">
        <v>189</v>
      </c>
      <c r="E52" s="11" t="s">
        <v>190</v>
      </c>
      <c r="F52" s="11" t="s">
        <v>128</v>
      </c>
      <c r="G52" s="11">
        <v>14.04</v>
      </c>
      <c r="H52" s="11" t="s">
        <v>56</v>
      </c>
      <c r="I52" s="12">
        <v>6000.0</v>
      </c>
      <c r="J52" s="12">
        <v>7200.0</v>
      </c>
      <c r="K52" s="11"/>
      <c r="L52" s="11"/>
      <c r="M52" s="11"/>
      <c r="N52" s="11"/>
      <c r="O52" s="11" t="s">
        <v>41</v>
      </c>
      <c r="P52" s="11" t="s">
        <v>48</v>
      </c>
      <c r="Q52" s="13">
        <f>IFERROR(VLOOKUP(E52,'SF Churn Data'!E:R,14,0),"")</f>
        <v>46081</v>
      </c>
    </row>
    <row r="53" hidden="1">
      <c r="A53" s="11" t="s">
        <v>191</v>
      </c>
      <c r="B53" s="11" t="s">
        <v>45</v>
      </c>
      <c r="C53" s="11" t="s">
        <v>45</v>
      </c>
      <c r="D53" s="11" t="s">
        <v>192</v>
      </c>
      <c r="E53" s="11" t="s">
        <v>193</v>
      </c>
      <c r="F53" s="11" t="s">
        <v>128</v>
      </c>
      <c r="G53" s="11">
        <v>12.04</v>
      </c>
      <c r="H53" s="11" t="s">
        <v>45</v>
      </c>
      <c r="I53" s="12">
        <v>3900.0</v>
      </c>
      <c r="J53" s="12">
        <v>5100.0</v>
      </c>
      <c r="K53" s="12"/>
      <c r="L53" s="11"/>
      <c r="M53" s="11"/>
      <c r="N53" s="11"/>
      <c r="O53" s="11" t="s">
        <v>57</v>
      </c>
      <c r="P53" s="11" t="s">
        <v>48</v>
      </c>
      <c r="Q53" s="13">
        <f>IFERROR(VLOOKUP(E53,'SF Churn Data'!E:R,14,0),"")</f>
        <v>46068</v>
      </c>
    </row>
    <row r="54" hidden="1">
      <c r="A54" s="11" t="s">
        <v>191</v>
      </c>
      <c r="B54" s="11" t="s">
        <v>44</v>
      </c>
      <c r="C54" s="11" t="s">
        <v>64</v>
      </c>
      <c r="D54" s="11" t="s">
        <v>194</v>
      </c>
      <c r="E54" s="11" t="s">
        <v>195</v>
      </c>
      <c r="F54" s="11" t="s">
        <v>128</v>
      </c>
      <c r="G54" s="11">
        <v>18.84</v>
      </c>
      <c r="H54" s="11" t="s">
        <v>120</v>
      </c>
      <c r="I54" s="12">
        <v>6200.0</v>
      </c>
      <c r="J54" s="12">
        <v>8100.0</v>
      </c>
      <c r="K54" s="12"/>
      <c r="L54" s="11"/>
      <c r="M54" s="11"/>
      <c r="N54" s="11"/>
      <c r="O54" s="11" t="s">
        <v>57</v>
      </c>
      <c r="P54" s="11" t="s">
        <v>48</v>
      </c>
      <c r="Q54" s="13">
        <f>IFERROR(VLOOKUP(E54,'SF Churn Data'!E:R,14,0),"")</f>
        <v>46073</v>
      </c>
    </row>
    <row r="55" hidden="1">
      <c r="A55" s="11" t="s">
        <v>112</v>
      </c>
      <c r="B55" s="11" t="s">
        <v>45</v>
      </c>
      <c r="C55" s="11" t="s">
        <v>45</v>
      </c>
      <c r="D55" s="11" t="s">
        <v>196</v>
      </c>
      <c r="E55" s="11" t="s">
        <v>197</v>
      </c>
      <c r="F55" s="11" t="s">
        <v>128</v>
      </c>
      <c r="G55" s="11">
        <v>10.4</v>
      </c>
      <c r="H55" s="11" t="s">
        <v>45</v>
      </c>
      <c r="I55" s="12">
        <v>3257.0</v>
      </c>
      <c r="J55" s="12">
        <v>4600.0</v>
      </c>
      <c r="K55" s="12">
        <v>4000.0</v>
      </c>
      <c r="L55" s="11"/>
      <c r="M55" s="11"/>
      <c r="N55" s="11"/>
      <c r="O55" s="11" t="s">
        <v>198</v>
      </c>
      <c r="P55" s="11" t="s">
        <v>42</v>
      </c>
      <c r="Q55" s="13">
        <f>IFERROR(VLOOKUP(E55,'SF Churn Data'!E:R,14,0),"")</f>
        <v>46082</v>
      </c>
    </row>
    <row r="56" hidden="1">
      <c r="A56" s="11" t="s">
        <v>112</v>
      </c>
      <c r="B56" s="11" t="s">
        <v>45</v>
      </c>
      <c r="C56" s="11" t="s">
        <v>45</v>
      </c>
      <c r="D56" s="11" t="s">
        <v>199</v>
      </c>
      <c r="E56" s="11" t="s">
        <v>200</v>
      </c>
      <c r="F56" s="11" t="s">
        <v>128</v>
      </c>
      <c r="G56" s="11">
        <v>10.6</v>
      </c>
      <c r="H56" s="11" t="s">
        <v>45</v>
      </c>
      <c r="I56" s="12">
        <v>3257.0</v>
      </c>
      <c r="J56" s="12">
        <v>4600.0</v>
      </c>
      <c r="K56" s="11">
        <v>4000.0</v>
      </c>
      <c r="L56" s="11"/>
      <c r="M56" s="11"/>
      <c r="N56" s="11"/>
      <c r="O56" s="11" t="s">
        <v>117</v>
      </c>
      <c r="P56" s="11" t="s">
        <v>42</v>
      </c>
      <c r="Q56" s="13">
        <f>IFERROR(VLOOKUP(E56,'SF Churn Data'!E:R,14,0),"")</f>
        <v>46112</v>
      </c>
    </row>
    <row r="57" hidden="1">
      <c r="A57" s="11" t="s">
        <v>201</v>
      </c>
      <c r="B57" s="11" t="s">
        <v>44</v>
      </c>
      <c r="C57" s="11" t="s">
        <v>53</v>
      </c>
      <c r="D57" s="11" t="s">
        <v>202</v>
      </c>
      <c r="E57" s="11" t="s">
        <v>203</v>
      </c>
      <c r="F57" s="11" t="s">
        <v>128</v>
      </c>
      <c r="G57" s="11">
        <v>15.44</v>
      </c>
      <c r="H57" s="11" t="s">
        <v>56</v>
      </c>
      <c r="I57" s="12">
        <v>3150.0</v>
      </c>
      <c r="J57" s="12">
        <v>3800.0</v>
      </c>
      <c r="K57" s="11">
        <v>3700.0</v>
      </c>
      <c r="L57" s="11"/>
      <c r="M57" s="11"/>
      <c r="N57" s="11"/>
      <c r="O57" s="11" t="s">
        <v>57</v>
      </c>
      <c r="P57" s="11"/>
      <c r="Q57" s="13">
        <f>IFERROR(VLOOKUP(E57,'SF Churn Data'!E:R,14,0),"")</f>
        <v>46085</v>
      </c>
    </row>
    <row r="58" hidden="1">
      <c r="A58" s="11" t="s">
        <v>201</v>
      </c>
      <c r="B58" s="11" t="s">
        <v>44</v>
      </c>
      <c r="C58" s="11" t="s">
        <v>180</v>
      </c>
      <c r="D58" s="11" t="s">
        <v>204</v>
      </c>
      <c r="E58" s="11" t="s">
        <v>205</v>
      </c>
      <c r="F58" s="11" t="s">
        <v>128</v>
      </c>
      <c r="G58" s="11">
        <v>22.69</v>
      </c>
      <c r="H58" s="11" t="s">
        <v>168</v>
      </c>
      <c r="I58" s="12">
        <v>4150.0</v>
      </c>
      <c r="J58" s="12">
        <v>5000.0</v>
      </c>
      <c r="K58" s="11">
        <v>4800.0</v>
      </c>
      <c r="L58" s="11"/>
      <c r="M58" s="11"/>
      <c r="N58" s="11"/>
      <c r="O58" s="11" t="s">
        <v>41</v>
      </c>
      <c r="P58" s="11"/>
      <c r="Q58" s="13">
        <f>IFERROR(VLOOKUP(E58,'SF Churn Data'!E:R,14,0),"")</f>
        <v>46142</v>
      </c>
    </row>
    <row r="59" hidden="1">
      <c r="A59" s="11" t="s">
        <v>201</v>
      </c>
      <c r="B59" s="11" t="s">
        <v>45</v>
      </c>
      <c r="C59" s="11" t="s">
        <v>45</v>
      </c>
      <c r="D59" s="11" t="s">
        <v>206</v>
      </c>
      <c r="E59" s="11" t="s">
        <v>207</v>
      </c>
      <c r="F59" s="11" t="s">
        <v>128</v>
      </c>
      <c r="G59" s="11">
        <v>10.13</v>
      </c>
      <c r="H59" s="11" t="s">
        <v>45</v>
      </c>
      <c r="I59" s="12">
        <v>1900.0</v>
      </c>
      <c r="J59" s="12">
        <v>2300.0</v>
      </c>
      <c r="K59" s="11">
        <v>2300.0</v>
      </c>
      <c r="L59" s="11"/>
      <c r="M59" s="11"/>
      <c r="N59" s="11"/>
      <c r="O59" s="11" t="s">
        <v>57</v>
      </c>
      <c r="P59" s="11"/>
      <c r="Q59" s="13">
        <f>IFERROR(VLOOKUP(E59,'SF Churn Data'!E:R,14,0),"")</f>
        <v>46091</v>
      </c>
    </row>
    <row r="60" hidden="1">
      <c r="A60" s="11" t="s">
        <v>201</v>
      </c>
      <c r="B60" s="11" t="s">
        <v>44</v>
      </c>
      <c r="C60" s="11" t="s">
        <v>64</v>
      </c>
      <c r="D60" s="11" t="s">
        <v>208</v>
      </c>
      <c r="E60" s="11" t="s">
        <v>209</v>
      </c>
      <c r="F60" s="11" t="s">
        <v>128</v>
      </c>
      <c r="G60" s="11">
        <v>18.46</v>
      </c>
      <c r="H60" s="11" t="s">
        <v>120</v>
      </c>
      <c r="I60" s="12">
        <v>3500.0</v>
      </c>
      <c r="J60" s="12">
        <v>4200.0</v>
      </c>
      <c r="K60" s="11">
        <v>4100.0</v>
      </c>
      <c r="L60" s="11"/>
      <c r="M60" s="11"/>
      <c r="N60" s="11"/>
      <c r="O60" s="11" t="s">
        <v>41</v>
      </c>
      <c r="P60" s="11"/>
      <c r="Q60" s="13">
        <f>IFERROR(VLOOKUP(E60,'SF Churn Data'!E:R,14,0),"")</f>
        <v>46091</v>
      </c>
    </row>
    <row r="61" hidden="1">
      <c r="A61" s="11" t="s">
        <v>210</v>
      </c>
      <c r="B61" s="11" t="s">
        <v>44</v>
      </c>
      <c r="C61" s="11" t="s">
        <v>64</v>
      </c>
      <c r="D61" s="11" t="s">
        <v>211</v>
      </c>
      <c r="E61" s="11" t="s">
        <v>212</v>
      </c>
      <c r="F61" s="11" t="s">
        <v>128</v>
      </c>
      <c r="G61" s="11">
        <v>18.15</v>
      </c>
      <c r="H61" s="11" t="s">
        <v>120</v>
      </c>
      <c r="I61" s="12">
        <v>6250.0</v>
      </c>
      <c r="J61" s="12">
        <v>8150.0</v>
      </c>
      <c r="K61" s="11">
        <v>7500.0</v>
      </c>
      <c r="L61" s="11"/>
      <c r="M61" s="11"/>
      <c r="N61" s="11"/>
      <c r="O61" s="11" t="s">
        <v>213</v>
      </c>
      <c r="P61" s="11" t="s">
        <v>63</v>
      </c>
      <c r="Q61" s="13">
        <f>IFERROR(VLOOKUP(E61,'SF Churn Data'!E:R,14,0),"")</f>
        <v>46092</v>
      </c>
    </row>
    <row r="62" hidden="1">
      <c r="A62" s="11" t="s">
        <v>165</v>
      </c>
      <c r="B62" s="11" t="s">
        <v>44</v>
      </c>
      <c r="C62" s="11" t="s">
        <v>53</v>
      </c>
      <c r="D62" s="11" t="s">
        <v>214</v>
      </c>
      <c r="E62" s="11" t="s">
        <v>215</v>
      </c>
      <c r="F62" s="11" t="s">
        <v>128</v>
      </c>
      <c r="G62" s="11">
        <v>16.38</v>
      </c>
      <c r="H62" s="11" t="s">
        <v>56</v>
      </c>
      <c r="I62" s="12">
        <v>3563.0</v>
      </c>
      <c r="J62" s="12">
        <v>4300.0</v>
      </c>
      <c r="K62" s="12">
        <v>4450.0</v>
      </c>
      <c r="L62" s="11"/>
      <c r="M62" s="11"/>
      <c r="N62" s="11"/>
      <c r="O62" s="11" t="s">
        <v>117</v>
      </c>
      <c r="P62" s="11"/>
      <c r="Q62" s="13">
        <f>IFERROR(VLOOKUP(E62,'SF Churn Data'!E:R,14,0),"")</f>
        <v>46110</v>
      </c>
    </row>
    <row r="63" hidden="1">
      <c r="A63" s="11" t="s">
        <v>216</v>
      </c>
      <c r="B63" s="11" t="s">
        <v>44</v>
      </c>
      <c r="C63" s="11" t="s">
        <v>53</v>
      </c>
      <c r="D63" s="11" t="s">
        <v>217</v>
      </c>
      <c r="E63" s="11" t="s">
        <v>218</v>
      </c>
      <c r="F63" s="11" t="s">
        <v>128</v>
      </c>
      <c r="G63" s="11">
        <v>15.6</v>
      </c>
      <c r="H63" s="11" t="s">
        <v>120</v>
      </c>
      <c r="I63" s="12">
        <v>5494.0</v>
      </c>
      <c r="J63" s="12">
        <v>7700.0</v>
      </c>
      <c r="K63" s="12">
        <v>6600.0</v>
      </c>
      <c r="L63" s="11"/>
      <c r="M63" s="11"/>
      <c r="N63" s="11"/>
      <c r="O63" s="11" t="s">
        <v>57</v>
      </c>
      <c r="P63" s="11" t="s">
        <v>42</v>
      </c>
      <c r="Q63" s="13">
        <f>IFERROR(VLOOKUP(E63,'SF Churn Data'!E:R,14,0),"")</f>
        <v>46081</v>
      </c>
    </row>
    <row r="64" hidden="1">
      <c r="A64" s="11" t="s">
        <v>216</v>
      </c>
      <c r="B64" s="11" t="s">
        <v>44</v>
      </c>
      <c r="C64" s="11" t="s">
        <v>113</v>
      </c>
      <c r="D64" s="11" t="s">
        <v>219</v>
      </c>
      <c r="E64" s="11" t="s">
        <v>220</v>
      </c>
      <c r="F64" s="11" t="s">
        <v>128</v>
      </c>
      <c r="G64" s="11">
        <v>10.22</v>
      </c>
      <c r="H64" s="11" t="s">
        <v>116</v>
      </c>
      <c r="I64" s="12">
        <v>4173.0</v>
      </c>
      <c r="J64" s="12">
        <v>5850.0</v>
      </c>
      <c r="K64" s="12">
        <v>5050.0</v>
      </c>
      <c r="L64" s="11"/>
      <c r="M64" s="11"/>
      <c r="N64" s="11"/>
      <c r="O64" s="11" t="s">
        <v>41</v>
      </c>
      <c r="P64" s="11" t="s">
        <v>42</v>
      </c>
      <c r="Q64" s="13">
        <f>IFERROR(VLOOKUP(E64,'SF Churn Data'!E:R,14,0),"")</f>
        <v>46124</v>
      </c>
    </row>
    <row r="65" hidden="1">
      <c r="A65" s="11" t="s">
        <v>216</v>
      </c>
      <c r="B65" s="11" t="s">
        <v>44</v>
      </c>
      <c r="C65" s="11" t="s">
        <v>133</v>
      </c>
      <c r="D65" s="11" t="s">
        <v>221</v>
      </c>
      <c r="E65" s="11" t="s">
        <v>222</v>
      </c>
      <c r="F65" s="11" t="s">
        <v>128</v>
      </c>
      <c r="G65" s="11">
        <v>11.75</v>
      </c>
      <c r="H65" s="11" t="s">
        <v>56</v>
      </c>
      <c r="I65" s="12">
        <v>4684.0</v>
      </c>
      <c r="J65" s="12">
        <v>6600.0</v>
      </c>
      <c r="K65" s="12">
        <v>5650.0</v>
      </c>
      <c r="L65" s="11"/>
      <c r="M65" s="11"/>
      <c r="N65" s="11"/>
      <c r="O65" s="11" t="s">
        <v>41</v>
      </c>
      <c r="P65" s="11" t="s">
        <v>42</v>
      </c>
      <c r="Q65" s="13">
        <f>IFERROR(VLOOKUP(E65,'SF Churn Data'!E:R,14,0),"")</f>
        <v>46064</v>
      </c>
    </row>
    <row r="66" hidden="1">
      <c r="A66" s="11" t="s">
        <v>35</v>
      </c>
      <c r="B66" s="11" t="s">
        <v>44</v>
      </c>
      <c r="C66" s="11" t="s">
        <v>53</v>
      </c>
      <c r="D66" s="11" t="s">
        <v>223</v>
      </c>
      <c r="E66" s="11" t="s">
        <v>224</v>
      </c>
      <c r="F66" s="11" t="s">
        <v>128</v>
      </c>
      <c r="G66" s="11">
        <v>18.68</v>
      </c>
      <c r="H66" s="11" t="s">
        <v>120</v>
      </c>
      <c r="I66" s="12">
        <v>6230.0</v>
      </c>
      <c r="J66" s="12">
        <v>8450.0</v>
      </c>
      <c r="K66" s="11">
        <v>7500.0</v>
      </c>
      <c r="L66" s="11"/>
      <c r="M66" s="11"/>
      <c r="N66" s="11"/>
      <c r="O66" s="11" t="s">
        <v>57</v>
      </c>
      <c r="P66" s="11" t="s">
        <v>42</v>
      </c>
      <c r="Q66" s="13">
        <f>IFERROR(VLOOKUP(E66,'SF Churn Data'!E:R,14,0),"")</f>
        <v>46102</v>
      </c>
    </row>
    <row r="67" hidden="1">
      <c r="A67" s="11" t="s">
        <v>225</v>
      </c>
      <c r="B67" s="11" t="s">
        <v>44</v>
      </c>
      <c r="C67" s="11" t="s">
        <v>133</v>
      </c>
      <c r="D67" s="11" t="s">
        <v>226</v>
      </c>
      <c r="E67" s="11" t="s">
        <v>227</v>
      </c>
      <c r="F67" s="11" t="s">
        <v>228</v>
      </c>
      <c r="G67" s="11">
        <v>13.5</v>
      </c>
      <c r="H67" s="11" t="s">
        <v>56</v>
      </c>
      <c r="I67" s="12">
        <v>4150.0</v>
      </c>
      <c r="J67" s="12">
        <v>5400.0</v>
      </c>
      <c r="K67" s="11">
        <v>4800.0</v>
      </c>
      <c r="L67" s="11" t="s">
        <v>229</v>
      </c>
      <c r="M67" s="11" t="s">
        <v>230</v>
      </c>
      <c r="N67" s="11" t="s">
        <v>231</v>
      </c>
      <c r="O67" s="11" t="s">
        <v>41</v>
      </c>
      <c r="P67" s="11" t="s">
        <v>162</v>
      </c>
      <c r="Q67" s="13" t="str">
        <f>IFERROR(VLOOKUP(E67,'SF Churn Data'!E:R,14,0),"")</f>
        <v/>
      </c>
    </row>
    <row r="68" hidden="1">
      <c r="A68" s="11" t="s">
        <v>225</v>
      </c>
      <c r="B68" s="11" t="s">
        <v>44</v>
      </c>
      <c r="C68" s="11" t="s">
        <v>133</v>
      </c>
      <c r="D68" s="11" t="s">
        <v>232</v>
      </c>
      <c r="E68" s="11" t="s">
        <v>233</v>
      </c>
      <c r="F68" s="11" t="s">
        <v>228</v>
      </c>
      <c r="G68" s="11">
        <v>14.0</v>
      </c>
      <c r="H68" s="11" t="s">
        <v>56</v>
      </c>
      <c r="I68" s="12">
        <v>4650.0</v>
      </c>
      <c r="J68" s="12">
        <v>6050.0</v>
      </c>
      <c r="K68" s="12">
        <v>5400.0</v>
      </c>
      <c r="L68" s="11" t="s">
        <v>234</v>
      </c>
      <c r="M68" s="11" t="s">
        <v>235</v>
      </c>
      <c r="N68" s="11" t="s">
        <v>231</v>
      </c>
      <c r="O68" s="11" t="s">
        <v>41</v>
      </c>
      <c r="P68" s="11" t="s">
        <v>162</v>
      </c>
      <c r="Q68" s="13" t="str">
        <f>IFERROR(VLOOKUP(E68,'SF Churn Data'!E:R,14,0),"")</f>
        <v/>
      </c>
    </row>
    <row r="69" hidden="1">
      <c r="A69" s="11" t="s">
        <v>148</v>
      </c>
      <c r="B69" s="11" t="s">
        <v>44</v>
      </c>
      <c r="C69" s="11" t="s">
        <v>180</v>
      </c>
      <c r="D69" s="11" t="s">
        <v>236</v>
      </c>
      <c r="E69" s="11" t="s">
        <v>237</v>
      </c>
      <c r="F69" s="11" t="s">
        <v>228</v>
      </c>
      <c r="G69" s="11">
        <v>22.2</v>
      </c>
      <c r="H69" s="11" t="s">
        <v>56</v>
      </c>
      <c r="I69" s="12">
        <v>8349.0</v>
      </c>
      <c r="J69" s="12">
        <v>8350.0</v>
      </c>
      <c r="K69" s="11">
        <v>10050.0</v>
      </c>
      <c r="L69" s="11" t="s">
        <v>238</v>
      </c>
      <c r="M69" s="11" t="s">
        <v>239</v>
      </c>
      <c r="N69" s="11" t="s">
        <v>240</v>
      </c>
      <c r="O69" s="11" t="s">
        <v>151</v>
      </c>
      <c r="P69" s="11" t="s">
        <v>48</v>
      </c>
      <c r="Q69" s="13" t="str">
        <f>IFERROR(VLOOKUP(E69,'SF Churn Data'!E:R,14,0),"")</f>
        <v/>
      </c>
    </row>
    <row r="70" hidden="1">
      <c r="A70" s="11" t="s">
        <v>225</v>
      </c>
      <c r="B70" s="11" t="s">
        <v>45</v>
      </c>
      <c r="C70" s="11" t="s">
        <v>45</v>
      </c>
      <c r="D70" s="11" t="s">
        <v>241</v>
      </c>
      <c r="E70" s="11" t="s">
        <v>242</v>
      </c>
      <c r="F70" s="11" t="s">
        <v>228</v>
      </c>
      <c r="G70" s="11">
        <v>9.0</v>
      </c>
      <c r="H70" s="11" t="s">
        <v>45</v>
      </c>
      <c r="I70" s="12">
        <v>3100.0</v>
      </c>
      <c r="J70" s="12">
        <v>4050.0</v>
      </c>
      <c r="K70" s="12">
        <v>3600.0</v>
      </c>
      <c r="L70" s="11" t="s">
        <v>243</v>
      </c>
      <c r="M70" s="11" t="s">
        <v>244</v>
      </c>
      <c r="N70" s="11" t="s">
        <v>245</v>
      </c>
      <c r="O70" s="11" t="s">
        <v>161</v>
      </c>
      <c r="P70" s="11" t="s">
        <v>162</v>
      </c>
      <c r="Q70" s="13" t="str">
        <f>IFERROR(VLOOKUP(E70,'SF Churn Data'!E:R,14,0),"")</f>
        <v/>
      </c>
    </row>
    <row r="71" hidden="1">
      <c r="A71" s="11" t="s">
        <v>112</v>
      </c>
      <c r="B71" s="11" t="s">
        <v>45</v>
      </c>
      <c r="C71" s="11" t="s">
        <v>45</v>
      </c>
      <c r="D71" s="11" t="s">
        <v>246</v>
      </c>
      <c r="E71" s="11" t="s">
        <v>247</v>
      </c>
      <c r="F71" s="11" t="s">
        <v>228</v>
      </c>
      <c r="G71" s="11">
        <v>10.3</v>
      </c>
      <c r="H71" s="11" t="s">
        <v>45</v>
      </c>
      <c r="I71" s="12">
        <v>3257.0</v>
      </c>
      <c r="J71" s="12">
        <v>4600.0</v>
      </c>
      <c r="K71" s="12">
        <v>4000.0</v>
      </c>
      <c r="L71" s="11" t="s">
        <v>248</v>
      </c>
      <c r="M71" s="11" t="s">
        <v>249</v>
      </c>
      <c r="N71" s="11" t="s">
        <v>250</v>
      </c>
      <c r="O71" s="11" t="s">
        <v>198</v>
      </c>
      <c r="P71" s="11" t="s">
        <v>42</v>
      </c>
      <c r="Q71" s="13" t="str">
        <f>IFERROR(VLOOKUP(E71,'SF Churn Data'!E:R,14,0),"")</f>
        <v/>
      </c>
    </row>
    <row r="72" hidden="1">
      <c r="A72" s="11" t="s">
        <v>138</v>
      </c>
      <c r="B72" s="11" t="s">
        <v>45</v>
      </c>
      <c r="C72" s="11" t="s">
        <v>45</v>
      </c>
      <c r="D72" s="11" t="s">
        <v>251</v>
      </c>
      <c r="E72" s="11" t="s">
        <v>252</v>
      </c>
      <c r="F72" s="11" t="s">
        <v>228</v>
      </c>
      <c r="G72" s="11">
        <v>9.3</v>
      </c>
      <c r="H72" s="11" t="s">
        <v>45</v>
      </c>
      <c r="I72" s="12">
        <v>1652.0</v>
      </c>
      <c r="J72" s="12">
        <v>2400.0</v>
      </c>
      <c r="K72" s="12">
        <v>2050.0</v>
      </c>
      <c r="L72" s="11" t="s">
        <v>253</v>
      </c>
      <c r="M72" s="11" t="s">
        <v>254</v>
      </c>
      <c r="N72" s="11" t="s">
        <v>143</v>
      </c>
      <c r="O72" s="11" t="s">
        <v>41</v>
      </c>
      <c r="P72" s="11" t="s">
        <v>144</v>
      </c>
      <c r="Q72" s="13" t="str">
        <f>IFERROR(VLOOKUP(E72,'SF Churn Data'!E:R,14,0),"")</f>
        <v/>
      </c>
    </row>
    <row r="73" hidden="1">
      <c r="A73" s="11" t="s">
        <v>225</v>
      </c>
      <c r="B73" s="11" t="s">
        <v>44</v>
      </c>
      <c r="C73" s="11" t="s">
        <v>53</v>
      </c>
      <c r="D73" s="11" t="s">
        <v>255</v>
      </c>
      <c r="E73" s="11" t="s">
        <v>256</v>
      </c>
      <c r="F73" s="11" t="s">
        <v>228</v>
      </c>
      <c r="G73" s="11">
        <v>16.2</v>
      </c>
      <c r="H73" s="11" t="s">
        <v>120</v>
      </c>
      <c r="I73" s="12">
        <v>5700.0</v>
      </c>
      <c r="J73" s="12">
        <v>7450.0</v>
      </c>
      <c r="K73" s="12">
        <v>6600.0</v>
      </c>
      <c r="L73" s="11" t="s">
        <v>257</v>
      </c>
      <c r="M73" s="11" t="s">
        <v>239</v>
      </c>
      <c r="N73" s="11" t="s">
        <v>240</v>
      </c>
      <c r="O73" s="11" t="s">
        <v>41</v>
      </c>
      <c r="P73" s="11" t="s">
        <v>162</v>
      </c>
      <c r="Q73" s="13" t="str">
        <f>IFERROR(VLOOKUP(E73,'SF Churn Data'!E:R,14,0),"")</f>
        <v/>
      </c>
    </row>
    <row r="74" hidden="1">
      <c r="A74" s="11" t="s">
        <v>145</v>
      </c>
      <c r="B74" s="11" t="s">
        <v>44</v>
      </c>
      <c r="C74" s="11" t="s">
        <v>53</v>
      </c>
      <c r="D74" s="11" t="s">
        <v>258</v>
      </c>
      <c r="E74" s="11" t="s">
        <v>259</v>
      </c>
      <c r="F74" s="11" t="s">
        <v>228</v>
      </c>
      <c r="G74" s="11">
        <v>16.4</v>
      </c>
      <c r="H74" s="11" t="s">
        <v>56</v>
      </c>
      <c r="I74" s="12">
        <v>8592.0</v>
      </c>
      <c r="J74" s="12">
        <v>9500.0</v>
      </c>
      <c r="K74" s="11">
        <v>10350.0</v>
      </c>
      <c r="L74" s="11" t="s">
        <v>260</v>
      </c>
      <c r="M74" s="11" t="s">
        <v>261</v>
      </c>
      <c r="N74" s="11" t="s">
        <v>245</v>
      </c>
      <c r="O74" s="11" t="s">
        <v>57</v>
      </c>
      <c r="P74" s="11" t="s">
        <v>63</v>
      </c>
      <c r="Q74" s="13" t="str">
        <f>IFERROR(VLOOKUP(E74,'SF Churn Data'!E:R,14,0),"")</f>
        <v/>
      </c>
    </row>
    <row r="75" hidden="1">
      <c r="A75" s="11" t="s">
        <v>216</v>
      </c>
      <c r="B75" s="11" t="s">
        <v>44</v>
      </c>
      <c r="C75" s="11" t="s">
        <v>64</v>
      </c>
      <c r="D75" s="11" t="s">
        <v>262</v>
      </c>
      <c r="E75" s="11" t="s">
        <v>263</v>
      </c>
      <c r="F75" s="11" t="s">
        <v>228</v>
      </c>
      <c r="G75" s="11">
        <v>18.64</v>
      </c>
      <c r="H75" s="11" t="s">
        <v>120</v>
      </c>
      <c r="I75" s="12">
        <v>6345.0</v>
      </c>
      <c r="J75" s="12">
        <v>8900.0</v>
      </c>
      <c r="K75" s="12">
        <v>7650.0</v>
      </c>
      <c r="L75" s="11" t="s">
        <v>264</v>
      </c>
      <c r="M75" s="11" t="s">
        <v>265</v>
      </c>
      <c r="N75" s="11" t="s">
        <v>240</v>
      </c>
      <c r="O75" s="11" t="s">
        <v>57</v>
      </c>
      <c r="P75" s="11" t="s">
        <v>42</v>
      </c>
      <c r="Q75" s="13" t="str">
        <f>IFERROR(VLOOKUP(E75,'SF Churn Data'!E:R,14,0),"")</f>
        <v/>
      </c>
    </row>
    <row r="76" hidden="1">
      <c r="A76" s="11" t="s">
        <v>148</v>
      </c>
      <c r="B76" s="11" t="s">
        <v>44</v>
      </c>
      <c r="C76" s="11" t="s">
        <v>76</v>
      </c>
      <c r="D76" s="11" t="s">
        <v>266</v>
      </c>
      <c r="E76" s="11" t="s">
        <v>267</v>
      </c>
      <c r="F76" s="11" t="s">
        <v>228</v>
      </c>
      <c r="G76" s="11">
        <v>21.9</v>
      </c>
      <c r="H76" s="11" t="s">
        <v>56</v>
      </c>
      <c r="I76" s="12">
        <v>8349.0</v>
      </c>
      <c r="J76" s="12">
        <v>8350.0</v>
      </c>
      <c r="K76" s="12">
        <v>10050.0</v>
      </c>
      <c r="L76" s="11" t="s">
        <v>268</v>
      </c>
      <c r="M76" s="11" t="s">
        <v>269</v>
      </c>
      <c r="N76" s="11" t="s">
        <v>270</v>
      </c>
      <c r="O76" s="11" t="s">
        <v>151</v>
      </c>
      <c r="P76" s="11" t="s">
        <v>48</v>
      </c>
      <c r="Q76" s="13" t="str">
        <f>IFERROR(VLOOKUP(E76,'SF Churn Data'!E:R,14,0),"")</f>
        <v/>
      </c>
    </row>
    <row r="77" hidden="1">
      <c r="A77" s="11" t="s">
        <v>154</v>
      </c>
      <c r="B77" s="11" t="s">
        <v>44</v>
      </c>
      <c r="C77" s="11" t="s">
        <v>180</v>
      </c>
      <c r="D77" s="11" t="s">
        <v>271</v>
      </c>
      <c r="E77" s="11" t="s">
        <v>272</v>
      </c>
      <c r="F77" s="11" t="s">
        <v>228</v>
      </c>
      <c r="G77" s="11">
        <v>22.0</v>
      </c>
      <c r="H77" s="11" t="s">
        <v>56</v>
      </c>
      <c r="I77" s="12">
        <v>6090.0</v>
      </c>
      <c r="J77" s="12">
        <v>8550.0</v>
      </c>
      <c r="K77" s="11">
        <v>7350.0</v>
      </c>
      <c r="L77" s="11" t="s">
        <v>273</v>
      </c>
      <c r="M77" s="11" t="s">
        <v>239</v>
      </c>
      <c r="N77" s="11" t="s">
        <v>240</v>
      </c>
      <c r="O77" s="11" t="s">
        <v>151</v>
      </c>
      <c r="P77" s="11" t="s">
        <v>157</v>
      </c>
      <c r="Q77" s="13" t="str">
        <f>IFERROR(VLOOKUP(E77,'SF Churn Data'!E:R,14,0),"")</f>
        <v/>
      </c>
    </row>
    <row r="78" hidden="1">
      <c r="A78" s="11" t="s">
        <v>138</v>
      </c>
      <c r="B78" s="11" t="s">
        <v>44</v>
      </c>
      <c r="C78" s="11" t="s">
        <v>151</v>
      </c>
      <c r="D78" s="11" t="s">
        <v>274</v>
      </c>
      <c r="E78" s="11" t="s">
        <v>275</v>
      </c>
      <c r="F78" s="11" t="s">
        <v>228</v>
      </c>
      <c r="G78" s="11">
        <v>28.95</v>
      </c>
      <c r="H78" s="11" t="s">
        <v>168</v>
      </c>
      <c r="I78" s="12">
        <v>4973.0</v>
      </c>
      <c r="J78" s="12">
        <v>7250.0</v>
      </c>
      <c r="K78" s="12">
        <v>6000.0</v>
      </c>
      <c r="L78" s="11" t="s">
        <v>276</v>
      </c>
      <c r="M78" s="11" t="s">
        <v>277</v>
      </c>
      <c r="N78" s="11" t="s">
        <v>270</v>
      </c>
      <c r="O78" s="11" t="s">
        <v>57</v>
      </c>
      <c r="P78" s="11" t="s">
        <v>144</v>
      </c>
      <c r="Q78" s="13" t="str">
        <f>IFERROR(VLOOKUP(E78,'SF Churn Data'!E:R,14,0),"")</f>
        <v/>
      </c>
    </row>
    <row r="79" hidden="1">
      <c r="A79" s="11" t="s">
        <v>158</v>
      </c>
      <c r="B79" s="11" t="s">
        <v>45</v>
      </c>
      <c r="C79" s="11" t="s">
        <v>45</v>
      </c>
      <c r="D79" s="11" t="s">
        <v>278</v>
      </c>
      <c r="E79" s="11" t="s">
        <v>279</v>
      </c>
      <c r="F79" s="11" t="s">
        <v>228</v>
      </c>
      <c r="G79" s="11">
        <v>10.44</v>
      </c>
      <c r="H79" s="11" t="s">
        <v>45</v>
      </c>
      <c r="I79" s="12">
        <v>2542.0</v>
      </c>
      <c r="J79" s="12">
        <v>2550.0</v>
      </c>
      <c r="K79" s="12">
        <v>3100.0</v>
      </c>
      <c r="L79" s="11" t="s">
        <v>280</v>
      </c>
      <c r="M79" s="11" t="s">
        <v>281</v>
      </c>
      <c r="N79" s="11" t="s">
        <v>245</v>
      </c>
      <c r="O79" s="11" t="s">
        <v>41</v>
      </c>
      <c r="P79" s="11" t="s">
        <v>162</v>
      </c>
      <c r="Q79" s="13" t="str">
        <f>IFERROR(VLOOKUP(E79,'SF Churn Data'!E:R,14,0),"")</f>
        <v/>
      </c>
    </row>
    <row r="80" hidden="1">
      <c r="A80" s="11" t="s">
        <v>282</v>
      </c>
      <c r="B80" s="11" t="s">
        <v>44</v>
      </c>
      <c r="C80" s="11" t="s">
        <v>76</v>
      </c>
      <c r="D80" s="11" t="s">
        <v>283</v>
      </c>
      <c r="E80" s="11" t="s">
        <v>284</v>
      </c>
      <c r="F80" s="11" t="s">
        <v>228</v>
      </c>
      <c r="G80" s="11">
        <v>20.03</v>
      </c>
      <c r="H80" s="11" t="s">
        <v>168</v>
      </c>
      <c r="I80" s="12">
        <v>6499.0</v>
      </c>
      <c r="J80" s="12">
        <v>7800.0</v>
      </c>
      <c r="K80" s="11">
        <v>7800.0</v>
      </c>
      <c r="L80" s="11" t="s">
        <v>285</v>
      </c>
      <c r="M80" s="11" t="s">
        <v>286</v>
      </c>
      <c r="N80" s="11" t="s">
        <v>270</v>
      </c>
      <c r="O80" s="11" t="s">
        <v>57</v>
      </c>
      <c r="P80" s="11" t="s">
        <v>63</v>
      </c>
      <c r="Q80" s="13" t="str">
        <f>IFERROR(VLOOKUP(E80,'SF Churn Data'!E:R,14,0),"")</f>
        <v/>
      </c>
    </row>
    <row r="81" hidden="1">
      <c r="A81" s="11" t="s">
        <v>225</v>
      </c>
      <c r="B81" s="11" t="s">
        <v>44</v>
      </c>
      <c r="C81" s="11" t="s">
        <v>53</v>
      </c>
      <c r="D81" s="11" t="s">
        <v>287</v>
      </c>
      <c r="E81" s="11" t="s">
        <v>288</v>
      </c>
      <c r="F81" s="11" t="s">
        <v>228</v>
      </c>
      <c r="G81" s="11">
        <v>15.6</v>
      </c>
      <c r="H81" s="11" t="s">
        <v>120</v>
      </c>
      <c r="I81" s="12">
        <v>5700.0</v>
      </c>
      <c r="J81" s="12">
        <v>7450.0</v>
      </c>
      <c r="K81" s="11">
        <v>6600.0</v>
      </c>
      <c r="L81" s="11" t="s">
        <v>289</v>
      </c>
      <c r="M81" s="11" t="s">
        <v>290</v>
      </c>
      <c r="N81" s="11" t="s">
        <v>270</v>
      </c>
      <c r="O81" s="11" t="s">
        <v>41</v>
      </c>
      <c r="P81" s="11" t="s">
        <v>162</v>
      </c>
      <c r="Q81" s="13" t="str">
        <f>IFERROR(VLOOKUP(E81,'SF Churn Data'!E:R,14,0),"")</f>
        <v/>
      </c>
    </row>
    <row r="82" hidden="1">
      <c r="A82" s="11" t="s">
        <v>171</v>
      </c>
      <c r="B82" s="11" t="s">
        <v>45</v>
      </c>
      <c r="C82" s="11" t="s">
        <v>45</v>
      </c>
      <c r="D82" s="11" t="s">
        <v>291</v>
      </c>
      <c r="E82" s="11" t="s">
        <v>292</v>
      </c>
      <c r="F82" s="11" t="s">
        <v>228</v>
      </c>
      <c r="G82" s="11">
        <v>17.44</v>
      </c>
      <c r="H82" s="11" t="s">
        <v>45</v>
      </c>
      <c r="I82" s="12">
        <v>2490.0</v>
      </c>
      <c r="J82" s="12">
        <v>2900.0</v>
      </c>
      <c r="K82" s="11">
        <v>3000.0</v>
      </c>
      <c r="L82" s="11" t="s">
        <v>293</v>
      </c>
      <c r="M82" s="11" t="s">
        <v>294</v>
      </c>
      <c r="N82" s="11" t="s">
        <v>240</v>
      </c>
      <c r="O82" s="11" t="s">
        <v>198</v>
      </c>
      <c r="P82" s="11"/>
      <c r="Q82" s="13" t="str">
        <f>IFERROR(VLOOKUP(E82,'SF Churn Data'!E:R,14,0),"")</f>
        <v/>
      </c>
    </row>
    <row r="83" hidden="1">
      <c r="A83" s="11" t="s">
        <v>138</v>
      </c>
      <c r="B83" s="11" t="s">
        <v>45</v>
      </c>
      <c r="C83" s="11" t="s">
        <v>45</v>
      </c>
      <c r="D83" s="11" t="s">
        <v>295</v>
      </c>
      <c r="E83" s="11" t="s">
        <v>296</v>
      </c>
      <c r="F83" s="11" t="s">
        <v>228</v>
      </c>
      <c r="G83" s="11">
        <v>10.09</v>
      </c>
      <c r="H83" s="11" t="s">
        <v>45</v>
      </c>
      <c r="I83" s="12">
        <v>1652.0</v>
      </c>
      <c r="J83" s="12">
        <v>2400.0</v>
      </c>
      <c r="K83" s="12">
        <v>2050.0</v>
      </c>
      <c r="L83" s="11" t="s">
        <v>297</v>
      </c>
      <c r="M83" s="11" t="s">
        <v>298</v>
      </c>
      <c r="N83" s="11" t="s">
        <v>250</v>
      </c>
      <c r="O83" s="11" t="s">
        <v>57</v>
      </c>
      <c r="P83" s="11" t="s">
        <v>144</v>
      </c>
      <c r="Q83" s="13" t="str">
        <f>IFERROR(VLOOKUP(E83,'SF Churn Data'!E:R,14,0),"")</f>
        <v/>
      </c>
    </row>
    <row r="84" hidden="1">
      <c r="A84" s="11" t="s">
        <v>138</v>
      </c>
      <c r="B84" s="11" t="s">
        <v>44</v>
      </c>
      <c r="C84" s="11" t="s">
        <v>133</v>
      </c>
      <c r="D84" s="11" t="s">
        <v>299</v>
      </c>
      <c r="E84" s="11" t="s">
        <v>300</v>
      </c>
      <c r="F84" s="11" t="s">
        <v>228</v>
      </c>
      <c r="G84" s="11">
        <v>13.04</v>
      </c>
      <c r="H84" s="11" t="s">
        <v>56</v>
      </c>
      <c r="I84" s="12">
        <v>3113.0</v>
      </c>
      <c r="J84" s="12">
        <v>4550.0</v>
      </c>
      <c r="K84" s="12">
        <v>3800.0</v>
      </c>
      <c r="L84" s="11" t="s">
        <v>301</v>
      </c>
      <c r="M84" s="11" t="s">
        <v>302</v>
      </c>
      <c r="N84" s="11" t="s">
        <v>245</v>
      </c>
      <c r="O84" s="11" t="s">
        <v>57</v>
      </c>
      <c r="P84" s="11" t="s">
        <v>144</v>
      </c>
      <c r="Q84" s="13" t="str">
        <f>IFERROR(VLOOKUP(E84,'SF Churn Data'!E:R,14,0),"")</f>
        <v/>
      </c>
    </row>
    <row r="85" hidden="1">
      <c r="A85" s="11" t="s">
        <v>35</v>
      </c>
      <c r="B85" s="11" t="s">
        <v>44</v>
      </c>
      <c r="C85" s="11" t="s">
        <v>64</v>
      </c>
      <c r="D85" s="11" t="s">
        <v>303</v>
      </c>
      <c r="E85" s="11" t="s">
        <v>304</v>
      </c>
      <c r="F85" s="11" t="s">
        <v>228</v>
      </c>
      <c r="G85" s="11">
        <v>19.46</v>
      </c>
      <c r="H85" s="11" t="s">
        <v>168</v>
      </c>
      <c r="I85" s="12">
        <v>6648.0</v>
      </c>
      <c r="J85" s="12">
        <v>9000.0</v>
      </c>
      <c r="K85" s="11">
        <v>8000.0</v>
      </c>
      <c r="L85" s="11" t="s">
        <v>305</v>
      </c>
      <c r="M85" s="11" t="s">
        <v>306</v>
      </c>
      <c r="N85" s="11" t="s">
        <v>231</v>
      </c>
      <c r="O85" s="11" t="s">
        <v>57</v>
      </c>
      <c r="P85" s="11" t="s">
        <v>42</v>
      </c>
      <c r="Q85" s="13" t="str">
        <f>IFERROR(VLOOKUP(E85,'SF Churn Data'!E:R,14,0),"")</f>
        <v/>
      </c>
    </row>
    <row r="86" hidden="1">
      <c r="A86" s="11" t="s">
        <v>35</v>
      </c>
      <c r="B86" s="11" t="s">
        <v>45</v>
      </c>
      <c r="C86" s="11" t="s">
        <v>45</v>
      </c>
      <c r="D86" s="11" t="s">
        <v>307</v>
      </c>
      <c r="E86" s="11" t="s">
        <v>308</v>
      </c>
      <c r="F86" s="11" t="s">
        <v>228</v>
      </c>
      <c r="G86" s="11">
        <v>8.66</v>
      </c>
      <c r="H86" s="11" t="s">
        <v>45</v>
      </c>
      <c r="I86" s="12">
        <v>2885.0</v>
      </c>
      <c r="J86" s="12">
        <v>3900.0</v>
      </c>
      <c r="K86" s="11">
        <v>3500.0</v>
      </c>
      <c r="L86" s="11" t="s">
        <v>309</v>
      </c>
      <c r="M86" s="11" t="s">
        <v>310</v>
      </c>
      <c r="N86" s="11" t="s">
        <v>311</v>
      </c>
      <c r="O86" s="11" t="s">
        <v>83</v>
      </c>
      <c r="P86" s="11" t="s">
        <v>42</v>
      </c>
      <c r="Q86" s="13" t="str">
        <f>IFERROR(VLOOKUP(E86,'SF Churn Data'!E:R,14,0),"")</f>
        <v/>
      </c>
    </row>
    <row r="87" hidden="1">
      <c r="A87" s="11" t="s">
        <v>216</v>
      </c>
      <c r="B87" s="11" t="s">
        <v>44</v>
      </c>
      <c r="C87" s="11" t="s">
        <v>53</v>
      </c>
      <c r="D87" s="11" t="s">
        <v>312</v>
      </c>
      <c r="E87" s="11" t="s">
        <v>313</v>
      </c>
      <c r="F87" s="11" t="s">
        <v>228</v>
      </c>
      <c r="G87" s="11">
        <v>17.19</v>
      </c>
      <c r="H87" s="11" t="s">
        <v>120</v>
      </c>
      <c r="I87" s="12">
        <v>5494.0</v>
      </c>
      <c r="J87" s="12">
        <v>7700.0</v>
      </c>
      <c r="K87" s="11">
        <v>6600.0</v>
      </c>
      <c r="L87" s="11" t="s">
        <v>314</v>
      </c>
      <c r="M87" s="11" t="s">
        <v>315</v>
      </c>
      <c r="N87" s="11" t="s">
        <v>316</v>
      </c>
      <c r="O87" s="11" t="s">
        <v>41</v>
      </c>
      <c r="P87" s="11" t="s">
        <v>42</v>
      </c>
      <c r="Q87" s="13" t="str">
        <f>IFERROR(VLOOKUP(E87,'SF Churn Data'!E:R,14,0),"")</f>
        <v/>
      </c>
    </row>
    <row r="88" hidden="1">
      <c r="A88" s="11" t="s">
        <v>216</v>
      </c>
      <c r="B88" s="11" t="s">
        <v>45</v>
      </c>
      <c r="C88" s="11" t="s">
        <v>45</v>
      </c>
      <c r="D88" s="11" t="s">
        <v>317</v>
      </c>
      <c r="E88" s="11" t="s">
        <v>318</v>
      </c>
      <c r="F88" s="11" t="s">
        <v>228</v>
      </c>
      <c r="G88" s="11">
        <v>9.63</v>
      </c>
      <c r="H88" s="11" t="s">
        <v>45</v>
      </c>
      <c r="I88" s="12">
        <v>3194.0</v>
      </c>
      <c r="J88" s="12">
        <v>4500.0</v>
      </c>
      <c r="K88" s="11">
        <v>3850.0</v>
      </c>
      <c r="L88" s="11" t="s">
        <v>319</v>
      </c>
      <c r="M88" s="11" t="s">
        <v>320</v>
      </c>
      <c r="N88" s="11" t="s">
        <v>143</v>
      </c>
      <c r="O88" s="11" t="s">
        <v>57</v>
      </c>
      <c r="P88" s="11" t="s">
        <v>42</v>
      </c>
      <c r="Q88" s="13" t="str">
        <f>IFERROR(VLOOKUP(E88,'SF Churn Data'!E:R,14,0),"")</f>
        <v/>
      </c>
    </row>
    <row r="89" hidden="1">
      <c r="A89" s="11" t="s">
        <v>112</v>
      </c>
      <c r="B89" s="11" t="s">
        <v>44</v>
      </c>
      <c r="C89" s="11" t="s">
        <v>180</v>
      </c>
      <c r="D89" s="11" t="s">
        <v>321</v>
      </c>
      <c r="E89" s="11" t="s">
        <v>322</v>
      </c>
      <c r="F89" s="11" t="s">
        <v>228</v>
      </c>
      <c r="G89" s="11">
        <v>22.9</v>
      </c>
      <c r="H89" s="11" t="s">
        <v>168</v>
      </c>
      <c r="I89" s="12">
        <v>6867.0</v>
      </c>
      <c r="J89" s="12">
        <v>9650.0</v>
      </c>
      <c r="K89" s="11">
        <v>8300.0</v>
      </c>
      <c r="L89" s="11" t="s">
        <v>323</v>
      </c>
      <c r="M89" s="11" t="s">
        <v>324</v>
      </c>
      <c r="N89" s="11" t="s">
        <v>270</v>
      </c>
      <c r="O89" s="11" t="s">
        <v>41</v>
      </c>
      <c r="P89" s="11" t="s">
        <v>42</v>
      </c>
      <c r="Q89" s="13" t="str">
        <f>IFERROR(VLOOKUP(E89,'SF Churn Data'!E:R,14,0),"")</f>
        <v/>
      </c>
    </row>
    <row r="90" hidden="1">
      <c r="A90" s="11" t="s">
        <v>282</v>
      </c>
      <c r="B90" s="11" t="s">
        <v>44</v>
      </c>
      <c r="C90" s="11" t="s">
        <v>76</v>
      </c>
      <c r="D90" s="11" t="s">
        <v>325</v>
      </c>
      <c r="E90" s="11" t="s">
        <v>326</v>
      </c>
      <c r="F90" s="11" t="s">
        <v>228</v>
      </c>
      <c r="G90" s="11">
        <v>20.7</v>
      </c>
      <c r="H90" s="11" t="s">
        <v>168</v>
      </c>
      <c r="I90" s="12">
        <v>6499.0</v>
      </c>
      <c r="J90" s="12">
        <v>7800.0</v>
      </c>
      <c r="K90" s="12">
        <v>7800.0</v>
      </c>
      <c r="L90" s="11" t="s">
        <v>327</v>
      </c>
      <c r="M90" s="11" t="s">
        <v>328</v>
      </c>
      <c r="N90" s="11" t="s">
        <v>240</v>
      </c>
      <c r="O90" s="11" t="s">
        <v>41</v>
      </c>
      <c r="P90" s="11" t="s">
        <v>63</v>
      </c>
      <c r="Q90" s="13" t="str">
        <f>IFERROR(VLOOKUP(E90,'SF Churn Data'!E:R,14,0),"")</f>
        <v/>
      </c>
    </row>
    <row r="91" hidden="1">
      <c r="A91" s="11" t="s">
        <v>225</v>
      </c>
      <c r="B91" s="11" t="s">
        <v>44</v>
      </c>
      <c r="C91" s="11" t="s">
        <v>53</v>
      </c>
      <c r="D91" s="11" t="s">
        <v>329</v>
      </c>
      <c r="E91" s="11" t="s">
        <v>330</v>
      </c>
      <c r="F91" s="11" t="s">
        <v>228</v>
      </c>
      <c r="G91" s="11">
        <v>15.0</v>
      </c>
      <c r="H91" s="11" t="s">
        <v>120</v>
      </c>
      <c r="I91" s="12">
        <v>5150.0</v>
      </c>
      <c r="J91" s="12">
        <v>6700.0</v>
      </c>
      <c r="K91" s="11">
        <v>6000.0</v>
      </c>
      <c r="L91" s="11" t="s">
        <v>331</v>
      </c>
      <c r="M91" s="11" t="s">
        <v>332</v>
      </c>
      <c r="N91" s="11" t="s">
        <v>333</v>
      </c>
      <c r="O91" s="11" t="s">
        <v>161</v>
      </c>
      <c r="P91" s="11" t="s">
        <v>162</v>
      </c>
      <c r="Q91" s="13" t="str">
        <f>IFERROR(VLOOKUP(E91,'SF Churn Data'!E:R,14,0),"")</f>
        <v/>
      </c>
    </row>
    <row r="92" hidden="1">
      <c r="A92" s="11" t="s">
        <v>35</v>
      </c>
      <c r="B92" s="11" t="s">
        <v>44</v>
      </c>
      <c r="C92" s="11" t="s">
        <v>64</v>
      </c>
      <c r="D92" s="11" t="s">
        <v>334</v>
      </c>
      <c r="E92" s="11" t="s">
        <v>335</v>
      </c>
      <c r="F92" s="11" t="s">
        <v>228</v>
      </c>
      <c r="G92" s="11">
        <v>19.6</v>
      </c>
      <c r="H92" s="11" t="s">
        <v>168</v>
      </c>
      <c r="I92" s="12">
        <v>6648.0</v>
      </c>
      <c r="J92" s="12">
        <v>9000.0</v>
      </c>
      <c r="K92" s="12">
        <v>8000.0</v>
      </c>
      <c r="L92" s="11" t="s">
        <v>336</v>
      </c>
      <c r="M92" s="11" t="s">
        <v>337</v>
      </c>
      <c r="N92" s="11" t="s">
        <v>338</v>
      </c>
      <c r="O92" s="11" t="s">
        <v>57</v>
      </c>
      <c r="P92" s="11" t="s">
        <v>42</v>
      </c>
      <c r="Q92" s="13" t="str">
        <f>IFERROR(VLOOKUP(E92,'SF Churn Data'!E:R,14,0),"")</f>
        <v/>
      </c>
    </row>
    <row r="93" hidden="1">
      <c r="A93" s="11" t="s">
        <v>165</v>
      </c>
      <c r="B93" s="11" t="s">
        <v>44</v>
      </c>
      <c r="C93" s="11" t="s">
        <v>37</v>
      </c>
      <c r="D93" s="11" t="s">
        <v>339</v>
      </c>
      <c r="E93" s="11" t="s">
        <v>340</v>
      </c>
      <c r="F93" s="11" t="s">
        <v>228</v>
      </c>
      <c r="G93" s="11">
        <v>62.84</v>
      </c>
      <c r="H93" s="11" t="s">
        <v>168</v>
      </c>
      <c r="I93" s="12">
        <v>7150.0</v>
      </c>
      <c r="J93" s="12">
        <v>8600.0</v>
      </c>
      <c r="K93" s="11">
        <v>8600.0</v>
      </c>
      <c r="L93" s="11" t="s">
        <v>341</v>
      </c>
      <c r="M93" s="11" t="s">
        <v>342</v>
      </c>
      <c r="N93" s="11" t="s">
        <v>343</v>
      </c>
      <c r="O93" s="11" t="s">
        <v>117</v>
      </c>
      <c r="P93" s="11"/>
      <c r="Q93" s="13" t="str">
        <f>IFERROR(VLOOKUP(E93,'SF Churn Data'!E:R,14,0),"")</f>
        <v/>
      </c>
    </row>
    <row r="94" hidden="1">
      <c r="A94" s="11" t="s">
        <v>148</v>
      </c>
      <c r="B94" s="11" t="s">
        <v>44</v>
      </c>
      <c r="C94" s="11" t="s">
        <v>76</v>
      </c>
      <c r="D94" s="11" t="s">
        <v>344</v>
      </c>
      <c r="E94" s="11" t="s">
        <v>345</v>
      </c>
      <c r="F94" s="11" t="s">
        <v>228</v>
      </c>
      <c r="G94" s="11">
        <v>20.8</v>
      </c>
      <c r="H94" s="11" t="s">
        <v>56</v>
      </c>
      <c r="I94" s="12">
        <v>7514.0</v>
      </c>
      <c r="J94" s="12">
        <v>7550.0</v>
      </c>
      <c r="K94" s="11">
        <v>9100.0</v>
      </c>
      <c r="L94" s="11" t="s">
        <v>346</v>
      </c>
      <c r="M94" s="11" t="s">
        <v>328</v>
      </c>
      <c r="N94" s="11" t="s">
        <v>240</v>
      </c>
      <c r="O94" s="11" t="s">
        <v>151</v>
      </c>
      <c r="P94" s="11" t="s">
        <v>48</v>
      </c>
      <c r="Q94" s="13" t="str">
        <f>IFERROR(VLOOKUP(E94,'SF Churn Data'!E:R,14,0),"")</f>
        <v/>
      </c>
    </row>
    <row r="95" hidden="1">
      <c r="A95" s="11" t="s">
        <v>112</v>
      </c>
      <c r="B95" s="11" t="s">
        <v>45</v>
      </c>
      <c r="C95" s="11" t="s">
        <v>45</v>
      </c>
      <c r="D95" s="11" t="s">
        <v>347</v>
      </c>
      <c r="E95" s="11" t="s">
        <v>348</v>
      </c>
      <c r="F95" s="11" t="s">
        <v>228</v>
      </c>
      <c r="G95" s="11">
        <v>10.4</v>
      </c>
      <c r="H95" s="11" t="s">
        <v>45</v>
      </c>
      <c r="I95" s="12">
        <v>3257.0</v>
      </c>
      <c r="J95" s="12">
        <v>4600.0</v>
      </c>
      <c r="K95" s="12">
        <v>4000.0</v>
      </c>
      <c r="L95" s="11" t="s">
        <v>349</v>
      </c>
      <c r="M95" s="11" t="s">
        <v>350</v>
      </c>
      <c r="N95" s="11" t="s">
        <v>245</v>
      </c>
      <c r="O95" s="11" t="s">
        <v>41</v>
      </c>
      <c r="P95" s="11" t="s">
        <v>42</v>
      </c>
      <c r="Q95" s="13" t="str">
        <f>IFERROR(VLOOKUP(E95,'SF Churn Data'!E:R,14,0),"")</f>
        <v/>
      </c>
    </row>
    <row r="96" hidden="1">
      <c r="A96" s="11" t="s">
        <v>112</v>
      </c>
      <c r="B96" s="11" t="s">
        <v>44</v>
      </c>
      <c r="C96" s="11" t="s">
        <v>64</v>
      </c>
      <c r="D96" s="11" t="s">
        <v>351</v>
      </c>
      <c r="E96" s="11" t="s">
        <v>352</v>
      </c>
      <c r="F96" s="11" t="s">
        <v>228</v>
      </c>
      <c r="G96" s="11">
        <v>17.6</v>
      </c>
      <c r="H96" s="11" t="s">
        <v>120</v>
      </c>
      <c r="I96" s="12">
        <v>6437.0</v>
      </c>
      <c r="J96" s="12">
        <v>9050.0</v>
      </c>
      <c r="K96" s="12">
        <v>7750.0</v>
      </c>
      <c r="L96" s="11" t="s">
        <v>353</v>
      </c>
      <c r="M96" s="11" t="s">
        <v>354</v>
      </c>
      <c r="N96" s="11" t="s">
        <v>245</v>
      </c>
      <c r="O96" s="11" t="s">
        <v>41</v>
      </c>
      <c r="P96" s="11" t="s">
        <v>42</v>
      </c>
      <c r="Q96" s="13" t="str">
        <f>IFERROR(VLOOKUP(E96,'SF Churn Data'!E:R,14,0),"")</f>
        <v/>
      </c>
    </row>
    <row r="97" hidden="1">
      <c r="A97" s="11" t="s">
        <v>171</v>
      </c>
      <c r="B97" s="11" t="s">
        <v>44</v>
      </c>
      <c r="C97" s="11" t="s">
        <v>180</v>
      </c>
      <c r="D97" s="11" t="s">
        <v>355</v>
      </c>
      <c r="E97" s="11" t="s">
        <v>356</v>
      </c>
      <c r="F97" s="11" t="s">
        <v>228</v>
      </c>
      <c r="G97" s="11">
        <v>23.57</v>
      </c>
      <c r="H97" s="11" t="s">
        <v>120</v>
      </c>
      <c r="I97" s="12">
        <v>5490.0</v>
      </c>
      <c r="J97" s="12">
        <v>6350.0</v>
      </c>
      <c r="K97" s="11">
        <v>6600.0</v>
      </c>
      <c r="L97" s="11" t="s">
        <v>357</v>
      </c>
      <c r="M97" s="11" t="s">
        <v>358</v>
      </c>
      <c r="N97" s="11" t="s">
        <v>231</v>
      </c>
      <c r="O97" s="11" t="s">
        <v>41</v>
      </c>
      <c r="P97" s="11"/>
      <c r="Q97" s="13" t="str">
        <f>IFERROR(VLOOKUP(E97,'SF Churn Data'!E:R,14,0),"")</f>
        <v/>
      </c>
    </row>
    <row r="98" hidden="1">
      <c r="A98" s="11" t="s">
        <v>201</v>
      </c>
      <c r="B98" s="11" t="s">
        <v>44</v>
      </c>
      <c r="C98" s="11" t="s">
        <v>180</v>
      </c>
      <c r="D98" s="11" t="s">
        <v>359</v>
      </c>
      <c r="E98" s="11" t="s">
        <v>360</v>
      </c>
      <c r="F98" s="11" t="s">
        <v>228</v>
      </c>
      <c r="G98" s="11">
        <v>22.54</v>
      </c>
      <c r="H98" s="11" t="s">
        <v>168</v>
      </c>
      <c r="I98" s="12">
        <v>4000.0</v>
      </c>
      <c r="J98" s="12">
        <v>4800.0</v>
      </c>
      <c r="K98" s="11">
        <v>4800.0</v>
      </c>
      <c r="L98" s="11" t="s">
        <v>361</v>
      </c>
      <c r="M98" s="11" t="s">
        <v>362</v>
      </c>
      <c r="N98" s="11" t="s">
        <v>363</v>
      </c>
      <c r="O98" s="11" t="s">
        <v>41</v>
      </c>
      <c r="P98" s="11"/>
      <c r="Q98" s="13" t="str">
        <f>IFERROR(VLOOKUP(E98,'SF Churn Data'!E:R,14,0),"")</f>
        <v/>
      </c>
    </row>
    <row r="99" hidden="1">
      <c r="A99" s="11" t="s">
        <v>364</v>
      </c>
      <c r="B99" s="11" t="s">
        <v>44</v>
      </c>
      <c r="C99" s="11" t="s">
        <v>180</v>
      </c>
      <c r="D99" s="11" t="s">
        <v>365</v>
      </c>
      <c r="E99" s="11" t="s">
        <v>366</v>
      </c>
      <c r="F99" s="11" t="s">
        <v>228</v>
      </c>
      <c r="G99" s="11">
        <v>22.59</v>
      </c>
      <c r="H99" s="11" t="s">
        <v>168</v>
      </c>
      <c r="I99" s="12">
        <v>5600.0</v>
      </c>
      <c r="J99" s="12">
        <v>5600.0</v>
      </c>
      <c r="K99" s="11">
        <v>6500.0</v>
      </c>
      <c r="L99" s="11" t="s">
        <v>367</v>
      </c>
      <c r="M99" s="11" t="s">
        <v>368</v>
      </c>
      <c r="N99" s="11" t="s">
        <v>245</v>
      </c>
      <c r="O99" s="11" t="s">
        <v>117</v>
      </c>
      <c r="P99" s="11" t="s">
        <v>369</v>
      </c>
      <c r="Q99" s="13" t="str">
        <f>IFERROR(VLOOKUP(E99,'SF Churn Data'!E:R,14,0),"")</f>
        <v/>
      </c>
    </row>
    <row r="100" hidden="1">
      <c r="A100" s="11" t="s">
        <v>201</v>
      </c>
      <c r="B100" s="11" t="s">
        <v>44</v>
      </c>
      <c r="C100" s="11" t="s">
        <v>64</v>
      </c>
      <c r="D100" s="11" t="s">
        <v>370</v>
      </c>
      <c r="E100" s="11" t="s">
        <v>371</v>
      </c>
      <c r="F100" s="11" t="s">
        <v>228</v>
      </c>
      <c r="G100" s="11">
        <v>18.81</v>
      </c>
      <c r="H100" s="11" t="s">
        <v>120</v>
      </c>
      <c r="I100" s="12">
        <v>3400.0</v>
      </c>
      <c r="J100" s="12">
        <v>4100.0</v>
      </c>
      <c r="K100" s="11">
        <v>4100.0</v>
      </c>
      <c r="L100" s="11" t="s">
        <v>372</v>
      </c>
      <c r="M100" s="11" t="s">
        <v>373</v>
      </c>
      <c r="N100" s="11" t="s">
        <v>240</v>
      </c>
      <c r="O100" s="11" t="s">
        <v>41</v>
      </c>
      <c r="P100" s="11"/>
      <c r="Q100" s="13" t="str">
        <f>IFERROR(VLOOKUP(E100,'SF Churn Data'!E:R,14,0),"")</f>
        <v/>
      </c>
    </row>
    <row r="101" hidden="1">
      <c r="A101" s="11" t="s">
        <v>112</v>
      </c>
      <c r="B101" s="11" t="s">
        <v>44</v>
      </c>
      <c r="C101" s="11" t="s">
        <v>76</v>
      </c>
      <c r="D101" s="11" t="s">
        <v>374</v>
      </c>
      <c r="E101" s="11" t="s">
        <v>375</v>
      </c>
      <c r="F101" s="11" t="s">
        <v>228</v>
      </c>
      <c r="G101" s="11">
        <v>19.3</v>
      </c>
      <c r="H101" s="11" t="s">
        <v>120</v>
      </c>
      <c r="I101" s="12">
        <v>6437.0</v>
      </c>
      <c r="J101" s="12">
        <v>9050.0</v>
      </c>
      <c r="K101" s="12">
        <v>7750.0</v>
      </c>
      <c r="L101" s="11" t="s">
        <v>376</v>
      </c>
      <c r="M101" s="11" t="s">
        <v>377</v>
      </c>
      <c r="N101" s="11" t="s">
        <v>378</v>
      </c>
      <c r="O101" s="11" t="s">
        <v>117</v>
      </c>
      <c r="P101" s="11" t="s">
        <v>42</v>
      </c>
      <c r="Q101" s="13" t="str">
        <f>IFERROR(VLOOKUP(E101,'SF Churn Data'!E:R,14,0),"")</f>
        <v/>
      </c>
    </row>
    <row r="102" hidden="1">
      <c r="A102" s="11" t="s">
        <v>35</v>
      </c>
      <c r="B102" s="11" t="s">
        <v>45</v>
      </c>
      <c r="C102" s="11" t="s">
        <v>45</v>
      </c>
      <c r="D102" s="11" t="s">
        <v>379</v>
      </c>
      <c r="E102" s="11" t="s">
        <v>380</v>
      </c>
      <c r="F102" s="11" t="s">
        <v>228</v>
      </c>
      <c r="G102" s="11">
        <v>9.22</v>
      </c>
      <c r="H102" s="11" t="s">
        <v>45</v>
      </c>
      <c r="I102" s="12">
        <v>2885.0</v>
      </c>
      <c r="J102" s="12">
        <v>3900.0</v>
      </c>
      <c r="K102" s="12">
        <v>3500.0</v>
      </c>
      <c r="L102" s="11" t="s">
        <v>381</v>
      </c>
      <c r="M102" s="11" t="s">
        <v>382</v>
      </c>
      <c r="N102" s="11" t="s">
        <v>240</v>
      </c>
      <c r="O102" s="11" t="s">
        <v>83</v>
      </c>
      <c r="P102" s="11" t="s">
        <v>42</v>
      </c>
      <c r="Q102" s="13" t="str">
        <f>IFERROR(VLOOKUP(E102,'SF Churn Data'!E:R,14,0),"")</f>
        <v/>
      </c>
    </row>
    <row r="103" hidden="1">
      <c r="A103" s="11" t="s">
        <v>158</v>
      </c>
      <c r="B103" s="11" t="s">
        <v>44</v>
      </c>
      <c r="C103" s="11" t="s">
        <v>64</v>
      </c>
      <c r="D103" s="11" t="s">
        <v>383</v>
      </c>
      <c r="E103" s="11" t="s">
        <v>384</v>
      </c>
      <c r="F103" s="11" t="s">
        <v>228</v>
      </c>
      <c r="G103" s="11">
        <v>17.2</v>
      </c>
      <c r="H103" s="11" t="s">
        <v>120</v>
      </c>
      <c r="I103" s="12">
        <v>5516.0</v>
      </c>
      <c r="J103" s="12">
        <v>5550.0</v>
      </c>
      <c r="K103" s="12">
        <v>6700.0</v>
      </c>
      <c r="L103" s="11" t="s">
        <v>385</v>
      </c>
      <c r="M103" s="11" t="s">
        <v>386</v>
      </c>
      <c r="N103" s="11" t="s">
        <v>378</v>
      </c>
      <c r="O103" s="11" t="s">
        <v>41</v>
      </c>
      <c r="P103" s="11" t="s">
        <v>162</v>
      </c>
      <c r="Q103" s="13" t="str">
        <f>IFERROR(VLOOKUP(E103,'SF Churn Data'!E:R,14,0),"")</f>
        <v/>
      </c>
    </row>
    <row r="104" hidden="1">
      <c r="A104" s="11" t="s">
        <v>282</v>
      </c>
      <c r="B104" s="11" t="s">
        <v>45</v>
      </c>
      <c r="C104" s="11" t="s">
        <v>45</v>
      </c>
      <c r="D104" s="11" t="s">
        <v>387</v>
      </c>
      <c r="E104" s="11" t="s">
        <v>388</v>
      </c>
      <c r="F104" s="11" t="s">
        <v>228</v>
      </c>
      <c r="G104" s="11">
        <v>9.95</v>
      </c>
      <c r="H104" s="11" t="s">
        <v>45</v>
      </c>
      <c r="I104" s="12">
        <v>2838.0</v>
      </c>
      <c r="J104" s="12">
        <v>3450.0</v>
      </c>
      <c r="K104" s="11">
        <v>3450.0</v>
      </c>
      <c r="L104" s="11" t="s">
        <v>389</v>
      </c>
      <c r="M104" s="11" t="s">
        <v>390</v>
      </c>
      <c r="N104" s="11" t="s">
        <v>338</v>
      </c>
      <c r="O104" s="11" t="s">
        <v>41</v>
      </c>
      <c r="P104" s="11" t="s">
        <v>63</v>
      </c>
      <c r="Q104" s="13" t="str">
        <f>IFERROR(VLOOKUP(E104,'SF Churn Data'!E:R,14,0),"")</f>
        <v/>
      </c>
    </row>
    <row r="105" hidden="1">
      <c r="A105" s="11" t="s">
        <v>138</v>
      </c>
      <c r="B105" s="11" t="s">
        <v>45</v>
      </c>
      <c r="C105" s="11" t="s">
        <v>45</v>
      </c>
      <c r="D105" s="11" t="s">
        <v>391</v>
      </c>
      <c r="E105" s="11" t="s">
        <v>392</v>
      </c>
      <c r="F105" s="11" t="s">
        <v>228</v>
      </c>
      <c r="G105" s="11">
        <v>9.0</v>
      </c>
      <c r="H105" s="11" t="s">
        <v>45</v>
      </c>
      <c r="I105" s="12">
        <v>1652.0</v>
      </c>
      <c r="J105" s="12">
        <v>2400.0</v>
      </c>
      <c r="K105" s="12">
        <v>2050.0</v>
      </c>
      <c r="L105" s="11" t="s">
        <v>393</v>
      </c>
      <c r="M105" s="11" t="s">
        <v>394</v>
      </c>
      <c r="N105" s="11" t="s">
        <v>231</v>
      </c>
      <c r="O105" s="11" t="s">
        <v>41</v>
      </c>
      <c r="P105" s="11" t="s">
        <v>144</v>
      </c>
      <c r="Q105" s="13" t="str">
        <f>IFERROR(VLOOKUP(E105,'SF Churn Data'!E:R,14,0),"")</f>
        <v/>
      </c>
    </row>
    <row r="106" hidden="1">
      <c r="A106" s="11" t="s">
        <v>49</v>
      </c>
      <c r="B106" s="11" t="s">
        <v>44</v>
      </c>
      <c r="C106" s="11" t="s">
        <v>180</v>
      </c>
      <c r="D106" s="11" t="s">
        <v>395</v>
      </c>
      <c r="E106" s="11" t="s">
        <v>396</v>
      </c>
      <c r="F106" s="11" t="s">
        <v>228</v>
      </c>
      <c r="G106" s="11">
        <v>23.06</v>
      </c>
      <c r="H106" s="11" t="s">
        <v>168</v>
      </c>
      <c r="I106" s="12">
        <v>8300.0</v>
      </c>
      <c r="J106" s="12">
        <v>9550.0</v>
      </c>
      <c r="K106" s="12">
        <v>10000.0</v>
      </c>
      <c r="L106" s="11" t="s">
        <v>397</v>
      </c>
      <c r="M106" s="11" t="s">
        <v>386</v>
      </c>
      <c r="N106" s="11" t="s">
        <v>378</v>
      </c>
      <c r="O106" s="11" t="s">
        <v>57</v>
      </c>
      <c r="P106" s="11" t="s">
        <v>48</v>
      </c>
      <c r="Q106" s="13" t="str">
        <f>IFERROR(VLOOKUP(E106,'SF Churn Data'!E:R,14,0),"")</f>
        <v/>
      </c>
    </row>
    <row r="107" hidden="1">
      <c r="A107" s="11" t="s">
        <v>132</v>
      </c>
      <c r="B107" s="11" t="s">
        <v>45</v>
      </c>
      <c r="C107" s="11" t="s">
        <v>45</v>
      </c>
      <c r="D107" s="11" t="s">
        <v>398</v>
      </c>
      <c r="E107" s="11" t="s">
        <v>399</v>
      </c>
      <c r="F107" s="11" t="s">
        <v>228</v>
      </c>
      <c r="G107" s="11">
        <v>10.55</v>
      </c>
      <c r="H107" s="11" t="s">
        <v>400</v>
      </c>
      <c r="I107" s="12">
        <v>1822.08</v>
      </c>
      <c r="J107" s="12">
        <v>1500.0</v>
      </c>
      <c r="K107" s="12">
        <v>3500.0</v>
      </c>
      <c r="L107" s="11" t="s">
        <v>401</v>
      </c>
      <c r="M107" s="11" t="s">
        <v>402</v>
      </c>
      <c r="N107" s="11" t="s">
        <v>403</v>
      </c>
      <c r="O107" s="11" t="s">
        <v>41</v>
      </c>
      <c r="P107" s="11"/>
      <c r="Q107" s="13" t="str">
        <f>IFERROR(VLOOKUP(E107,'SF Churn Data'!E:R,14,0),"")</f>
        <v/>
      </c>
    </row>
    <row r="108" hidden="1">
      <c r="A108" s="11" t="s">
        <v>138</v>
      </c>
      <c r="B108" s="11" t="s">
        <v>44</v>
      </c>
      <c r="C108" s="11" t="s">
        <v>64</v>
      </c>
      <c r="D108" s="11" t="s">
        <v>404</v>
      </c>
      <c r="E108" s="11" t="s">
        <v>405</v>
      </c>
      <c r="F108" s="11" t="s">
        <v>228</v>
      </c>
      <c r="G108" s="11">
        <v>18.24</v>
      </c>
      <c r="H108" s="11" t="s">
        <v>120</v>
      </c>
      <c r="I108" s="12">
        <v>3944.0</v>
      </c>
      <c r="J108" s="12">
        <v>5750.0</v>
      </c>
      <c r="K108" s="11">
        <v>4750.0</v>
      </c>
      <c r="L108" s="11" t="s">
        <v>406</v>
      </c>
      <c r="M108" s="11" t="s">
        <v>265</v>
      </c>
      <c r="N108" s="11" t="s">
        <v>240</v>
      </c>
      <c r="O108" s="11" t="s">
        <v>41</v>
      </c>
      <c r="P108" s="11" t="s">
        <v>144</v>
      </c>
      <c r="Q108" s="13" t="str">
        <f>IFERROR(VLOOKUP(E108,'SF Churn Data'!E:R,14,0),"")</f>
        <v/>
      </c>
    </row>
    <row r="109" hidden="1">
      <c r="A109" s="11" t="s">
        <v>125</v>
      </c>
      <c r="B109" s="11" t="s">
        <v>36</v>
      </c>
      <c r="C109" s="11" t="s">
        <v>37</v>
      </c>
      <c r="D109" s="11" t="s">
        <v>407</v>
      </c>
      <c r="E109" s="11" t="s">
        <v>408</v>
      </c>
      <c r="F109" s="11" t="s">
        <v>228</v>
      </c>
      <c r="G109" s="11">
        <v>45.97</v>
      </c>
      <c r="H109" s="11" t="s">
        <v>168</v>
      </c>
      <c r="I109" s="12">
        <v>4500.0</v>
      </c>
      <c r="J109" s="12">
        <v>3850.0</v>
      </c>
      <c r="K109" s="12">
        <v>5700.0</v>
      </c>
      <c r="L109" s="11" t="s">
        <v>409</v>
      </c>
      <c r="M109" s="11" t="s">
        <v>410</v>
      </c>
      <c r="N109" s="11" t="s">
        <v>231</v>
      </c>
      <c r="O109" s="11" t="s">
        <v>57</v>
      </c>
      <c r="P109" s="11"/>
      <c r="Q109" s="13" t="str">
        <f>IFERROR(VLOOKUP(E109,'SF Churn Data'!E:R,14,0),"")</f>
        <v/>
      </c>
    </row>
    <row r="110" hidden="1">
      <c r="A110" s="11" t="s">
        <v>158</v>
      </c>
      <c r="B110" s="11" t="s">
        <v>44</v>
      </c>
      <c r="C110" s="11" t="s">
        <v>133</v>
      </c>
      <c r="D110" s="11" t="s">
        <v>411</v>
      </c>
      <c r="E110" s="11" t="s">
        <v>412</v>
      </c>
      <c r="F110" s="11" t="s">
        <v>228</v>
      </c>
      <c r="G110" s="11">
        <v>14.49</v>
      </c>
      <c r="H110" s="11" t="s">
        <v>56</v>
      </c>
      <c r="I110" s="12">
        <v>4666.0</v>
      </c>
      <c r="J110" s="12">
        <v>4700.0</v>
      </c>
      <c r="K110" s="12">
        <v>5650.0</v>
      </c>
      <c r="L110" s="11" t="s">
        <v>413</v>
      </c>
      <c r="M110" s="11" t="s">
        <v>414</v>
      </c>
      <c r="N110" s="11" t="s">
        <v>143</v>
      </c>
      <c r="O110" s="11" t="s">
        <v>41</v>
      </c>
      <c r="P110" s="11" t="s">
        <v>162</v>
      </c>
      <c r="Q110" s="13" t="str">
        <f>IFERROR(VLOOKUP(E110,'SF Churn Data'!E:R,14,0),"")</f>
        <v/>
      </c>
    </row>
    <row r="111" hidden="1">
      <c r="A111" s="11" t="s">
        <v>225</v>
      </c>
      <c r="B111" s="11" t="s">
        <v>45</v>
      </c>
      <c r="C111" s="11" t="s">
        <v>45</v>
      </c>
      <c r="D111" s="11" t="s">
        <v>415</v>
      </c>
      <c r="E111" s="11" t="s">
        <v>416</v>
      </c>
      <c r="F111" s="11" t="s">
        <v>228</v>
      </c>
      <c r="G111" s="11">
        <v>9.0</v>
      </c>
      <c r="H111" s="11" t="s">
        <v>45</v>
      </c>
      <c r="I111" s="12">
        <v>3100.0</v>
      </c>
      <c r="J111" s="12">
        <v>4050.0</v>
      </c>
      <c r="K111" s="11">
        <v>3600.0</v>
      </c>
      <c r="L111" s="11" t="s">
        <v>417</v>
      </c>
      <c r="M111" s="11" t="s">
        <v>418</v>
      </c>
      <c r="N111" s="11" t="s">
        <v>343</v>
      </c>
      <c r="O111" s="11" t="s">
        <v>41</v>
      </c>
      <c r="P111" s="11" t="s">
        <v>162</v>
      </c>
      <c r="Q111" s="13" t="str">
        <f>IFERROR(VLOOKUP(E111,'SF Churn Data'!E:R,14,0),"")</f>
        <v/>
      </c>
    </row>
    <row r="112" hidden="1">
      <c r="A112" s="11" t="s">
        <v>282</v>
      </c>
      <c r="B112" s="11" t="s">
        <v>44</v>
      </c>
      <c r="C112" s="11" t="s">
        <v>133</v>
      </c>
      <c r="D112" s="11" t="s">
        <v>419</v>
      </c>
      <c r="E112" s="11" t="s">
        <v>420</v>
      </c>
      <c r="F112" s="11" t="s">
        <v>228</v>
      </c>
      <c r="G112" s="11">
        <v>14.15</v>
      </c>
      <c r="H112" s="11" t="s">
        <v>56</v>
      </c>
      <c r="I112" s="12">
        <v>4851.0</v>
      </c>
      <c r="J112" s="12">
        <v>5850.0</v>
      </c>
      <c r="K112" s="12">
        <v>5900.0</v>
      </c>
      <c r="L112" s="11" t="s">
        <v>421</v>
      </c>
      <c r="M112" s="11" t="s">
        <v>422</v>
      </c>
      <c r="N112" s="11" t="s">
        <v>363</v>
      </c>
      <c r="O112" s="11" t="s">
        <v>57</v>
      </c>
      <c r="P112" s="11" t="s">
        <v>63</v>
      </c>
      <c r="Q112" s="13" t="str">
        <f>IFERROR(VLOOKUP(E112,'SF Churn Data'!E:R,14,0),"")</f>
        <v/>
      </c>
    </row>
    <row r="113" hidden="1">
      <c r="A113" s="11" t="s">
        <v>148</v>
      </c>
      <c r="B113" s="11" t="s">
        <v>44</v>
      </c>
      <c r="C113" s="11" t="s">
        <v>423</v>
      </c>
      <c r="D113" s="11" t="s">
        <v>424</v>
      </c>
      <c r="E113" s="11" t="s">
        <v>425</v>
      </c>
      <c r="F113" s="11" t="s">
        <v>228</v>
      </c>
      <c r="G113" s="11">
        <v>29.9</v>
      </c>
      <c r="H113" s="11" t="s">
        <v>168</v>
      </c>
      <c r="I113" s="12">
        <v>10857.0</v>
      </c>
      <c r="J113" s="12">
        <v>10900.0</v>
      </c>
      <c r="K113" s="11">
        <v>13100.0</v>
      </c>
      <c r="L113" s="11" t="s">
        <v>426</v>
      </c>
      <c r="M113" s="11" t="s">
        <v>427</v>
      </c>
      <c r="N113" s="11" t="s">
        <v>245</v>
      </c>
      <c r="O113" s="11" t="s">
        <v>57</v>
      </c>
      <c r="P113" s="11" t="s">
        <v>48</v>
      </c>
      <c r="Q113" s="13" t="str">
        <f>IFERROR(VLOOKUP(E113,'SF Churn Data'!E:R,14,0),"")</f>
        <v/>
      </c>
    </row>
    <row r="114" hidden="1">
      <c r="A114" s="11" t="s">
        <v>35</v>
      </c>
      <c r="B114" s="11" t="s">
        <v>45</v>
      </c>
      <c r="C114" s="11" t="s">
        <v>45</v>
      </c>
      <c r="D114" s="11" t="s">
        <v>428</v>
      </c>
      <c r="E114" s="11" t="s">
        <v>429</v>
      </c>
      <c r="F114" s="11" t="s">
        <v>228</v>
      </c>
      <c r="G114" s="11">
        <v>8.38</v>
      </c>
      <c r="H114" s="11" t="s">
        <v>45</v>
      </c>
      <c r="I114" s="12">
        <v>2885.0</v>
      </c>
      <c r="J114" s="12">
        <v>3900.0</v>
      </c>
      <c r="K114" s="11">
        <v>3500.0</v>
      </c>
      <c r="L114" s="11" t="s">
        <v>430</v>
      </c>
      <c r="M114" s="11" t="s">
        <v>431</v>
      </c>
      <c r="N114" s="11" t="s">
        <v>363</v>
      </c>
      <c r="O114" s="11" t="s">
        <v>83</v>
      </c>
      <c r="P114" s="11" t="s">
        <v>42</v>
      </c>
      <c r="Q114" s="13" t="str">
        <f>IFERROR(VLOOKUP(E114,'SF Churn Data'!E:R,14,0),"")</f>
        <v/>
      </c>
    </row>
    <row r="115" hidden="1">
      <c r="A115" s="11" t="s">
        <v>158</v>
      </c>
      <c r="B115" s="11" t="s">
        <v>44</v>
      </c>
      <c r="C115" s="11" t="s">
        <v>53</v>
      </c>
      <c r="D115" s="11" t="s">
        <v>432</v>
      </c>
      <c r="E115" s="11" t="s">
        <v>433</v>
      </c>
      <c r="F115" s="11" t="s">
        <v>228</v>
      </c>
      <c r="G115" s="11">
        <v>16.2</v>
      </c>
      <c r="H115" s="11" t="s">
        <v>120</v>
      </c>
      <c r="I115" s="12">
        <v>5091.0</v>
      </c>
      <c r="J115" s="12">
        <v>5100.0</v>
      </c>
      <c r="K115" s="12">
        <v>6150.0</v>
      </c>
      <c r="L115" s="11" t="s">
        <v>434</v>
      </c>
      <c r="M115" s="11" t="s">
        <v>435</v>
      </c>
      <c r="N115" s="11" t="s">
        <v>231</v>
      </c>
      <c r="O115" s="11" t="s">
        <v>41</v>
      </c>
      <c r="P115" s="11" t="s">
        <v>162</v>
      </c>
      <c r="Q115" s="13" t="str">
        <f>IFERROR(VLOOKUP(E115,'SF Churn Data'!E:R,14,0),"")</f>
        <v/>
      </c>
    </row>
    <row r="116" hidden="1">
      <c r="A116" s="11" t="s">
        <v>158</v>
      </c>
      <c r="B116" s="11" t="s">
        <v>44</v>
      </c>
      <c r="C116" s="11" t="s">
        <v>133</v>
      </c>
      <c r="D116" s="11" t="s">
        <v>436</v>
      </c>
      <c r="E116" s="11" t="s">
        <v>437</v>
      </c>
      <c r="F116" s="11" t="s">
        <v>228</v>
      </c>
      <c r="G116" s="11">
        <v>14.49</v>
      </c>
      <c r="H116" s="11" t="s">
        <v>56</v>
      </c>
      <c r="I116" s="12">
        <v>4666.0</v>
      </c>
      <c r="J116" s="12">
        <v>4700.0</v>
      </c>
      <c r="K116" s="11">
        <v>5650.0</v>
      </c>
      <c r="L116" s="11" t="s">
        <v>438</v>
      </c>
      <c r="M116" s="11" t="s">
        <v>439</v>
      </c>
      <c r="N116" s="11" t="s">
        <v>270</v>
      </c>
      <c r="O116" s="11" t="s">
        <v>41</v>
      </c>
      <c r="P116" s="11" t="s">
        <v>162</v>
      </c>
      <c r="Q116" s="13" t="str">
        <f>IFERROR(VLOOKUP(E116,'SF Churn Data'!E:R,14,0),"")</f>
        <v/>
      </c>
    </row>
    <row r="117" hidden="1">
      <c r="A117" s="11" t="s">
        <v>35</v>
      </c>
      <c r="B117" s="11" t="s">
        <v>44</v>
      </c>
      <c r="C117" s="11" t="s">
        <v>133</v>
      </c>
      <c r="D117" s="11" t="s">
        <v>440</v>
      </c>
      <c r="E117" s="11" t="s">
        <v>441</v>
      </c>
      <c r="F117" s="11" t="s">
        <v>228</v>
      </c>
      <c r="G117" s="11">
        <v>13.8</v>
      </c>
      <c r="H117" s="11" t="s">
        <v>56</v>
      </c>
      <c r="I117" s="12">
        <v>5436.0</v>
      </c>
      <c r="J117" s="12">
        <v>7350.0</v>
      </c>
      <c r="K117" s="11">
        <v>6550.0</v>
      </c>
      <c r="L117" s="11" t="s">
        <v>442</v>
      </c>
      <c r="M117" s="11" t="s">
        <v>443</v>
      </c>
      <c r="N117" s="11" t="s">
        <v>338</v>
      </c>
      <c r="O117" s="11" t="s">
        <v>41</v>
      </c>
      <c r="P117" s="11" t="s">
        <v>42</v>
      </c>
      <c r="Q117" s="13" t="str">
        <f>IFERROR(VLOOKUP(E117,'SF Churn Data'!E:R,14,0),"")</f>
        <v/>
      </c>
    </row>
    <row r="118" hidden="1">
      <c r="A118" s="11" t="s">
        <v>112</v>
      </c>
      <c r="B118" s="11" t="s">
        <v>44</v>
      </c>
      <c r="C118" s="11" t="s">
        <v>76</v>
      </c>
      <c r="D118" s="11" t="s">
        <v>444</v>
      </c>
      <c r="E118" s="11" t="s">
        <v>445</v>
      </c>
      <c r="F118" s="11" t="s">
        <v>228</v>
      </c>
      <c r="G118" s="11">
        <v>20.6</v>
      </c>
      <c r="H118" s="11" t="s">
        <v>168</v>
      </c>
      <c r="I118" s="12">
        <v>6867.0</v>
      </c>
      <c r="J118" s="12">
        <v>9650.0</v>
      </c>
      <c r="K118" s="12">
        <v>8300.0</v>
      </c>
      <c r="L118" s="11" t="s">
        <v>446</v>
      </c>
      <c r="M118" s="11" t="s">
        <v>447</v>
      </c>
      <c r="N118" s="11" t="s">
        <v>240</v>
      </c>
      <c r="O118" s="11" t="s">
        <v>41</v>
      </c>
      <c r="P118" s="11" t="s">
        <v>42</v>
      </c>
      <c r="Q118" s="13" t="str">
        <f>IFERROR(VLOOKUP(E118,'SF Churn Data'!E:R,14,0),"")</f>
        <v/>
      </c>
    </row>
    <row r="119" hidden="1">
      <c r="A119" s="11" t="s">
        <v>145</v>
      </c>
      <c r="B119" s="11" t="s">
        <v>44</v>
      </c>
      <c r="C119" s="11" t="s">
        <v>53</v>
      </c>
      <c r="D119" s="11" t="s">
        <v>448</v>
      </c>
      <c r="E119" s="11" t="s">
        <v>449</v>
      </c>
      <c r="F119" s="11" t="s">
        <v>228</v>
      </c>
      <c r="G119" s="11">
        <v>16.7</v>
      </c>
      <c r="H119" s="11" t="s">
        <v>56</v>
      </c>
      <c r="I119" s="12">
        <v>8592.0</v>
      </c>
      <c r="J119" s="12">
        <v>9500.0</v>
      </c>
      <c r="K119" s="11">
        <v>10350.0</v>
      </c>
      <c r="L119" s="11" t="s">
        <v>450</v>
      </c>
      <c r="M119" s="11" t="s">
        <v>451</v>
      </c>
      <c r="N119" s="11" t="s">
        <v>231</v>
      </c>
      <c r="O119" s="11" t="s">
        <v>151</v>
      </c>
      <c r="P119" s="11" t="s">
        <v>63</v>
      </c>
      <c r="Q119" s="13" t="str">
        <f>IFERROR(VLOOKUP(E119,'SF Churn Data'!E:R,14,0),"")</f>
        <v/>
      </c>
    </row>
    <row r="120" hidden="1">
      <c r="A120" s="11" t="s">
        <v>216</v>
      </c>
      <c r="B120" s="11" t="s">
        <v>45</v>
      </c>
      <c r="C120" s="11" t="s">
        <v>45</v>
      </c>
      <c r="D120" s="11" t="s">
        <v>452</v>
      </c>
      <c r="E120" s="11" t="s">
        <v>453</v>
      </c>
      <c r="F120" s="11" t="s">
        <v>228</v>
      </c>
      <c r="G120" s="11">
        <v>8.54</v>
      </c>
      <c r="H120" s="11" t="s">
        <v>45</v>
      </c>
      <c r="I120" s="12">
        <v>3194.0</v>
      </c>
      <c r="J120" s="12">
        <v>4500.0</v>
      </c>
      <c r="K120" s="12">
        <v>3850.0</v>
      </c>
      <c r="L120" s="11" t="s">
        <v>454</v>
      </c>
      <c r="M120" s="11" t="s">
        <v>455</v>
      </c>
      <c r="N120" s="11" t="s">
        <v>456</v>
      </c>
      <c r="O120" s="11" t="s">
        <v>83</v>
      </c>
      <c r="P120" s="11" t="s">
        <v>42</v>
      </c>
      <c r="Q120" s="13" t="str">
        <f>IFERROR(VLOOKUP(E120,'SF Churn Data'!E:R,14,0),"")</f>
        <v/>
      </c>
    </row>
    <row r="121" hidden="1">
      <c r="A121" s="11" t="s">
        <v>210</v>
      </c>
      <c r="B121" s="11" t="s">
        <v>44</v>
      </c>
      <c r="C121" s="11" t="s">
        <v>76</v>
      </c>
      <c r="D121" s="11" t="s">
        <v>457</v>
      </c>
      <c r="E121" s="11" t="s">
        <v>458</v>
      </c>
      <c r="F121" s="11" t="s">
        <v>228</v>
      </c>
      <c r="G121" s="11">
        <v>19.29</v>
      </c>
      <c r="H121" s="11" t="s">
        <v>120</v>
      </c>
      <c r="I121" s="12">
        <v>6500.0</v>
      </c>
      <c r="J121" s="12">
        <v>8450.0</v>
      </c>
      <c r="K121" s="12">
        <v>7800.0</v>
      </c>
      <c r="L121" s="11" t="s">
        <v>459</v>
      </c>
      <c r="M121" s="11" t="s">
        <v>460</v>
      </c>
      <c r="N121" s="11" t="s">
        <v>316</v>
      </c>
      <c r="O121" s="11" t="s">
        <v>83</v>
      </c>
      <c r="P121" s="11" t="s">
        <v>63</v>
      </c>
      <c r="Q121" s="13" t="str">
        <f>IFERROR(VLOOKUP(E121,'SF Churn Data'!E:R,14,0),"")</f>
        <v/>
      </c>
    </row>
    <row r="122" hidden="1">
      <c r="A122" s="11" t="s">
        <v>216</v>
      </c>
      <c r="B122" s="11" t="s">
        <v>44</v>
      </c>
      <c r="C122" s="11" t="s">
        <v>133</v>
      </c>
      <c r="D122" s="11" t="s">
        <v>461</v>
      </c>
      <c r="E122" s="11" t="s">
        <v>462</v>
      </c>
      <c r="F122" s="11" t="s">
        <v>228</v>
      </c>
      <c r="G122" s="11">
        <v>13.5</v>
      </c>
      <c r="H122" s="11" t="s">
        <v>56</v>
      </c>
      <c r="I122" s="12">
        <v>5323.0</v>
      </c>
      <c r="J122" s="12">
        <v>7500.0</v>
      </c>
      <c r="K122" s="12">
        <v>6450.0</v>
      </c>
      <c r="L122" s="11" t="s">
        <v>463</v>
      </c>
      <c r="M122" s="11" t="s">
        <v>464</v>
      </c>
      <c r="N122" s="11" t="s">
        <v>240</v>
      </c>
      <c r="O122" s="11" t="s">
        <v>57</v>
      </c>
      <c r="P122" s="11" t="s">
        <v>42</v>
      </c>
      <c r="Q122" s="13" t="str">
        <f>IFERROR(VLOOKUP(E122,'SF Churn Data'!E:R,14,0),"")</f>
        <v/>
      </c>
    </row>
    <row r="123" hidden="1">
      <c r="A123" s="11" t="s">
        <v>282</v>
      </c>
      <c r="B123" s="11" t="s">
        <v>44</v>
      </c>
      <c r="C123" s="11" t="s">
        <v>53</v>
      </c>
      <c r="D123" s="11" t="s">
        <v>465</v>
      </c>
      <c r="E123" s="11" t="s">
        <v>466</v>
      </c>
      <c r="F123" s="11" t="s">
        <v>228</v>
      </c>
      <c r="G123" s="11">
        <v>15.44</v>
      </c>
      <c r="H123" s="11" t="s">
        <v>56</v>
      </c>
      <c r="I123" s="12">
        <v>4851.0</v>
      </c>
      <c r="J123" s="12">
        <v>5850.0</v>
      </c>
      <c r="K123" s="11">
        <v>5900.0</v>
      </c>
      <c r="L123" s="11" t="s">
        <v>467</v>
      </c>
      <c r="M123" s="11" t="s">
        <v>468</v>
      </c>
      <c r="N123" s="11" t="s">
        <v>363</v>
      </c>
      <c r="O123" s="11" t="s">
        <v>57</v>
      </c>
      <c r="P123" s="11" t="s">
        <v>63</v>
      </c>
      <c r="Q123" s="13" t="str">
        <f>IFERROR(VLOOKUP(E123,'SF Churn Data'!E:R,14,0),"")</f>
        <v/>
      </c>
    </row>
    <row r="124" hidden="1">
      <c r="A124" s="11" t="s">
        <v>171</v>
      </c>
      <c r="B124" s="11" t="s">
        <v>36</v>
      </c>
      <c r="C124" s="11" t="s">
        <v>37</v>
      </c>
      <c r="D124" s="11" t="s">
        <v>469</v>
      </c>
      <c r="E124" s="11" t="s">
        <v>470</v>
      </c>
      <c r="F124" s="11" t="s">
        <v>228</v>
      </c>
      <c r="G124" s="11">
        <v>60.1</v>
      </c>
      <c r="H124" s="11" t="s">
        <v>471</v>
      </c>
      <c r="I124" s="12">
        <v>6000.0</v>
      </c>
      <c r="J124" s="12">
        <v>6900.0</v>
      </c>
      <c r="K124" s="11"/>
      <c r="L124" s="11" t="s">
        <v>472</v>
      </c>
      <c r="M124" s="11" t="s">
        <v>473</v>
      </c>
      <c r="N124" s="11" t="s">
        <v>270</v>
      </c>
      <c r="O124" s="11" t="s">
        <v>198</v>
      </c>
      <c r="P124" s="11"/>
      <c r="Q124" s="13" t="str">
        <f>IFERROR(VLOOKUP(E124,'SF Churn Data'!E:R,14,0),"")</f>
        <v/>
      </c>
    </row>
    <row r="125" hidden="1">
      <c r="A125" s="11" t="s">
        <v>125</v>
      </c>
      <c r="B125" s="11" t="s">
        <v>45</v>
      </c>
      <c r="C125" s="11" t="s">
        <v>45</v>
      </c>
      <c r="D125" s="11" t="s">
        <v>474</v>
      </c>
      <c r="E125" s="11" t="s">
        <v>475</v>
      </c>
      <c r="F125" s="11" t="s">
        <v>228</v>
      </c>
      <c r="G125" s="11">
        <v>8.63</v>
      </c>
      <c r="H125" s="11" t="s">
        <v>45</v>
      </c>
      <c r="I125" s="12">
        <v>1995.0</v>
      </c>
      <c r="J125" s="12">
        <v>1700.0</v>
      </c>
      <c r="K125" s="12">
        <v>3550.0</v>
      </c>
      <c r="L125" s="11" t="s">
        <v>476</v>
      </c>
      <c r="M125" s="11" t="s">
        <v>477</v>
      </c>
      <c r="N125" s="11" t="s">
        <v>403</v>
      </c>
      <c r="O125" s="11" t="s">
        <v>57</v>
      </c>
      <c r="P125" s="11"/>
      <c r="Q125" s="13" t="str">
        <f>IFERROR(VLOOKUP(E125,'SF Churn Data'!E:R,14,0),"")</f>
        <v/>
      </c>
    </row>
    <row r="126" hidden="1">
      <c r="A126" s="11" t="s">
        <v>145</v>
      </c>
      <c r="B126" s="11" t="s">
        <v>44</v>
      </c>
      <c r="C126" s="11" t="s">
        <v>53</v>
      </c>
      <c r="D126" s="11" t="s">
        <v>478</v>
      </c>
      <c r="E126" s="11" t="s">
        <v>479</v>
      </c>
      <c r="F126" s="11" t="s">
        <v>228</v>
      </c>
      <c r="G126" s="11">
        <v>16.5</v>
      </c>
      <c r="H126" s="11" t="s">
        <v>56</v>
      </c>
      <c r="I126" s="12">
        <v>8592.0</v>
      </c>
      <c r="J126" s="12">
        <v>9500.0</v>
      </c>
      <c r="K126" s="12">
        <v>10350.0</v>
      </c>
      <c r="L126" s="11" t="s">
        <v>480</v>
      </c>
      <c r="M126" s="11" t="s">
        <v>481</v>
      </c>
      <c r="N126" s="11" t="s">
        <v>270</v>
      </c>
      <c r="O126" s="11" t="s">
        <v>151</v>
      </c>
      <c r="P126" s="11" t="s">
        <v>63</v>
      </c>
      <c r="Q126" s="13" t="str">
        <f>IFERROR(VLOOKUP(E126,'SF Churn Data'!E:R,14,0),"")</f>
        <v/>
      </c>
    </row>
    <row r="127" hidden="1">
      <c r="A127" s="11" t="s">
        <v>216</v>
      </c>
      <c r="B127" s="11" t="s">
        <v>45</v>
      </c>
      <c r="C127" s="11" t="s">
        <v>45</v>
      </c>
      <c r="D127" s="11" t="s">
        <v>482</v>
      </c>
      <c r="E127" s="11" t="s">
        <v>483</v>
      </c>
      <c r="F127" s="11" t="s">
        <v>228</v>
      </c>
      <c r="G127" s="11">
        <v>9.85</v>
      </c>
      <c r="H127" s="11" t="s">
        <v>45</v>
      </c>
      <c r="I127" s="12">
        <v>3194.0</v>
      </c>
      <c r="J127" s="12">
        <v>4500.0</v>
      </c>
      <c r="K127" s="11">
        <v>3850.0</v>
      </c>
      <c r="L127" s="11" t="s">
        <v>484</v>
      </c>
      <c r="M127" s="11" t="s">
        <v>464</v>
      </c>
      <c r="N127" s="11" t="s">
        <v>240</v>
      </c>
      <c r="O127" s="11" t="s">
        <v>57</v>
      </c>
      <c r="P127" s="11" t="s">
        <v>42</v>
      </c>
      <c r="Q127" s="13" t="str">
        <f>IFERROR(VLOOKUP(E127,'SF Churn Data'!E:R,14,0),"")</f>
        <v/>
      </c>
    </row>
    <row r="128" hidden="1">
      <c r="A128" s="11" t="s">
        <v>485</v>
      </c>
      <c r="B128" s="11" t="s">
        <v>36</v>
      </c>
      <c r="C128" s="11" t="s">
        <v>37</v>
      </c>
      <c r="D128" s="11" t="s">
        <v>486</v>
      </c>
      <c r="E128" s="11" t="s">
        <v>487</v>
      </c>
      <c r="F128" s="11" t="s">
        <v>228</v>
      </c>
      <c r="G128" s="11">
        <v>49.88</v>
      </c>
      <c r="H128" s="11" t="s">
        <v>488</v>
      </c>
      <c r="I128" s="12">
        <v>2160.0</v>
      </c>
      <c r="J128" s="12">
        <v>2400.0</v>
      </c>
      <c r="K128" s="12"/>
      <c r="L128" s="11" t="s">
        <v>489</v>
      </c>
      <c r="M128" s="11" t="s">
        <v>490</v>
      </c>
      <c r="N128" s="11" t="s">
        <v>491</v>
      </c>
      <c r="O128" s="11" t="s">
        <v>83</v>
      </c>
      <c r="P128" s="11" t="s">
        <v>48</v>
      </c>
      <c r="Q128" s="13" t="str">
        <f>IFERROR(VLOOKUP(E128,'SF Churn Data'!E:R,14,0),"")</f>
        <v/>
      </c>
    </row>
    <row r="129" hidden="1">
      <c r="A129" s="11" t="s">
        <v>485</v>
      </c>
      <c r="B129" s="11" t="s">
        <v>44</v>
      </c>
      <c r="C129" s="11" t="s">
        <v>151</v>
      </c>
      <c r="D129" s="11" t="s">
        <v>492</v>
      </c>
      <c r="E129" s="11" t="s">
        <v>493</v>
      </c>
      <c r="F129" s="11" t="s">
        <v>228</v>
      </c>
      <c r="G129" s="11">
        <v>24.12</v>
      </c>
      <c r="H129" s="11" t="s">
        <v>488</v>
      </c>
      <c r="I129" s="12">
        <v>2142.0</v>
      </c>
      <c r="J129" s="12">
        <v>2400.0</v>
      </c>
      <c r="K129" s="11"/>
      <c r="L129" s="11" t="s">
        <v>494</v>
      </c>
      <c r="M129" s="11" t="s">
        <v>495</v>
      </c>
      <c r="N129" s="11" t="s">
        <v>491</v>
      </c>
      <c r="O129" s="11" t="s">
        <v>41</v>
      </c>
      <c r="P129" s="11" t="s">
        <v>48</v>
      </c>
      <c r="Q129" s="13" t="str">
        <f>IFERROR(VLOOKUP(E129,'SF Churn Data'!E:R,14,0),"")</f>
        <v/>
      </c>
    </row>
    <row r="130" hidden="1">
      <c r="A130" s="11" t="s">
        <v>485</v>
      </c>
      <c r="B130" s="11" t="s">
        <v>44</v>
      </c>
      <c r="C130" s="11" t="s">
        <v>64</v>
      </c>
      <c r="D130" s="11" t="s">
        <v>496</v>
      </c>
      <c r="E130" s="11" t="s">
        <v>497</v>
      </c>
      <c r="F130" s="11" t="s">
        <v>228</v>
      </c>
      <c r="G130" s="11">
        <v>17.01</v>
      </c>
      <c r="H130" s="11" t="s">
        <v>67</v>
      </c>
      <c r="I130" s="12">
        <v>2142.0</v>
      </c>
      <c r="J130" s="12">
        <v>2400.0</v>
      </c>
      <c r="K130" s="11"/>
      <c r="L130" s="11" t="s">
        <v>498</v>
      </c>
      <c r="M130" s="11" t="s">
        <v>499</v>
      </c>
      <c r="N130" s="11" t="s">
        <v>491</v>
      </c>
      <c r="O130" s="11" t="s">
        <v>57</v>
      </c>
      <c r="P130" s="11" t="s">
        <v>48</v>
      </c>
      <c r="Q130" s="13" t="str">
        <f>IFERROR(VLOOKUP(E130,'SF Churn Data'!E:R,14,0),"")</f>
        <v/>
      </c>
    </row>
    <row r="131" hidden="1">
      <c r="A131" s="11" t="s">
        <v>485</v>
      </c>
      <c r="B131" s="11" t="s">
        <v>44</v>
      </c>
      <c r="C131" s="11" t="s">
        <v>64</v>
      </c>
      <c r="D131" s="11" t="s">
        <v>500</v>
      </c>
      <c r="E131" s="11" t="s">
        <v>501</v>
      </c>
      <c r="F131" s="11" t="s">
        <v>228</v>
      </c>
      <c r="G131" s="11">
        <v>17.24</v>
      </c>
      <c r="H131" s="11" t="s">
        <v>67</v>
      </c>
      <c r="I131" s="12">
        <v>2142.0</v>
      </c>
      <c r="J131" s="12">
        <v>2400.0</v>
      </c>
      <c r="K131" s="11"/>
      <c r="L131" s="11" t="s">
        <v>502</v>
      </c>
      <c r="M131" s="11" t="s">
        <v>503</v>
      </c>
      <c r="N131" s="11" t="s">
        <v>491</v>
      </c>
      <c r="O131" s="11" t="s">
        <v>57</v>
      </c>
      <c r="P131" s="11" t="s">
        <v>48</v>
      </c>
      <c r="Q131" s="13" t="str">
        <f>IFERROR(VLOOKUP(E131,'SF Churn Data'!E:R,14,0),"")</f>
        <v/>
      </c>
    </row>
    <row r="132" hidden="1">
      <c r="A132" s="11" t="s">
        <v>485</v>
      </c>
      <c r="B132" s="11" t="s">
        <v>44</v>
      </c>
      <c r="C132" s="11" t="s">
        <v>53</v>
      </c>
      <c r="D132" s="11" t="s">
        <v>504</v>
      </c>
      <c r="E132" s="11" t="s">
        <v>505</v>
      </c>
      <c r="F132" s="11" t="s">
        <v>228</v>
      </c>
      <c r="G132" s="11">
        <v>15.02</v>
      </c>
      <c r="H132" s="11" t="s">
        <v>62</v>
      </c>
      <c r="I132" s="12">
        <v>2142.0</v>
      </c>
      <c r="J132" s="12">
        <v>2400.0</v>
      </c>
      <c r="K132" s="12"/>
      <c r="L132" s="11" t="s">
        <v>506</v>
      </c>
      <c r="M132" s="11" t="s">
        <v>507</v>
      </c>
      <c r="N132" s="11" t="s">
        <v>491</v>
      </c>
      <c r="O132" s="11" t="s">
        <v>41</v>
      </c>
      <c r="P132" s="11" t="s">
        <v>48</v>
      </c>
      <c r="Q132" s="13" t="str">
        <f>IFERROR(VLOOKUP(E132,'SF Churn Data'!E:R,14,0),"")</f>
        <v/>
      </c>
    </row>
    <row r="133" hidden="1">
      <c r="A133" s="11" t="s">
        <v>485</v>
      </c>
      <c r="B133" s="11" t="s">
        <v>44</v>
      </c>
      <c r="C133" s="11" t="s">
        <v>133</v>
      </c>
      <c r="D133" s="11" t="s">
        <v>508</v>
      </c>
      <c r="E133" s="11" t="s">
        <v>509</v>
      </c>
      <c r="F133" s="11" t="s">
        <v>228</v>
      </c>
      <c r="G133" s="11">
        <v>14.56</v>
      </c>
      <c r="H133" s="11" t="s">
        <v>62</v>
      </c>
      <c r="I133" s="12">
        <v>2142.0</v>
      </c>
      <c r="J133" s="12">
        <v>2400.0</v>
      </c>
      <c r="K133" s="12"/>
      <c r="L133" s="11" t="s">
        <v>510</v>
      </c>
      <c r="M133" s="11" t="s">
        <v>511</v>
      </c>
      <c r="N133" s="11" t="s">
        <v>491</v>
      </c>
      <c r="O133" s="11" t="s">
        <v>41</v>
      </c>
      <c r="P133" s="11" t="s">
        <v>48</v>
      </c>
      <c r="Q133" s="13" t="str">
        <f>IFERROR(VLOOKUP(E133,'SF Churn Data'!E:R,14,0),"")</f>
        <v/>
      </c>
    </row>
    <row r="134" hidden="1">
      <c r="A134" s="11" t="s">
        <v>485</v>
      </c>
      <c r="B134" s="11" t="s">
        <v>44</v>
      </c>
      <c r="C134" s="11" t="s">
        <v>50</v>
      </c>
      <c r="D134" s="11" t="s">
        <v>512</v>
      </c>
      <c r="E134" s="11" t="s">
        <v>513</v>
      </c>
      <c r="F134" s="11" t="s">
        <v>228</v>
      </c>
      <c r="G134" s="11">
        <v>11.5</v>
      </c>
      <c r="H134" s="11" t="s">
        <v>50</v>
      </c>
      <c r="I134" s="12">
        <v>2142.0</v>
      </c>
      <c r="J134" s="12">
        <v>2400.0</v>
      </c>
      <c r="K134" s="12"/>
      <c r="L134" s="11" t="s">
        <v>514</v>
      </c>
      <c r="M134" s="11" t="s">
        <v>515</v>
      </c>
      <c r="N134" s="11" t="s">
        <v>491</v>
      </c>
      <c r="O134" s="11" t="s">
        <v>57</v>
      </c>
      <c r="P134" s="11" t="s">
        <v>48</v>
      </c>
      <c r="Q134" s="13" t="str">
        <f>IFERROR(VLOOKUP(E134,'SF Churn Data'!E:R,14,0),"")</f>
        <v/>
      </c>
    </row>
    <row r="135" hidden="1">
      <c r="A135" s="11" t="s">
        <v>485</v>
      </c>
      <c r="B135" s="11" t="s">
        <v>44</v>
      </c>
      <c r="C135" s="11" t="s">
        <v>76</v>
      </c>
      <c r="D135" s="11" t="s">
        <v>516</v>
      </c>
      <c r="E135" s="11" t="s">
        <v>517</v>
      </c>
      <c r="F135" s="11" t="s">
        <v>228</v>
      </c>
      <c r="G135" s="11">
        <v>20.86</v>
      </c>
      <c r="H135" s="11" t="s">
        <v>67</v>
      </c>
      <c r="I135" s="12">
        <v>2142.0</v>
      </c>
      <c r="J135" s="12">
        <v>2400.0</v>
      </c>
      <c r="K135" s="12"/>
      <c r="L135" s="11" t="s">
        <v>518</v>
      </c>
      <c r="M135" s="11" t="s">
        <v>519</v>
      </c>
      <c r="N135" s="11" t="s">
        <v>491</v>
      </c>
      <c r="O135" s="11" t="s">
        <v>41</v>
      </c>
      <c r="P135" s="11" t="s">
        <v>48</v>
      </c>
      <c r="Q135" s="13" t="str">
        <f>IFERROR(VLOOKUP(E135,'SF Churn Data'!E:R,14,0),"")</f>
        <v/>
      </c>
    </row>
    <row r="136" hidden="1">
      <c r="A136" s="11" t="s">
        <v>485</v>
      </c>
      <c r="B136" s="11" t="s">
        <v>44</v>
      </c>
      <c r="C136" s="11" t="s">
        <v>64</v>
      </c>
      <c r="D136" s="11" t="s">
        <v>520</v>
      </c>
      <c r="E136" s="11" t="s">
        <v>521</v>
      </c>
      <c r="F136" s="11" t="s">
        <v>228</v>
      </c>
      <c r="G136" s="11">
        <v>17.02</v>
      </c>
      <c r="H136" s="11" t="s">
        <v>67</v>
      </c>
      <c r="I136" s="12">
        <v>2142.0</v>
      </c>
      <c r="J136" s="12">
        <v>2400.0</v>
      </c>
      <c r="K136" s="11"/>
      <c r="L136" s="11" t="s">
        <v>522</v>
      </c>
      <c r="M136" s="11" t="s">
        <v>523</v>
      </c>
      <c r="N136" s="11" t="s">
        <v>491</v>
      </c>
      <c r="O136" s="11" t="s">
        <v>57</v>
      </c>
      <c r="P136" s="11" t="s">
        <v>48</v>
      </c>
      <c r="Q136" s="13" t="str">
        <f>IFERROR(VLOOKUP(E136,'SF Churn Data'!E:R,14,0),"")</f>
        <v/>
      </c>
    </row>
    <row r="137" hidden="1">
      <c r="A137" s="11" t="s">
        <v>485</v>
      </c>
      <c r="B137" s="11" t="s">
        <v>44</v>
      </c>
      <c r="C137" s="11" t="s">
        <v>53</v>
      </c>
      <c r="D137" s="11" t="s">
        <v>524</v>
      </c>
      <c r="E137" s="11" t="s">
        <v>525</v>
      </c>
      <c r="F137" s="11" t="s">
        <v>228</v>
      </c>
      <c r="G137" s="11">
        <v>16.01</v>
      </c>
      <c r="H137" s="11" t="s">
        <v>62</v>
      </c>
      <c r="I137" s="12">
        <v>2142.0</v>
      </c>
      <c r="J137" s="12">
        <v>2400.0</v>
      </c>
      <c r="K137" s="11"/>
      <c r="L137" s="11" t="s">
        <v>526</v>
      </c>
      <c r="M137" s="11" t="s">
        <v>527</v>
      </c>
      <c r="N137" s="11" t="s">
        <v>491</v>
      </c>
      <c r="O137" s="11" t="s">
        <v>41</v>
      </c>
      <c r="P137" s="11" t="s">
        <v>48</v>
      </c>
      <c r="Q137" s="13" t="str">
        <f>IFERROR(VLOOKUP(E137,'SF Churn Data'!E:R,14,0),"")</f>
        <v/>
      </c>
    </row>
    <row r="138" hidden="1">
      <c r="A138" s="11" t="s">
        <v>485</v>
      </c>
      <c r="B138" s="11" t="s">
        <v>44</v>
      </c>
      <c r="C138" s="11" t="s">
        <v>64</v>
      </c>
      <c r="D138" s="11" t="s">
        <v>528</v>
      </c>
      <c r="E138" s="11" t="s">
        <v>529</v>
      </c>
      <c r="F138" s="11" t="s">
        <v>228</v>
      </c>
      <c r="G138" s="11">
        <v>18.31</v>
      </c>
      <c r="H138" s="11" t="s">
        <v>67</v>
      </c>
      <c r="I138" s="12">
        <v>2142.0</v>
      </c>
      <c r="J138" s="12">
        <v>2400.0</v>
      </c>
      <c r="K138" s="11"/>
      <c r="L138" s="11" t="s">
        <v>530</v>
      </c>
      <c r="M138" s="11" t="s">
        <v>531</v>
      </c>
      <c r="N138" s="11" t="s">
        <v>491</v>
      </c>
      <c r="O138" s="11" t="s">
        <v>41</v>
      </c>
      <c r="P138" s="11" t="s">
        <v>48</v>
      </c>
      <c r="Q138" s="13" t="str">
        <f>IFERROR(VLOOKUP(E138,'SF Churn Data'!E:R,14,0),"")</f>
        <v/>
      </c>
    </row>
    <row r="139" hidden="1">
      <c r="A139" s="11" t="s">
        <v>485</v>
      </c>
      <c r="B139" s="11" t="s">
        <v>44</v>
      </c>
      <c r="C139" s="11" t="s">
        <v>53</v>
      </c>
      <c r="D139" s="11" t="s">
        <v>532</v>
      </c>
      <c r="E139" s="11" t="s">
        <v>533</v>
      </c>
      <c r="F139" s="11" t="s">
        <v>228</v>
      </c>
      <c r="G139" s="11">
        <v>16.51</v>
      </c>
      <c r="H139" s="11" t="s">
        <v>62</v>
      </c>
      <c r="I139" s="12">
        <v>2142.0</v>
      </c>
      <c r="J139" s="12">
        <v>2400.0</v>
      </c>
      <c r="K139" s="11"/>
      <c r="L139" s="11" t="s">
        <v>534</v>
      </c>
      <c r="M139" s="11" t="s">
        <v>535</v>
      </c>
      <c r="N139" s="11" t="s">
        <v>491</v>
      </c>
      <c r="O139" s="11" t="s">
        <v>41</v>
      </c>
      <c r="P139" s="11" t="s">
        <v>48</v>
      </c>
      <c r="Q139" s="13" t="str">
        <f>IFERROR(VLOOKUP(E139,'SF Churn Data'!E:R,14,0),"")</f>
        <v/>
      </c>
    </row>
    <row r="140" hidden="1">
      <c r="A140" s="11" t="s">
        <v>485</v>
      </c>
      <c r="B140" s="11" t="s">
        <v>44</v>
      </c>
      <c r="C140" s="11" t="s">
        <v>133</v>
      </c>
      <c r="D140" s="11" t="s">
        <v>536</v>
      </c>
      <c r="E140" s="11" t="s">
        <v>537</v>
      </c>
      <c r="F140" s="11" t="s">
        <v>228</v>
      </c>
      <c r="G140" s="11">
        <v>14.74</v>
      </c>
      <c r="H140" s="11" t="s">
        <v>62</v>
      </c>
      <c r="I140" s="12">
        <v>2142.0</v>
      </c>
      <c r="J140" s="12">
        <v>2400.0</v>
      </c>
      <c r="K140" s="11"/>
      <c r="L140" s="11" t="s">
        <v>538</v>
      </c>
      <c r="M140" s="11" t="s">
        <v>539</v>
      </c>
      <c r="N140" s="11" t="s">
        <v>491</v>
      </c>
      <c r="O140" s="11" t="s">
        <v>57</v>
      </c>
      <c r="P140" s="11" t="s">
        <v>48</v>
      </c>
      <c r="Q140" s="13" t="str">
        <f>IFERROR(VLOOKUP(E140,'SF Churn Data'!E:R,14,0),"")</f>
        <v/>
      </c>
    </row>
    <row r="141" hidden="1">
      <c r="A141" s="11" t="s">
        <v>485</v>
      </c>
      <c r="B141" s="11" t="s">
        <v>44</v>
      </c>
      <c r="C141" s="11" t="s">
        <v>76</v>
      </c>
      <c r="D141" s="11" t="s">
        <v>540</v>
      </c>
      <c r="E141" s="11" t="s">
        <v>541</v>
      </c>
      <c r="F141" s="11" t="s">
        <v>228</v>
      </c>
      <c r="G141" s="11">
        <v>19.97</v>
      </c>
      <c r="H141" s="11" t="s">
        <v>67</v>
      </c>
      <c r="I141" s="12">
        <v>2142.0</v>
      </c>
      <c r="J141" s="12">
        <v>2400.0</v>
      </c>
      <c r="K141" s="11"/>
      <c r="L141" s="11" t="s">
        <v>542</v>
      </c>
      <c r="M141" s="11" t="s">
        <v>543</v>
      </c>
      <c r="N141" s="11" t="s">
        <v>491</v>
      </c>
      <c r="O141" s="11" t="s">
        <v>57</v>
      </c>
      <c r="P141" s="11" t="s">
        <v>48</v>
      </c>
      <c r="Q141" s="13" t="str">
        <f>IFERROR(VLOOKUP(E141,'SF Churn Data'!E:R,14,0),"")</f>
        <v/>
      </c>
    </row>
    <row r="142" hidden="1">
      <c r="A142" s="11" t="s">
        <v>485</v>
      </c>
      <c r="B142" s="11" t="s">
        <v>44</v>
      </c>
      <c r="C142" s="11" t="s">
        <v>53</v>
      </c>
      <c r="D142" s="11" t="s">
        <v>544</v>
      </c>
      <c r="E142" s="11" t="s">
        <v>545</v>
      </c>
      <c r="F142" s="11" t="s">
        <v>228</v>
      </c>
      <c r="G142" s="11">
        <v>16.28</v>
      </c>
      <c r="H142" s="11" t="s">
        <v>62</v>
      </c>
      <c r="I142" s="12">
        <v>2142.0</v>
      </c>
      <c r="J142" s="12">
        <v>2400.0</v>
      </c>
      <c r="K142" s="12"/>
      <c r="L142" s="11" t="s">
        <v>546</v>
      </c>
      <c r="M142" s="11" t="s">
        <v>547</v>
      </c>
      <c r="N142" s="11" t="s">
        <v>491</v>
      </c>
      <c r="O142" s="11" t="s">
        <v>57</v>
      </c>
      <c r="P142" s="11" t="s">
        <v>48</v>
      </c>
      <c r="Q142" s="13" t="str">
        <f>IFERROR(VLOOKUP(E142,'SF Churn Data'!E:R,14,0),"")</f>
        <v/>
      </c>
    </row>
    <row r="143" hidden="1">
      <c r="A143" s="11" t="s">
        <v>485</v>
      </c>
      <c r="B143" s="11" t="s">
        <v>44</v>
      </c>
      <c r="C143" s="11" t="s">
        <v>64</v>
      </c>
      <c r="D143" s="11" t="s">
        <v>548</v>
      </c>
      <c r="E143" s="11" t="s">
        <v>549</v>
      </c>
      <c r="F143" s="11" t="s">
        <v>228</v>
      </c>
      <c r="G143" s="11">
        <v>18.85</v>
      </c>
      <c r="H143" s="11" t="s">
        <v>67</v>
      </c>
      <c r="I143" s="12">
        <v>2142.0</v>
      </c>
      <c r="J143" s="12">
        <v>2400.0</v>
      </c>
      <c r="K143" s="12"/>
      <c r="L143" s="11" t="s">
        <v>550</v>
      </c>
      <c r="M143" s="11" t="s">
        <v>551</v>
      </c>
      <c r="N143" s="11" t="s">
        <v>491</v>
      </c>
      <c r="O143" s="11" t="s">
        <v>57</v>
      </c>
      <c r="P143" s="11" t="s">
        <v>48</v>
      </c>
      <c r="Q143" s="13" t="str">
        <f>IFERROR(VLOOKUP(E143,'SF Churn Data'!E:R,14,0),"")</f>
        <v/>
      </c>
    </row>
    <row r="144" hidden="1">
      <c r="A144" s="11" t="s">
        <v>485</v>
      </c>
      <c r="B144" s="11" t="s">
        <v>44</v>
      </c>
      <c r="C144" s="11" t="s">
        <v>76</v>
      </c>
      <c r="D144" s="11" t="s">
        <v>552</v>
      </c>
      <c r="E144" s="11" t="s">
        <v>553</v>
      </c>
      <c r="F144" s="11" t="s">
        <v>228</v>
      </c>
      <c r="G144" s="11">
        <v>20.69</v>
      </c>
      <c r="H144" s="11" t="s">
        <v>120</v>
      </c>
      <c r="I144" s="12">
        <v>2142.0</v>
      </c>
      <c r="J144" s="12">
        <v>2400.0</v>
      </c>
      <c r="K144" s="12"/>
      <c r="L144" s="11" t="s">
        <v>554</v>
      </c>
      <c r="M144" s="11" t="s">
        <v>555</v>
      </c>
      <c r="N144" s="11" t="s">
        <v>491</v>
      </c>
      <c r="O144" s="11" t="s">
        <v>57</v>
      </c>
      <c r="P144" s="11" t="s">
        <v>48</v>
      </c>
      <c r="Q144" s="13" t="str">
        <f>IFERROR(VLOOKUP(E144,'SF Churn Data'!E:R,14,0),"")</f>
        <v/>
      </c>
    </row>
    <row r="145" hidden="1">
      <c r="A145" s="11" t="s">
        <v>485</v>
      </c>
      <c r="B145" s="11" t="s">
        <v>44</v>
      </c>
      <c r="C145" s="11" t="s">
        <v>64</v>
      </c>
      <c r="D145" s="11" t="s">
        <v>556</v>
      </c>
      <c r="E145" s="11" t="s">
        <v>557</v>
      </c>
      <c r="F145" s="11" t="s">
        <v>228</v>
      </c>
      <c r="G145" s="11">
        <v>17.04</v>
      </c>
      <c r="H145" s="11" t="s">
        <v>67</v>
      </c>
      <c r="I145" s="12">
        <v>2142.0</v>
      </c>
      <c r="J145" s="12">
        <v>2400.0</v>
      </c>
      <c r="K145" s="11"/>
      <c r="L145" s="11" t="s">
        <v>558</v>
      </c>
      <c r="M145" s="11" t="s">
        <v>559</v>
      </c>
      <c r="N145" s="11" t="s">
        <v>491</v>
      </c>
      <c r="O145" s="11" t="s">
        <v>57</v>
      </c>
      <c r="P145" s="11" t="s">
        <v>48</v>
      </c>
      <c r="Q145" s="13" t="str">
        <f>IFERROR(VLOOKUP(E145,'SF Churn Data'!E:R,14,0),"")</f>
        <v/>
      </c>
    </row>
    <row r="146" hidden="1">
      <c r="A146" s="11" t="s">
        <v>485</v>
      </c>
      <c r="B146" s="11" t="s">
        <v>44</v>
      </c>
      <c r="C146" s="11" t="s">
        <v>76</v>
      </c>
      <c r="D146" s="11" t="s">
        <v>560</v>
      </c>
      <c r="E146" s="11" t="s">
        <v>561</v>
      </c>
      <c r="F146" s="11" t="s">
        <v>228</v>
      </c>
      <c r="G146" s="11">
        <v>19.72</v>
      </c>
      <c r="H146" s="11" t="s">
        <v>67</v>
      </c>
      <c r="I146" s="12">
        <v>2142.0</v>
      </c>
      <c r="J146" s="12">
        <v>2400.0</v>
      </c>
      <c r="K146" s="12"/>
      <c r="L146" s="11" t="s">
        <v>562</v>
      </c>
      <c r="M146" s="11" t="s">
        <v>563</v>
      </c>
      <c r="N146" s="11" t="s">
        <v>491</v>
      </c>
      <c r="O146" s="11" t="s">
        <v>57</v>
      </c>
      <c r="P146" s="11" t="s">
        <v>48</v>
      </c>
      <c r="Q146" s="13" t="str">
        <f>IFERROR(VLOOKUP(E146,'SF Churn Data'!E:R,14,0),"")</f>
        <v/>
      </c>
    </row>
    <row r="147" hidden="1">
      <c r="A147" s="11" t="s">
        <v>485</v>
      </c>
      <c r="B147" s="11" t="s">
        <v>44</v>
      </c>
      <c r="C147" s="11" t="s">
        <v>76</v>
      </c>
      <c r="D147" s="11" t="s">
        <v>564</v>
      </c>
      <c r="E147" s="11" t="s">
        <v>565</v>
      </c>
      <c r="F147" s="11" t="s">
        <v>228</v>
      </c>
      <c r="G147" s="11">
        <v>19.41</v>
      </c>
      <c r="H147" s="11" t="s">
        <v>67</v>
      </c>
      <c r="I147" s="12">
        <v>2142.0</v>
      </c>
      <c r="J147" s="12">
        <v>2400.0</v>
      </c>
      <c r="K147" s="11"/>
      <c r="L147" s="11" t="s">
        <v>566</v>
      </c>
      <c r="M147" s="11" t="s">
        <v>567</v>
      </c>
      <c r="N147" s="11" t="s">
        <v>491</v>
      </c>
      <c r="O147" s="11" t="s">
        <v>83</v>
      </c>
      <c r="P147" s="11" t="s">
        <v>48</v>
      </c>
      <c r="Q147" s="13" t="str">
        <f>IFERROR(VLOOKUP(E147,'SF Churn Data'!E:R,14,0),"")</f>
        <v/>
      </c>
    </row>
    <row r="148" hidden="1">
      <c r="A148" s="11" t="s">
        <v>485</v>
      </c>
      <c r="B148" s="11" t="s">
        <v>45</v>
      </c>
      <c r="C148" s="11" t="s">
        <v>50</v>
      </c>
      <c r="D148" s="11" t="s">
        <v>568</v>
      </c>
      <c r="E148" s="11" t="s">
        <v>569</v>
      </c>
      <c r="F148" s="11" t="s">
        <v>228</v>
      </c>
      <c r="G148" s="11">
        <v>13.73</v>
      </c>
      <c r="H148" s="11" t="s">
        <v>45</v>
      </c>
      <c r="I148" s="12">
        <v>2142.0</v>
      </c>
      <c r="J148" s="12">
        <v>2400.0</v>
      </c>
      <c r="K148" s="12"/>
      <c r="L148" s="11" t="s">
        <v>570</v>
      </c>
      <c r="M148" s="11" t="s">
        <v>571</v>
      </c>
      <c r="N148" s="11" t="s">
        <v>491</v>
      </c>
      <c r="O148" s="11" t="s">
        <v>83</v>
      </c>
      <c r="P148" s="11" t="s">
        <v>48</v>
      </c>
      <c r="Q148" s="13" t="str">
        <f>IFERROR(VLOOKUP(E148,'SF Churn Data'!E:R,14,0),"")</f>
        <v/>
      </c>
    </row>
    <row r="149" hidden="1">
      <c r="A149" s="11" t="s">
        <v>132</v>
      </c>
      <c r="B149" s="11" t="s">
        <v>44</v>
      </c>
      <c r="C149" s="11" t="s">
        <v>37</v>
      </c>
      <c r="D149" s="11" t="s">
        <v>572</v>
      </c>
      <c r="E149" s="11" t="s">
        <v>573</v>
      </c>
      <c r="F149" s="11" t="s">
        <v>228</v>
      </c>
      <c r="G149" s="11">
        <v>58.22</v>
      </c>
      <c r="H149" s="11" t="s">
        <v>574</v>
      </c>
      <c r="I149" s="12">
        <v>5542.5</v>
      </c>
      <c r="J149" s="12">
        <v>4450.0</v>
      </c>
      <c r="K149" s="11"/>
      <c r="L149" s="11" t="s">
        <v>575</v>
      </c>
      <c r="M149" s="11" t="s">
        <v>576</v>
      </c>
      <c r="N149" s="11" t="s">
        <v>343</v>
      </c>
      <c r="O149" s="11" t="s">
        <v>57</v>
      </c>
      <c r="P149" s="11"/>
      <c r="Q149" s="13" t="str">
        <f>IFERROR(VLOOKUP(E149,'SF Churn Data'!E:R,14,0),"")</f>
        <v/>
      </c>
    </row>
    <row r="150" hidden="1">
      <c r="A150" s="11" t="s">
        <v>132</v>
      </c>
      <c r="B150" s="11" t="s">
        <v>45</v>
      </c>
      <c r="C150" s="11" t="s">
        <v>45</v>
      </c>
      <c r="D150" s="11" t="s">
        <v>577</v>
      </c>
      <c r="E150" s="11" t="s">
        <v>578</v>
      </c>
      <c r="F150" s="11" t="s">
        <v>228</v>
      </c>
      <c r="G150" s="11">
        <v>10.55</v>
      </c>
      <c r="H150" s="11" t="s">
        <v>400</v>
      </c>
      <c r="I150" s="12">
        <v>1822.08</v>
      </c>
      <c r="J150" s="12">
        <v>1500.0</v>
      </c>
      <c r="K150" s="12">
        <v>3500.0</v>
      </c>
      <c r="L150" s="11" t="s">
        <v>579</v>
      </c>
      <c r="M150" s="11" t="s">
        <v>580</v>
      </c>
      <c r="N150" s="11" t="s">
        <v>240</v>
      </c>
      <c r="O150" s="11" t="s">
        <v>41</v>
      </c>
      <c r="P150" s="11"/>
      <c r="Q150" s="13" t="str">
        <f>IFERROR(VLOOKUP(E150,'SF Churn Data'!E:R,14,0),"")</f>
        <v/>
      </c>
    </row>
    <row r="151" hidden="1">
      <c r="A151" s="11" t="s">
        <v>191</v>
      </c>
      <c r="B151" s="11" t="s">
        <v>45</v>
      </c>
      <c r="C151" s="11" t="s">
        <v>45</v>
      </c>
      <c r="D151" s="11" t="s">
        <v>581</v>
      </c>
      <c r="E151" s="11" t="s">
        <v>582</v>
      </c>
      <c r="F151" s="11" t="s">
        <v>228</v>
      </c>
      <c r="G151" s="11">
        <v>14.57</v>
      </c>
      <c r="H151" s="11" t="s">
        <v>45</v>
      </c>
      <c r="I151" s="12">
        <v>3900.0</v>
      </c>
      <c r="J151" s="12">
        <v>5100.0</v>
      </c>
      <c r="K151" s="12"/>
      <c r="L151" s="11" t="s">
        <v>583</v>
      </c>
      <c r="M151" s="11" t="s">
        <v>584</v>
      </c>
      <c r="N151" s="11" t="s">
        <v>343</v>
      </c>
      <c r="O151" s="11" t="s">
        <v>41</v>
      </c>
      <c r="P151" s="11" t="s">
        <v>48</v>
      </c>
      <c r="Q151" s="13" t="str">
        <f>IFERROR(VLOOKUP(E151,'SF Churn Data'!E:R,14,0),"")</f>
        <v/>
      </c>
    </row>
    <row r="152" hidden="1">
      <c r="A152" s="11" t="s">
        <v>171</v>
      </c>
      <c r="B152" s="11" t="s">
        <v>36</v>
      </c>
      <c r="C152" s="11" t="s">
        <v>37</v>
      </c>
      <c r="D152" s="11" t="s">
        <v>585</v>
      </c>
      <c r="E152" s="11" t="s">
        <v>586</v>
      </c>
      <c r="F152" s="11" t="s">
        <v>228</v>
      </c>
      <c r="G152" s="11">
        <v>45.02</v>
      </c>
      <c r="H152" s="11" t="s">
        <v>471</v>
      </c>
      <c r="I152" s="12">
        <v>6000.0</v>
      </c>
      <c r="J152" s="12">
        <v>6900.0</v>
      </c>
      <c r="K152" s="12"/>
      <c r="L152" s="11" t="s">
        <v>587</v>
      </c>
      <c r="M152" s="11" t="s">
        <v>588</v>
      </c>
      <c r="N152" s="11" t="s">
        <v>316</v>
      </c>
      <c r="O152" s="11" t="s">
        <v>198</v>
      </c>
      <c r="P152" s="11"/>
      <c r="Q152" s="13" t="str">
        <f>IFERROR(VLOOKUP(E152,'SF Churn Data'!E:R,14,0),"")</f>
        <v/>
      </c>
    </row>
    <row r="153" hidden="1">
      <c r="A153" s="11" t="s">
        <v>282</v>
      </c>
      <c r="B153" s="11" t="s">
        <v>44</v>
      </c>
      <c r="C153" s="11" t="s">
        <v>53</v>
      </c>
      <c r="D153" s="11" t="s">
        <v>589</v>
      </c>
      <c r="E153" s="11" t="s">
        <v>590</v>
      </c>
      <c r="F153" s="11" t="s">
        <v>228</v>
      </c>
      <c r="G153" s="11">
        <v>15.63</v>
      </c>
      <c r="H153" s="11" t="s">
        <v>56</v>
      </c>
      <c r="I153" s="12">
        <v>4851.0</v>
      </c>
      <c r="J153" s="12">
        <v>5850.0</v>
      </c>
      <c r="K153" s="11">
        <v>5900.0</v>
      </c>
      <c r="L153" s="11" t="s">
        <v>591</v>
      </c>
      <c r="M153" s="11" t="s">
        <v>592</v>
      </c>
      <c r="N153" s="11" t="s">
        <v>363</v>
      </c>
      <c r="O153" s="11" t="s">
        <v>57</v>
      </c>
      <c r="P153" s="11" t="s">
        <v>63</v>
      </c>
      <c r="Q153" s="13" t="str">
        <f>IFERROR(VLOOKUP(E153,'SF Churn Data'!E:R,14,0),"")</f>
        <v/>
      </c>
    </row>
    <row r="154" hidden="1">
      <c r="A154" s="11" t="s">
        <v>35</v>
      </c>
      <c r="B154" s="11" t="s">
        <v>44</v>
      </c>
      <c r="C154" s="11" t="s">
        <v>64</v>
      </c>
      <c r="D154" s="11" t="s">
        <v>593</v>
      </c>
      <c r="E154" s="11" t="s">
        <v>594</v>
      </c>
      <c r="F154" s="11" t="s">
        <v>228</v>
      </c>
      <c r="G154" s="11">
        <v>19.65</v>
      </c>
      <c r="H154" s="11" t="s">
        <v>168</v>
      </c>
      <c r="I154" s="12">
        <v>6648.0</v>
      </c>
      <c r="J154" s="12">
        <v>9000.0</v>
      </c>
      <c r="K154" s="12">
        <v>8000.0</v>
      </c>
      <c r="L154" s="11" t="s">
        <v>595</v>
      </c>
      <c r="M154" s="11" t="s">
        <v>596</v>
      </c>
      <c r="N154" s="11" t="s">
        <v>363</v>
      </c>
      <c r="O154" s="11" t="s">
        <v>41</v>
      </c>
      <c r="P154" s="11" t="s">
        <v>42</v>
      </c>
      <c r="Q154" s="13" t="str">
        <f>IFERROR(VLOOKUP(E154,'SF Churn Data'!E:R,14,0),"")</f>
        <v/>
      </c>
    </row>
    <row r="155" hidden="1">
      <c r="A155" s="11" t="s">
        <v>225</v>
      </c>
      <c r="B155" s="11" t="s">
        <v>44</v>
      </c>
      <c r="C155" s="11" t="s">
        <v>64</v>
      </c>
      <c r="D155" s="11" t="s">
        <v>597</v>
      </c>
      <c r="E155" s="11" t="s">
        <v>598</v>
      </c>
      <c r="F155" s="11" t="s">
        <v>228</v>
      </c>
      <c r="G155" s="11">
        <v>18.8</v>
      </c>
      <c r="H155" s="11" t="s">
        <v>120</v>
      </c>
      <c r="I155" s="12">
        <v>6200.0</v>
      </c>
      <c r="J155" s="12">
        <v>8100.0</v>
      </c>
      <c r="K155" s="12">
        <v>7200.0</v>
      </c>
      <c r="L155" s="11" t="s">
        <v>599</v>
      </c>
      <c r="M155" s="11" t="s">
        <v>600</v>
      </c>
      <c r="N155" s="11" t="s">
        <v>316</v>
      </c>
      <c r="O155" s="11" t="s">
        <v>161</v>
      </c>
      <c r="P155" s="11" t="s">
        <v>162</v>
      </c>
      <c r="Q155" s="13" t="str">
        <f>IFERROR(VLOOKUP(E155,'SF Churn Data'!E:R,14,0),"")</f>
        <v/>
      </c>
    </row>
    <row r="156" hidden="1">
      <c r="A156" s="11" t="s">
        <v>216</v>
      </c>
      <c r="B156" s="11" t="s">
        <v>45</v>
      </c>
      <c r="C156" s="11" t="s">
        <v>45</v>
      </c>
      <c r="D156" s="11" t="s">
        <v>601</v>
      </c>
      <c r="E156" s="11" t="s">
        <v>602</v>
      </c>
      <c r="F156" s="11" t="s">
        <v>228</v>
      </c>
      <c r="G156" s="11">
        <v>8.65</v>
      </c>
      <c r="H156" s="11" t="s">
        <v>45</v>
      </c>
      <c r="I156" s="12">
        <v>3194.0</v>
      </c>
      <c r="J156" s="12">
        <v>4500.0</v>
      </c>
      <c r="K156" s="11">
        <v>3850.0</v>
      </c>
      <c r="L156" s="11" t="s">
        <v>603</v>
      </c>
      <c r="M156" s="11" t="s">
        <v>604</v>
      </c>
      <c r="N156" s="11" t="s">
        <v>403</v>
      </c>
      <c r="O156" s="11" t="s">
        <v>41</v>
      </c>
      <c r="P156" s="11" t="s">
        <v>42</v>
      </c>
      <c r="Q156" s="13" t="str">
        <f>IFERROR(VLOOKUP(E156,'SF Churn Data'!E:R,14,0),"")</f>
        <v/>
      </c>
    </row>
    <row r="157" hidden="1">
      <c r="A157" s="11" t="s">
        <v>191</v>
      </c>
      <c r="B157" s="11" t="s">
        <v>44</v>
      </c>
      <c r="C157" s="11" t="s">
        <v>64</v>
      </c>
      <c r="D157" s="11" t="s">
        <v>605</v>
      </c>
      <c r="E157" s="11" t="s">
        <v>606</v>
      </c>
      <c r="F157" s="11" t="s">
        <v>228</v>
      </c>
      <c r="G157" s="11">
        <v>18.8</v>
      </c>
      <c r="H157" s="11" t="s">
        <v>120</v>
      </c>
      <c r="I157" s="12">
        <v>6200.0</v>
      </c>
      <c r="J157" s="12">
        <v>8100.0</v>
      </c>
      <c r="K157" s="12"/>
      <c r="L157" s="11" t="s">
        <v>607</v>
      </c>
      <c r="M157" s="11" t="s">
        <v>608</v>
      </c>
      <c r="N157" s="11" t="s">
        <v>131</v>
      </c>
      <c r="O157" s="11" t="s">
        <v>57</v>
      </c>
      <c r="P157" s="11" t="s">
        <v>48</v>
      </c>
      <c r="Q157" s="13" t="str">
        <f>IFERROR(VLOOKUP(E157,'SF Churn Data'!E:R,14,0),"")</f>
        <v/>
      </c>
    </row>
    <row r="158" hidden="1">
      <c r="A158" s="11" t="s">
        <v>191</v>
      </c>
      <c r="B158" s="11" t="s">
        <v>44</v>
      </c>
      <c r="C158" s="11" t="s">
        <v>37</v>
      </c>
      <c r="D158" s="11" t="s">
        <v>609</v>
      </c>
      <c r="E158" s="11" t="s">
        <v>610</v>
      </c>
      <c r="F158" s="11" t="s">
        <v>228</v>
      </c>
      <c r="G158" s="11">
        <v>50.77</v>
      </c>
      <c r="H158" s="11" t="s">
        <v>168</v>
      </c>
      <c r="I158" s="12">
        <v>8000.0</v>
      </c>
      <c r="J158" s="12">
        <v>10400.0</v>
      </c>
      <c r="K158" s="12"/>
      <c r="L158" s="11" t="s">
        <v>611</v>
      </c>
      <c r="M158" s="11" t="s">
        <v>612</v>
      </c>
      <c r="N158" s="11" t="s">
        <v>316</v>
      </c>
      <c r="O158" s="11" t="s">
        <v>613</v>
      </c>
      <c r="P158" s="11" t="s">
        <v>48</v>
      </c>
      <c r="Q158" s="13" t="str">
        <f>IFERROR(VLOOKUP(E158,'SF Churn Data'!E:R,14,0),"")</f>
        <v/>
      </c>
    </row>
    <row r="159" hidden="1">
      <c r="A159" s="11" t="s">
        <v>201</v>
      </c>
      <c r="B159" s="11" t="s">
        <v>44</v>
      </c>
      <c r="C159" s="11" t="s">
        <v>151</v>
      </c>
      <c r="D159" s="11" t="s">
        <v>614</v>
      </c>
      <c r="E159" s="11" t="s">
        <v>615</v>
      </c>
      <c r="F159" s="11" t="s">
        <v>228</v>
      </c>
      <c r="G159" s="11">
        <v>24.98</v>
      </c>
      <c r="H159" s="11" t="s">
        <v>168</v>
      </c>
      <c r="I159" s="12">
        <v>4350.0</v>
      </c>
      <c r="J159" s="12">
        <v>5250.0</v>
      </c>
      <c r="K159" s="12">
        <v>5050.0</v>
      </c>
      <c r="L159" s="11" t="s">
        <v>616</v>
      </c>
      <c r="M159" s="11" t="s">
        <v>617</v>
      </c>
      <c r="N159" s="11" t="s">
        <v>240</v>
      </c>
      <c r="O159" s="11" t="s">
        <v>41</v>
      </c>
      <c r="P159" s="11"/>
      <c r="Q159" s="13" t="str">
        <f>IFERROR(VLOOKUP(E159,'SF Churn Data'!E:R,14,0),"")</f>
        <v/>
      </c>
    </row>
    <row r="160" hidden="1">
      <c r="A160" s="11" t="s">
        <v>158</v>
      </c>
      <c r="B160" s="11" t="s">
        <v>44</v>
      </c>
      <c r="C160" s="11" t="s">
        <v>64</v>
      </c>
      <c r="D160" s="11" t="s">
        <v>618</v>
      </c>
      <c r="E160" s="11" t="s">
        <v>619</v>
      </c>
      <c r="F160" s="11" t="s">
        <v>228</v>
      </c>
      <c r="G160" s="11">
        <v>18.3</v>
      </c>
      <c r="H160" s="11" t="s">
        <v>120</v>
      </c>
      <c r="I160" s="12">
        <v>5516.0</v>
      </c>
      <c r="J160" s="12">
        <v>5550.0</v>
      </c>
      <c r="K160" s="11">
        <v>6700.0</v>
      </c>
      <c r="L160" s="11" t="s">
        <v>620</v>
      </c>
      <c r="M160" s="11" t="s">
        <v>621</v>
      </c>
      <c r="N160" s="11" t="s">
        <v>240</v>
      </c>
      <c r="O160" s="11" t="s">
        <v>161</v>
      </c>
      <c r="P160" s="11" t="s">
        <v>162</v>
      </c>
      <c r="Q160" s="13" t="str">
        <f>IFERROR(VLOOKUP(E160,'SF Churn Data'!E:R,14,0),"")</f>
        <v/>
      </c>
    </row>
    <row r="161" hidden="1">
      <c r="A161" s="11" t="s">
        <v>191</v>
      </c>
      <c r="B161" s="11" t="s">
        <v>44</v>
      </c>
      <c r="C161" s="11" t="s">
        <v>151</v>
      </c>
      <c r="D161" s="11" t="s">
        <v>622</v>
      </c>
      <c r="E161" s="11" t="s">
        <v>623</v>
      </c>
      <c r="F161" s="11" t="s">
        <v>228</v>
      </c>
      <c r="G161" s="11">
        <v>25.37</v>
      </c>
      <c r="H161" s="11" t="s">
        <v>168</v>
      </c>
      <c r="I161" s="12">
        <v>7300.0</v>
      </c>
      <c r="J161" s="12">
        <v>9500.0</v>
      </c>
      <c r="K161" s="12"/>
      <c r="L161" s="11" t="s">
        <v>624</v>
      </c>
      <c r="M161" s="11" t="s">
        <v>625</v>
      </c>
      <c r="N161" s="11" t="s">
        <v>240</v>
      </c>
      <c r="O161" s="11" t="s">
        <v>57</v>
      </c>
      <c r="P161" s="11" t="s">
        <v>48</v>
      </c>
      <c r="Q161" s="13" t="str">
        <f>IFERROR(VLOOKUP(E161,'SF Churn Data'!E:R,14,0),"")</f>
        <v/>
      </c>
    </row>
    <row r="162" hidden="1">
      <c r="A162" s="11" t="s">
        <v>216</v>
      </c>
      <c r="B162" s="11" t="s">
        <v>45</v>
      </c>
      <c r="C162" s="11" t="s">
        <v>53</v>
      </c>
      <c r="D162" s="11" t="s">
        <v>626</v>
      </c>
      <c r="E162" s="11" t="s">
        <v>627</v>
      </c>
      <c r="F162" s="11" t="s">
        <v>228</v>
      </c>
      <c r="G162" s="11">
        <v>9.53</v>
      </c>
      <c r="H162" s="11" t="s">
        <v>120</v>
      </c>
      <c r="I162" s="12">
        <v>3750.0</v>
      </c>
      <c r="J162" s="12">
        <v>5250.0</v>
      </c>
      <c r="K162" s="12">
        <v>6600.0</v>
      </c>
      <c r="L162" s="11" t="s">
        <v>628</v>
      </c>
      <c r="M162" s="11" t="s">
        <v>629</v>
      </c>
      <c r="N162" s="11" t="s">
        <v>143</v>
      </c>
      <c r="O162" s="11" t="s">
        <v>57</v>
      </c>
      <c r="P162" s="11" t="s">
        <v>42</v>
      </c>
      <c r="Q162" s="13" t="str">
        <f>IFERROR(VLOOKUP(E162,'SF Churn Data'!E:R,14,0),"")</f>
        <v/>
      </c>
    </row>
    <row r="163" hidden="1">
      <c r="A163" s="11" t="s">
        <v>630</v>
      </c>
      <c r="B163" s="11" t="s">
        <v>44</v>
      </c>
      <c r="C163" s="11" t="s">
        <v>133</v>
      </c>
      <c r="D163" s="11" t="s">
        <v>631</v>
      </c>
      <c r="E163" s="11" t="s">
        <v>632</v>
      </c>
      <c r="F163" s="11" t="s">
        <v>228</v>
      </c>
      <c r="G163" s="11">
        <v>12.65</v>
      </c>
      <c r="H163" s="11" t="s">
        <v>56</v>
      </c>
      <c r="I163" s="12">
        <v>4038.0</v>
      </c>
      <c r="J163" s="12">
        <v>4450.0</v>
      </c>
      <c r="K163" s="12">
        <v>4900.0</v>
      </c>
      <c r="L163" s="11" t="s">
        <v>633</v>
      </c>
      <c r="M163" s="11" t="s">
        <v>634</v>
      </c>
      <c r="N163" s="11" t="s">
        <v>240</v>
      </c>
      <c r="O163" s="11" t="s">
        <v>41</v>
      </c>
      <c r="P163" s="11" t="s">
        <v>144</v>
      </c>
      <c r="Q163" s="13" t="str">
        <f>IFERROR(VLOOKUP(E163,'SF Churn Data'!E:R,14,0),"")</f>
        <v/>
      </c>
    </row>
    <row r="164" hidden="1">
      <c r="A164" s="11" t="s">
        <v>138</v>
      </c>
      <c r="B164" s="11" t="s">
        <v>44</v>
      </c>
      <c r="C164" s="11" t="s">
        <v>76</v>
      </c>
      <c r="D164" s="11" t="s">
        <v>635</v>
      </c>
      <c r="E164" s="11" t="s">
        <v>636</v>
      </c>
      <c r="F164" s="11" t="s">
        <v>228</v>
      </c>
      <c r="G164" s="11">
        <v>21.21</v>
      </c>
      <c r="H164" s="11" t="s">
        <v>168</v>
      </c>
      <c r="I164" s="12">
        <v>4359.0</v>
      </c>
      <c r="J164" s="12">
        <v>6350.0</v>
      </c>
      <c r="K164" s="11">
        <v>5300.0</v>
      </c>
      <c r="L164" s="11" t="s">
        <v>637</v>
      </c>
      <c r="M164" s="11" t="s">
        <v>638</v>
      </c>
      <c r="N164" s="11" t="s">
        <v>316</v>
      </c>
      <c r="O164" s="11" t="s">
        <v>41</v>
      </c>
      <c r="P164" s="11" t="s">
        <v>144</v>
      </c>
      <c r="Q164" s="13" t="str">
        <f>IFERROR(VLOOKUP(E164,'SF Churn Data'!E:R,14,0),"")</f>
        <v/>
      </c>
    </row>
    <row r="165" hidden="1">
      <c r="A165" s="11" t="s">
        <v>630</v>
      </c>
      <c r="B165" s="11" t="s">
        <v>45</v>
      </c>
      <c r="C165" s="11" t="s">
        <v>45</v>
      </c>
      <c r="D165" s="11" t="s">
        <v>639</v>
      </c>
      <c r="E165" s="11" t="s">
        <v>640</v>
      </c>
      <c r="F165" s="11" t="s">
        <v>228</v>
      </c>
      <c r="G165" s="11">
        <v>11.03</v>
      </c>
      <c r="H165" s="11" t="s">
        <v>45</v>
      </c>
      <c r="I165" s="12">
        <v>2125.0</v>
      </c>
      <c r="J165" s="12">
        <v>2350.0</v>
      </c>
      <c r="K165" s="11">
        <v>2600.0</v>
      </c>
      <c r="L165" s="11" t="s">
        <v>641</v>
      </c>
      <c r="M165" s="11" t="s">
        <v>642</v>
      </c>
      <c r="N165" s="11" t="s">
        <v>240</v>
      </c>
      <c r="O165" s="11" t="s">
        <v>83</v>
      </c>
      <c r="P165" s="11" t="s">
        <v>144</v>
      </c>
      <c r="Q165" s="13" t="str">
        <f>IFERROR(VLOOKUP(E165,'SF Churn Data'!E:R,14,0),"")</f>
        <v/>
      </c>
    </row>
    <row r="166" hidden="1">
      <c r="A166" s="11" t="s">
        <v>630</v>
      </c>
      <c r="B166" s="11" t="s">
        <v>44</v>
      </c>
      <c r="C166" s="11" t="s">
        <v>133</v>
      </c>
      <c r="D166" s="11" t="s">
        <v>643</v>
      </c>
      <c r="E166" s="11" t="s">
        <v>644</v>
      </c>
      <c r="F166" s="11" t="s">
        <v>228</v>
      </c>
      <c r="G166" s="11">
        <v>12.78</v>
      </c>
      <c r="H166" s="11" t="s">
        <v>56</v>
      </c>
      <c r="I166" s="12">
        <v>4038.0</v>
      </c>
      <c r="J166" s="12">
        <v>4450.0</v>
      </c>
      <c r="K166" s="11">
        <v>4900.0</v>
      </c>
      <c r="L166" s="11" t="s">
        <v>645</v>
      </c>
      <c r="M166" s="11" t="s">
        <v>646</v>
      </c>
      <c r="N166" s="11" t="s">
        <v>240</v>
      </c>
      <c r="O166" s="11" t="s">
        <v>57</v>
      </c>
      <c r="P166" s="11" t="s">
        <v>144</v>
      </c>
      <c r="Q166" s="13" t="str">
        <f>IFERROR(VLOOKUP(E166,'SF Churn Data'!E:R,14,0),"")</f>
        <v/>
      </c>
    </row>
    <row r="167" hidden="1">
      <c r="A167" s="11" t="s">
        <v>630</v>
      </c>
      <c r="B167" s="11" t="s">
        <v>44</v>
      </c>
      <c r="C167" s="11" t="s">
        <v>113</v>
      </c>
      <c r="D167" s="11" t="s">
        <v>647</v>
      </c>
      <c r="E167" s="11" t="s">
        <v>648</v>
      </c>
      <c r="F167" s="11" t="s">
        <v>228</v>
      </c>
      <c r="G167" s="11">
        <v>11.13</v>
      </c>
      <c r="H167" s="11" t="s">
        <v>116</v>
      </c>
      <c r="I167" s="12">
        <v>3188.0</v>
      </c>
      <c r="J167" s="12">
        <v>3550.0</v>
      </c>
      <c r="K167" s="12">
        <v>3850.0</v>
      </c>
      <c r="L167" s="11" t="s">
        <v>649</v>
      </c>
      <c r="M167" s="11" t="s">
        <v>650</v>
      </c>
      <c r="N167" s="11" t="s">
        <v>240</v>
      </c>
      <c r="O167" s="11" t="s">
        <v>57</v>
      </c>
      <c r="P167" s="11" t="s">
        <v>144</v>
      </c>
      <c r="Q167" s="13" t="str">
        <f>IFERROR(VLOOKUP(E167,'SF Churn Data'!E:R,14,0),"")</f>
        <v/>
      </c>
    </row>
    <row r="168" hidden="1">
      <c r="A168" s="11" t="s">
        <v>35</v>
      </c>
      <c r="B168" s="11" t="s">
        <v>44</v>
      </c>
      <c r="C168" s="11" t="s">
        <v>53</v>
      </c>
      <c r="D168" s="11" t="s">
        <v>651</v>
      </c>
      <c r="E168" s="11" t="s">
        <v>652</v>
      </c>
      <c r="F168" s="11" t="s">
        <v>228</v>
      </c>
      <c r="G168" s="11">
        <v>16.52</v>
      </c>
      <c r="H168" s="11" t="s">
        <v>120</v>
      </c>
      <c r="I168" s="12">
        <v>6230.0</v>
      </c>
      <c r="J168" s="12">
        <v>8450.0</v>
      </c>
      <c r="K168" s="12">
        <v>7500.0</v>
      </c>
      <c r="L168" s="11" t="s">
        <v>653</v>
      </c>
      <c r="M168" s="11" t="s">
        <v>654</v>
      </c>
      <c r="N168" s="11" t="s">
        <v>338</v>
      </c>
      <c r="O168" s="11" t="s">
        <v>57</v>
      </c>
      <c r="P168" s="11" t="s">
        <v>42</v>
      </c>
      <c r="Q168" s="13" t="str">
        <f>IFERROR(VLOOKUP(E168,'SF Churn Data'!E:R,14,0),"")</f>
        <v/>
      </c>
    </row>
    <row r="169" hidden="1">
      <c r="A169" s="11" t="s">
        <v>630</v>
      </c>
      <c r="B169" s="11" t="s">
        <v>44</v>
      </c>
      <c r="C169" s="11" t="s">
        <v>64</v>
      </c>
      <c r="D169" s="11" t="s">
        <v>655</v>
      </c>
      <c r="E169" s="11" t="s">
        <v>656</v>
      </c>
      <c r="F169" s="11" t="s">
        <v>228</v>
      </c>
      <c r="G169" s="11">
        <v>21.69</v>
      </c>
      <c r="H169" s="11" t="s">
        <v>168</v>
      </c>
      <c r="I169" s="12">
        <v>5100.0</v>
      </c>
      <c r="J169" s="12">
        <v>5650.0</v>
      </c>
      <c r="K169" s="11">
        <v>6150.0</v>
      </c>
      <c r="L169" s="11" t="s">
        <v>657</v>
      </c>
      <c r="M169" s="11" t="s">
        <v>658</v>
      </c>
      <c r="N169" s="11" t="s">
        <v>240</v>
      </c>
      <c r="O169" s="11" t="s">
        <v>83</v>
      </c>
      <c r="P169" s="11" t="s">
        <v>144</v>
      </c>
      <c r="Q169" s="13" t="str">
        <f>IFERROR(VLOOKUP(E169,'SF Churn Data'!E:R,14,0),"")</f>
        <v/>
      </c>
    </row>
    <row r="170" hidden="1">
      <c r="A170" s="11" t="s">
        <v>630</v>
      </c>
      <c r="B170" s="11" t="s">
        <v>44</v>
      </c>
      <c r="C170" s="11" t="s">
        <v>53</v>
      </c>
      <c r="D170" s="11" t="s">
        <v>659</v>
      </c>
      <c r="E170" s="11" t="s">
        <v>660</v>
      </c>
      <c r="F170" s="11" t="s">
        <v>228</v>
      </c>
      <c r="G170" s="11">
        <v>16.27</v>
      </c>
      <c r="H170" s="11" t="s">
        <v>120</v>
      </c>
      <c r="I170" s="12">
        <v>4463.0</v>
      </c>
      <c r="J170" s="12">
        <v>4950.0</v>
      </c>
      <c r="K170" s="12">
        <v>5400.0</v>
      </c>
      <c r="L170" s="11" t="s">
        <v>661</v>
      </c>
      <c r="M170" s="11" t="s">
        <v>662</v>
      </c>
      <c r="N170" s="11" t="s">
        <v>240</v>
      </c>
      <c r="O170" s="11" t="s">
        <v>57</v>
      </c>
      <c r="P170" s="11" t="s">
        <v>144</v>
      </c>
      <c r="Q170" s="13" t="str">
        <f>IFERROR(VLOOKUP(E170,'SF Churn Data'!E:R,14,0),"")</f>
        <v/>
      </c>
    </row>
    <row r="171" hidden="1">
      <c r="A171" s="11" t="s">
        <v>630</v>
      </c>
      <c r="B171" s="11" t="s">
        <v>45</v>
      </c>
      <c r="C171" s="11" t="s">
        <v>45</v>
      </c>
      <c r="D171" s="11" t="s">
        <v>663</v>
      </c>
      <c r="E171" s="11" t="s">
        <v>664</v>
      </c>
      <c r="F171" s="11" t="s">
        <v>228</v>
      </c>
      <c r="G171" s="11">
        <v>10.74</v>
      </c>
      <c r="H171" s="11" t="s">
        <v>45</v>
      </c>
      <c r="I171" s="12">
        <v>2125.0</v>
      </c>
      <c r="J171" s="12">
        <v>2350.0</v>
      </c>
      <c r="K171" s="12">
        <v>2600.0</v>
      </c>
      <c r="L171" s="11" t="s">
        <v>665</v>
      </c>
      <c r="M171" s="11" t="s">
        <v>666</v>
      </c>
      <c r="N171" s="11" t="s">
        <v>240</v>
      </c>
      <c r="O171" s="11" t="s">
        <v>41</v>
      </c>
      <c r="P171" s="11" t="s">
        <v>144</v>
      </c>
      <c r="Q171" s="13" t="str">
        <f>IFERROR(VLOOKUP(E171,'SF Churn Data'!E:R,14,0),"")</f>
        <v/>
      </c>
    </row>
    <row r="172" hidden="1">
      <c r="A172" s="11" t="s">
        <v>630</v>
      </c>
      <c r="B172" s="11" t="s">
        <v>44</v>
      </c>
      <c r="C172" s="11" t="s">
        <v>64</v>
      </c>
      <c r="D172" s="11" t="s">
        <v>667</v>
      </c>
      <c r="E172" s="11" t="s">
        <v>668</v>
      </c>
      <c r="F172" s="11" t="s">
        <v>228</v>
      </c>
      <c r="G172" s="11">
        <v>19.12</v>
      </c>
      <c r="H172" s="11" t="s">
        <v>120</v>
      </c>
      <c r="I172" s="12">
        <v>5100.0</v>
      </c>
      <c r="J172" s="12">
        <v>5650.0</v>
      </c>
      <c r="K172" s="12">
        <v>6150.0</v>
      </c>
      <c r="L172" s="11" t="s">
        <v>669</v>
      </c>
      <c r="M172" s="11" t="s">
        <v>670</v>
      </c>
      <c r="N172" s="11" t="s">
        <v>240</v>
      </c>
      <c r="O172" s="11" t="s">
        <v>83</v>
      </c>
      <c r="P172" s="11" t="s">
        <v>144</v>
      </c>
      <c r="Q172" s="13" t="str">
        <f>IFERROR(VLOOKUP(E172,'SF Churn Data'!E:R,14,0),"")</f>
        <v/>
      </c>
    </row>
    <row r="173" hidden="1">
      <c r="A173" s="11" t="s">
        <v>630</v>
      </c>
      <c r="B173" s="11" t="s">
        <v>44</v>
      </c>
      <c r="C173" s="11" t="s">
        <v>53</v>
      </c>
      <c r="D173" s="11" t="s">
        <v>671</v>
      </c>
      <c r="E173" s="11" t="s">
        <v>672</v>
      </c>
      <c r="F173" s="11" t="s">
        <v>228</v>
      </c>
      <c r="G173" s="11">
        <v>17.17</v>
      </c>
      <c r="H173" s="11" t="s">
        <v>120</v>
      </c>
      <c r="I173" s="12">
        <v>4463.0</v>
      </c>
      <c r="J173" s="12">
        <v>4950.0</v>
      </c>
      <c r="K173" s="12">
        <v>5400.0</v>
      </c>
      <c r="L173" s="11" t="s">
        <v>673</v>
      </c>
      <c r="M173" s="11" t="s">
        <v>674</v>
      </c>
      <c r="N173" s="11" t="s">
        <v>240</v>
      </c>
      <c r="O173" s="11" t="s">
        <v>41</v>
      </c>
      <c r="P173" s="11" t="s">
        <v>144</v>
      </c>
      <c r="Q173" s="13" t="str">
        <f>IFERROR(VLOOKUP(E173,'SF Churn Data'!E:R,14,0),"")</f>
        <v/>
      </c>
    </row>
    <row r="174" hidden="1">
      <c r="A174" s="11" t="s">
        <v>630</v>
      </c>
      <c r="B174" s="11" t="s">
        <v>45</v>
      </c>
      <c r="C174" s="11" t="s">
        <v>45</v>
      </c>
      <c r="D174" s="11" t="s">
        <v>675</v>
      </c>
      <c r="E174" s="11" t="s">
        <v>676</v>
      </c>
      <c r="F174" s="11" t="s">
        <v>228</v>
      </c>
      <c r="G174" s="11">
        <v>11.29</v>
      </c>
      <c r="H174" s="11" t="s">
        <v>45</v>
      </c>
      <c r="I174" s="12">
        <v>2125.0</v>
      </c>
      <c r="J174" s="12">
        <v>2350.0</v>
      </c>
      <c r="K174" s="12">
        <v>2600.0</v>
      </c>
      <c r="L174" s="11" t="s">
        <v>677</v>
      </c>
      <c r="M174" s="11" t="s">
        <v>678</v>
      </c>
      <c r="N174" s="11" t="s">
        <v>240</v>
      </c>
      <c r="O174" s="11" t="s">
        <v>41</v>
      </c>
      <c r="P174" s="11" t="s">
        <v>144</v>
      </c>
      <c r="Q174" s="13" t="str">
        <f>IFERROR(VLOOKUP(E174,'SF Churn Data'!E:R,14,0),"")</f>
        <v/>
      </c>
    </row>
    <row r="175" hidden="1">
      <c r="A175" s="11" t="s">
        <v>630</v>
      </c>
      <c r="B175" s="11" t="s">
        <v>44</v>
      </c>
      <c r="C175" s="11" t="s">
        <v>133</v>
      </c>
      <c r="D175" s="11" t="s">
        <v>679</v>
      </c>
      <c r="E175" s="11" t="s">
        <v>680</v>
      </c>
      <c r="F175" s="11" t="s">
        <v>228</v>
      </c>
      <c r="G175" s="11">
        <v>13.93</v>
      </c>
      <c r="H175" s="11" t="s">
        <v>168</v>
      </c>
      <c r="I175" s="12">
        <v>4750.0</v>
      </c>
      <c r="J175" s="12">
        <v>5250.0</v>
      </c>
      <c r="K175" s="11">
        <v>6150.0</v>
      </c>
      <c r="L175" s="11" t="s">
        <v>681</v>
      </c>
      <c r="M175" s="11" t="s">
        <v>682</v>
      </c>
      <c r="N175" s="11" t="s">
        <v>240</v>
      </c>
      <c r="O175" s="11" t="s">
        <v>57</v>
      </c>
      <c r="P175" s="11" t="s">
        <v>144</v>
      </c>
      <c r="Q175" s="13" t="str">
        <f>IFERROR(VLOOKUP(E175,'SF Churn Data'!E:R,14,0),"")</f>
        <v/>
      </c>
    </row>
    <row r="176" hidden="1">
      <c r="A176" s="11" t="s">
        <v>630</v>
      </c>
      <c r="B176" s="11" t="s">
        <v>45</v>
      </c>
      <c r="C176" s="11" t="s">
        <v>45</v>
      </c>
      <c r="D176" s="11" t="s">
        <v>683</v>
      </c>
      <c r="E176" s="11" t="s">
        <v>684</v>
      </c>
      <c r="F176" s="11" t="s">
        <v>228</v>
      </c>
      <c r="G176" s="11">
        <v>12.01</v>
      </c>
      <c r="H176" s="11" t="s">
        <v>45</v>
      </c>
      <c r="I176" s="12">
        <v>2125.0</v>
      </c>
      <c r="J176" s="12">
        <v>2350.0</v>
      </c>
      <c r="K176" s="11">
        <v>2600.0</v>
      </c>
      <c r="L176" s="11" t="s">
        <v>685</v>
      </c>
      <c r="M176" s="11" t="s">
        <v>686</v>
      </c>
      <c r="N176" s="11" t="s">
        <v>240</v>
      </c>
      <c r="O176" s="11" t="s">
        <v>41</v>
      </c>
      <c r="P176" s="11" t="s">
        <v>144</v>
      </c>
      <c r="Q176" s="13" t="str">
        <f>IFERROR(VLOOKUP(E176,'SF Churn Data'!E:R,14,0),"")</f>
        <v/>
      </c>
    </row>
    <row r="177" hidden="1">
      <c r="A177" s="11" t="s">
        <v>630</v>
      </c>
      <c r="B177" s="11" t="s">
        <v>45</v>
      </c>
      <c r="C177" s="11" t="s">
        <v>45</v>
      </c>
      <c r="D177" s="11" t="s">
        <v>687</v>
      </c>
      <c r="E177" s="11" t="s">
        <v>688</v>
      </c>
      <c r="F177" s="11" t="s">
        <v>228</v>
      </c>
      <c r="G177" s="11">
        <v>12.21</v>
      </c>
      <c r="H177" s="11" t="s">
        <v>45</v>
      </c>
      <c r="I177" s="12">
        <v>2125.0</v>
      </c>
      <c r="J177" s="12">
        <v>2350.0</v>
      </c>
      <c r="K177" s="11">
        <v>2600.0</v>
      </c>
      <c r="L177" s="11" t="s">
        <v>689</v>
      </c>
      <c r="M177" s="11" t="s">
        <v>690</v>
      </c>
      <c r="N177" s="11" t="s">
        <v>240</v>
      </c>
      <c r="O177" s="11" t="s">
        <v>41</v>
      </c>
      <c r="P177" s="11" t="s">
        <v>144</v>
      </c>
      <c r="Q177" s="13" t="str">
        <f>IFERROR(VLOOKUP(E177,'SF Churn Data'!E:R,14,0),"")</f>
        <v/>
      </c>
    </row>
    <row r="178" hidden="1">
      <c r="A178" s="11" t="s">
        <v>630</v>
      </c>
      <c r="B178" s="11" t="s">
        <v>44</v>
      </c>
      <c r="C178" s="11" t="s">
        <v>53</v>
      </c>
      <c r="D178" s="11" t="s">
        <v>691</v>
      </c>
      <c r="E178" s="11" t="s">
        <v>692</v>
      </c>
      <c r="F178" s="11" t="s">
        <v>228</v>
      </c>
      <c r="G178" s="11">
        <v>16.54</v>
      </c>
      <c r="H178" s="11" t="s">
        <v>120</v>
      </c>
      <c r="I178" s="12">
        <v>4463.0</v>
      </c>
      <c r="J178" s="12">
        <v>4950.0</v>
      </c>
      <c r="K178" s="11">
        <v>5400.0</v>
      </c>
      <c r="L178" s="11" t="s">
        <v>693</v>
      </c>
      <c r="M178" s="11" t="s">
        <v>694</v>
      </c>
      <c r="N178" s="11" t="s">
        <v>240</v>
      </c>
      <c r="O178" s="11" t="s">
        <v>41</v>
      </c>
      <c r="P178" s="11" t="s">
        <v>144</v>
      </c>
      <c r="Q178" s="13" t="str">
        <f>IFERROR(VLOOKUP(E178,'SF Churn Data'!E:R,14,0),"")</f>
        <v/>
      </c>
    </row>
    <row r="179" hidden="1">
      <c r="A179" s="11" t="s">
        <v>630</v>
      </c>
      <c r="B179" s="11" t="s">
        <v>44</v>
      </c>
      <c r="C179" s="11" t="s">
        <v>53</v>
      </c>
      <c r="D179" s="11" t="s">
        <v>695</v>
      </c>
      <c r="E179" s="11" t="s">
        <v>696</v>
      </c>
      <c r="F179" s="11" t="s">
        <v>228</v>
      </c>
      <c r="G179" s="11">
        <v>18.98</v>
      </c>
      <c r="H179" s="11" t="s">
        <v>120</v>
      </c>
      <c r="I179" s="12">
        <v>4463.0</v>
      </c>
      <c r="J179" s="12">
        <v>4950.0</v>
      </c>
      <c r="K179" s="11">
        <v>5400.0</v>
      </c>
      <c r="L179" s="11" t="s">
        <v>697</v>
      </c>
      <c r="M179" s="11" t="s">
        <v>698</v>
      </c>
      <c r="N179" s="11" t="s">
        <v>240</v>
      </c>
      <c r="O179" s="11" t="s">
        <v>57</v>
      </c>
      <c r="P179" s="11" t="s">
        <v>144</v>
      </c>
      <c r="Q179" s="13" t="str">
        <f>IFERROR(VLOOKUP(E179,'SF Churn Data'!E:R,14,0),"")</f>
        <v/>
      </c>
    </row>
    <row r="180" hidden="1">
      <c r="A180" s="11" t="s">
        <v>630</v>
      </c>
      <c r="B180" s="11" t="s">
        <v>44</v>
      </c>
      <c r="C180" s="11" t="s">
        <v>133</v>
      </c>
      <c r="D180" s="11" t="s">
        <v>699</v>
      </c>
      <c r="E180" s="11" t="s">
        <v>700</v>
      </c>
      <c r="F180" s="11" t="s">
        <v>228</v>
      </c>
      <c r="G180" s="11">
        <v>12.06</v>
      </c>
      <c r="H180" s="11" t="s">
        <v>56</v>
      </c>
      <c r="I180" s="12">
        <v>4038.0</v>
      </c>
      <c r="J180" s="12">
        <v>4450.0</v>
      </c>
      <c r="K180" s="11">
        <v>4900.0</v>
      </c>
      <c r="L180" s="11" t="s">
        <v>701</v>
      </c>
      <c r="M180" s="11" t="s">
        <v>702</v>
      </c>
      <c r="N180" s="11" t="s">
        <v>240</v>
      </c>
      <c r="O180" s="11" t="s">
        <v>57</v>
      </c>
      <c r="P180" s="11" t="s">
        <v>144</v>
      </c>
      <c r="Q180" s="13" t="str">
        <f>IFERROR(VLOOKUP(E180,'SF Churn Data'!E:R,14,0),"")</f>
        <v/>
      </c>
    </row>
    <row r="181" hidden="1">
      <c r="A181" s="11" t="s">
        <v>630</v>
      </c>
      <c r="B181" s="11" t="s">
        <v>44</v>
      </c>
      <c r="C181" s="11" t="s">
        <v>133</v>
      </c>
      <c r="D181" s="11" t="s">
        <v>703</v>
      </c>
      <c r="E181" s="11" t="s">
        <v>704</v>
      </c>
      <c r="F181" s="11" t="s">
        <v>228</v>
      </c>
      <c r="G181" s="11">
        <v>14.21</v>
      </c>
      <c r="H181" s="11" t="s">
        <v>56</v>
      </c>
      <c r="I181" s="12">
        <v>4038.0</v>
      </c>
      <c r="J181" s="12">
        <v>4450.0</v>
      </c>
      <c r="K181" s="12">
        <v>4900.0</v>
      </c>
      <c r="L181" s="11" t="s">
        <v>705</v>
      </c>
      <c r="M181" s="11" t="s">
        <v>706</v>
      </c>
      <c r="N181" s="11" t="s">
        <v>240</v>
      </c>
      <c r="O181" s="11" t="s">
        <v>57</v>
      </c>
      <c r="P181" s="11" t="s">
        <v>144</v>
      </c>
      <c r="Q181" s="13" t="str">
        <f>IFERROR(VLOOKUP(E181,'SF Churn Data'!E:R,14,0),"")</f>
        <v/>
      </c>
    </row>
    <row r="182" hidden="1">
      <c r="A182" s="11" t="s">
        <v>630</v>
      </c>
      <c r="B182" s="11" t="s">
        <v>44</v>
      </c>
      <c r="C182" s="11" t="s">
        <v>133</v>
      </c>
      <c r="D182" s="11" t="s">
        <v>707</v>
      </c>
      <c r="E182" s="11" t="s">
        <v>708</v>
      </c>
      <c r="F182" s="11" t="s">
        <v>228</v>
      </c>
      <c r="G182" s="11">
        <v>15.84</v>
      </c>
      <c r="H182" s="11" t="s">
        <v>56</v>
      </c>
      <c r="I182" s="12">
        <v>4463.0</v>
      </c>
      <c r="J182" s="12">
        <v>4950.0</v>
      </c>
      <c r="K182" s="12">
        <v>5400.0</v>
      </c>
      <c r="L182" s="11" t="s">
        <v>709</v>
      </c>
      <c r="M182" s="11" t="s">
        <v>710</v>
      </c>
      <c r="N182" s="11" t="s">
        <v>240</v>
      </c>
      <c r="O182" s="11" t="s">
        <v>57</v>
      </c>
      <c r="P182" s="11" t="s">
        <v>144</v>
      </c>
      <c r="Q182" s="13" t="str">
        <f>IFERROR(VLOOKUP(E182,'SF Churn Data'!E:R,14,0),"")</f>
        <v/>
      </c>
    </row>
    <row r="183" hidden="1">
      <c r="A183" s="11" t="s">
        <v>630</v>
      </c>
      <c r="B183" s="11" t="s">
        <v>44</v>
      </c>
      <c r="C183" s="11" t="s">
        <v>53</v>
      </c>
      <c r="D183" s="11" t="s">
        <v>711</v>
      </c>
      <c r="E183" s="11" t="s">
        <v>712</v>
      </c>
      <c r="F183" s="11" t="s">
        <v>228</v>
      </c>
      <c r="G183" s="11">
        <v>18.53</v>
      </c>
      <c r="H183" s="11" t="s">
        <v>120</v>
      </c>
      <c r="I183" s="12">
        <v>4463.0</v>
      </c>
      <c r="J183" s="12">
        <v>4950.0</v>
      </c>
      <c r="K183" s="12">
        <v>5400.0</v>
      </c>
      <c r="L183" s="11" t="s">
        <v>713</v>
      </c>
      <c r="M183" s="11" t="s">
        <v>714</v>
      </c>
      <c r="N183" s="11" t="s">
        <v>240</v>
      </c>
      <c r="O183" s="11" t="s">
        <v>83</v>
      </c>
      <c r="P183" s="11" t="s">
        <v>144</v>
      </c>
      <c r="Q183" s="13" t="str">
        <f>IFERROR(VLOOKUP(E183,'SF Churn Data'!E:R,14,0),"")</f>
        <v/>
      </c>
    </row>
    <row r="184" hidden="1">
      <c r="A184" s="11" t="s">
        <v>630</v>
      </c>
      <c r="B184" s="11" t="s">
        <v>44</v>
      </c>
      <c r="C184" s="11" t="s">
        <v>133</v>
      </c>
      <c r="D184" s="11" t="s">
        <v>715</v>
      </c>
      <c r="E184" s="11" t="s">
        <v>716</v>
      </c>
      <c r="F184" s="11" t="s">
        <v>228</v>
      </c>
      <c r="G184" s="11">
        <v>12.38</v>
      </c>
      <c r="H184" s="11" t="s">
        <v>56</v>
      </c>
      <c r="I184" s="12">
        <v>4038.0</v>
      </c>
      <c r="J184" s="12">
        <v>4450.0</v>
      </c>
      <c r="K184" s="11">
        <v>4900.0</v>
      </c>
      <c r="L184" s="11" t="s">
        <v>717</v>
      </c>
      <c r="M184" s="11" t="s">
        <v>718</v>
      </c>
      <c r="N184" s="11" t="s">
        <v>240</v>
      </c>
      <c r="O184" s="11" t="s">
        <v>57</v>
      </c>
      <c r="P184" s="11" t="s">
        <v>144</v>
      </c>
      <c r="Q184" s="13" t="str">
        <f>IFERROR(VLOOKUP(E184,'SF Churn Data'!E:R,14,0),"")</f>
        <v/>
      </c>
    </row>
    <row r="185" hidden="1">
      <c r="A185" s="11" t="s">
        <v>630</v>
      </c>
      <c r="B185" s="11" t="s">
        <v>44</v>
      </c>
      <c r="C185" s="11" t="s">
        <v>133</v>
      </c>
      <c r="D185" s="11" t="s">
        <v>719</v>
      </c>
      <c r="E185" s="11" t="s">
        <v>720</v>
      </c>
      <c r="F185" s="11" t="s">
        <v>228</v>
      </c>
      <c r="G185" s="11">
        <v>12.51</v>
      </c>
      <c r="H185" s="11" t="s">
        <v>56</v>
      </c>
      <c r="I185" s="12">
        <v>4038.0</v>
      </c>
      <c r="J185" s="12">
        <v>4450.0</v>
      </c>
      <c r="K185" s="11">
        <v>4900.0</v>
      </c>
      <c r="L185" s="11" t="s">
        <v>721</v>
      </c>
      <c r="M185" s="11" t="s">
        <v>722</v>
      </c>
      <c r="N185" s="11" t="s">
        <v>240</v>
      </c>
      <c r="O185" s="11" t="s">
        <v>57</v>
      </c>
      <c r="P185" s="11" t="s">
        <v>144</v>
      </c>
      <c r="Q185" s="13" t="str">
        <f>IFERROR(VLOOKUP(E185,'SF Churn Data'!E:R,14,0),"")</f>
        <v/>
      </c>
    </row>
    <row r="186" hidden="1">
      <c r="A186" s="11" t="s">
        <v>148</v>
      </c>
      <c r="B186" s="11" t="s">
        <v>44</v>
      </c>
      <c r="C186" s="11" t="s">
        <v>76</v>
      </c>
      <c r="D186" s="11" t="s">
        <v>723</v>
      </c>
      <c r="E186" s="11" t="s">
        <v>724</v>
      </c>
      <c r="F186" s="11" t="s">
        <v>228</v>
      </c>
      <c r="G186" s="11">
        <v>20.8</v>
      </c>
      <c r="H186" s="11" t="s">
        <v>56</v>
      </c>
      <c r="I186" s="12">
        <v>7514.0</v>
      </c>
      <c r="J186" s="12">
        <v>7550.0</v>
      </c>
      <c r="K186" s="12">
        <v>9100.0</v>
      </c>
      <c r="L186" s="11" t="s">
        <v>725</v>
      </c>
      <c r="M186" s="11" t="s">
        <v>726</v>
      </c>
      <c r="N186" s="11" t="s">
        <v>338</v>
      </c>
      <c r="O186" s="11" t="s">
        <v>57</v>
      </c>
      <c r="P186" s="11" t="s">
        <v>48</v>
      </c>
      <c r="Q186" s="13" t="str">
        <f>IFERROR(VLOOKUP(E186,'SF Churn Data'!E:R,14,0),"")</f>
        <v/>
      </c>
    </row>
    <row r="187" hidden="1">
      <c r="A187" s="11" t="s">
        <v>364</v>
      </c>
      <c r="B187" s="11" t="s">
        <v>45</v>
      </c>
      <c r="C187" s="11" t="s">
        <v>45</v>
      </c>
      <c r="D187" s="11" t="s">
        <v>727</v>
      </c>
      <c r="E187" s="11" t="s">
        <v>728</v>
      </c>
      <c r="F187" s="11" t="s">
        <v>228</v>
      </c>
      <c r="G187" s="11">
        <v>12.22</v>
      </c>
      <c r="H187" s="11" t="s">
        <v>45</v>
      </c>
      <c r="I187" s="12">
        <v>2100.0</v>
      </c>
      <c r="J187" s="12">
        <v>2100.0</v>
      </c>
      <c r="K187" s="12">
        <v>2400.0</v>
      </c>
      <c r="L187" s="11" t="s">
        <v>729</v>
      </c>
      <c r="M187" s="11" t="s">
        <v>600</v>
      </c>
      <c r="N187" s="11" t="s">
        <v>316</v>
      </c>
      <c r="O187" s="11" t="s">
        <v>117</v>
      </c>
      <c r="P187" s="11" t="s">
        <v>369</v>
      </c>
      <c r="Q187" s="13" t="str">
        <f>IFERROR(VLOOKUP(E187,'SF Churn Data'!E:R,14,0),"")</f>
        <v/>
      </c>
    </row>
    <row r="188" hidden="1">
      <c r="A188" s="11" t="s">
        <v>171</v>
      </c>
      <c r="B188" s="11" t="s">
        <v>45</v>
      </c>
      <c r="C188" s="11" t="s">
        <v>45</v>
      </c>
      <c r="D188" s="11" t="s">
        <v>730</v>
      </c>
      <c r="E188" s="11" t="s">
        <v>731</v>
      </c>
      <c r="F188" s="11" t="s">
        <v>228</v>
      </c>
      <c r="G188" s="11">
        <v>14.72</v>
      </c>
      <c r="H188" s="11" t="s">
        <v>45</v>
      </c>
      <c r="I188" s="12">
        <v>2490.0</v>
      </c>
      <c r="J188" s="12">
        <v>2900.0</v>
      </c>
      <c r="K188" s="11">
        <v>2400.0</v>
      </c>
      <c r="L188" s="11" t="s">
        <v>732</v>
      </c>
      <c r="M188" s="11" t="s">
        <v>733</v>
      </c>
      <c r="N188" s="11" t="s">
        <v>403</v>
      </c>
      <c r="O188" s="11" t="s">
        <v>198</v>
      </c>
      <c r="P188" s="11"/>
      <c r="Q188" s="13" t="str">
        <f>IFERROR(VLOOKUP(E188,'SF Churn Data'!E:R,14,0),"")</f>
        <v/>
      </c>
    </row>
    <row r="189" hidden="1">
      <c r="A189" s="11" t="s">
        <v>132</v>
      </c>
      <c r="B189" s="11" t="s">
        <v>44</v>
      </c>
      <c r="C189" s="11" t="s">
        <v>133</v>
      </c>
      <c r="D189" s="11" t="s">
        <v>734</v>
      </c>
      <c r="E189" s="11" t="s">
        <v>735</v>
      </c>
      <c r="F189" s="11" t="s">
        <v>228</v>
      </c>
      <c r="G189" s="11">
        <v>14.9</v>
      </c>
      <c r="H189" s="11" t="s">
        <v>62</v>
      </c>
      <c r="I189" s="12">
        <v>2975.44</v>
      </c>
      <c r="J189" s="12">
        <v>2400.0</v>
      </c>
      <c r="K189" s="11">
        <v>4500.0</v>
      </c>
      <c r="L189" s="11" t="s">
        <v>736</v>
      </c>
      <c r="M189" s="11" t="s">
        <v>737</v>
      </c>
      <c r="N189" s="11" t="s">
        <v>363</v>
      </c>
      <c r="O189" s="11" t="s">
        <v>41</v>
      </c>
      <c r="P189" s="11"/>
      <c r="Q189" s="13" t="str">
        <f>IFERROR(VLOOKUP(E189,'SF Churn Data'!E:R,14,0),"")</f>
        <v/>
      </c>
    </row>
    <row r="190" hidden="1">
      <c r="A190" s="11" t="s">
        <v>138</v>
      </c>
      <c r="B190" s="11" t="s">
        <v>45</v>
      </c>
      <c r="C190" s="11" t="s">
        <v>45</v>
      </c>
      <c r="D190" s="11" t="s">
        <v>738</v>
      </c>
      <c r="E190" s="11" t="s">
        <v>739</v>
      </c>
      <c r="F190" s="11" t="s">
        <v>228</v>
      </c>
      <c r="G190" s="11">
        <v>12.54</v>
      </c>
      <c r="H190" s="11" t="s">
        <v>45</v>
      </c>
      <c r="I190" s="12">
        <v>1652.0</v>
      </c>
      <c r="J190" s="12">
        <v>2400.0</v>
      </c>
      <c r="K190" s="11">
        <v>2050.0</v>
      </c>
      <c r="L190" s="11" t="s">
        <v>740</v>
      </c>
      <c r="M190" s="11" t="s">
        <v>741</v>
      </c>
      <c r="N190" s="11" t="s">
        <v>742</v>
      </c>
      <c r="O190" s="11" t="s">
        <v>83</v>
      </c>
      <c r="P190" s="11" t="s">
        <v>144</v>
      </c>
      <c r="Q190" s="13" t="str">
        <f>IFERROR(VLOOKUP(E190,'SF Churn Data'!E:R,14,0),"")</f>
        <v/>
      </c>
    </row>
    <row r="191" hidden="1">
      <c r="A191" s="11" t="s">
        <v>171</v>
      </c>
      <c r="B191" s="11" t="s">
        <v>44</v>
      </c>
      <c r="C191" s="11" t="s">
        <v>53</v>
      </c>
      <c r="D191" s="11" t="s">
        <v>743</v>
      </c>
      <c r="E191" s="11" t="s">
        <v>744</v>
      </c>
      <c r="F191" s="11" t="s">
        <v>228</v>
      </c>
      <c r="G191" s="11">
        <v>16.88</v>
      </c>
      <c r="H191" s="11" t="s">
        <v>56</v>
      </c>
      <c r="I191" s="12">
        <v>4250.0</v>
      </c>
      <c r="J191" s="12">
        <v>4900.0</v>
      </c>
      <c r="K191" s="12">
        <v>5100.0</v>
      </c>
      <c r="L191" s="11" t="s">
        <v>745</v>
      </c>
      <c r="M191" s="11" t="s">
        <v>746</v>
      </c>
      <c r="N191" s="11" t="s">
        <v>363</v>
      </c>
      <c r="O191" s="11" t="s">
        <v>117</v>
      </c>
      <c r="P191" s="11"/>
      <c r="Q191" s="13" t="str">
        <f>IFERROR(VLOOKUP(E191,'SF Churn Data'!E:R,14,0),"")</f>
        <v/>
      </c>
    </row>
    <row r="192" hidden="1">
      <c r="A192" s="11" t="s">
        <v>158</v>
      </c>
      <c r="B192" s="11" t="s">
        <v>44</v>
      </c>
      <c r="C192" s="11" t="s">
        <v>53</v>
      </c>
      <c r="D192" s="11" t="s">
        <v>747</v>
      </c>
      <c r="E192" s="11" t="s">
        <v>748</v>
      </c>
      <c r="F192" s="11" t="s">
        <v>228</v>
      </c>
      <c r="G192" s="11">
        <v>16.75</v>
      </c>
      <c r="H192" s="11" t="s">
        <v>120</v>
      </c>
      <c r="I192" s="12">
        <v>5091.0</v>
      </c>
      <c r="J192" s="12">
        <v>5100.0</v>
      </c>
      <c r="K192" s="12">
        <v>6150.0</v>
      </c>
      <c r="L192" s="11" t="s">
        <v>749</v>
      </c>
      <c r="M192" s="11" t="s">
        <v>750</v>
      </c>
      <c r="N192" s="11" t="s">
        <v>338</v>
      </c>
      <c r="O192" s="11" t="s">
        <v>41</v>
      </c>
      <c r="P192" s="11" t="s">
        <v>162</v>
      </c>
      <c r="Q192" s="13" t="str">
        <f>IFERROR(VLOOKUP(E192,'SF Churn Data'!E:R,14,0),"")</f>
        <v/>
      </c>
    </row>
    <row r="193" hidden="1">
      <c r="A193" s="11" t="s">
        <v>210</v>
      </c>
      <c r="B193" s="11" t="s">
        <v>44</v>
      </c>
      <c r="C193" s="11" t="s">
        <v>151</v>
      </c>
      <c r="D193" s="11" t="s">
        <v>751</v>
      </c>
      <c r="E193" s="11" t="s">
        <v>752</v>
      </c>
      <c r="F193" s="11" t="s">
        <v>228</v>
      </c>
      <c r="G193" s="11">
        <v>26.23</v>
      </c>
      <c r="H193" s="11" t="s">
        <v>168</v>
      </c>
      <c r="I193" s="12">
        <v>7250.0</v>
      </c>
      <c r="J193" s="12">
        <v>9450.0</v>
      </c>
      <c r="K193" s="12">
        <v>8700.0</v>
      </c>
      <c r="L193" s="11" t="s">
        <v>753</v>
      </c>
      <c r="M193" s="11" t="s">
        <v>754</v>
      </c>
      <c r="N193" s="11" t="s">
        <v>363</v>
      </c>
      <c r="O193" s="11" t="s">
        <v>57</v>
      </c>
      <c r="P193" s="11" t="s">
        <v>63</v>
      </c>
      <c r="Q193" s="13" t="str">
        <f>IFERROR(VLOOKUP(E193,'SF Churn Data'!E:R,14,0),"")</f>
        <v/>
      </c>
    </row>
    <row r="194" hidden="1">
      <c r="A194" s="11" t="s">
        <v>191</v>
      </c>
      <c r="B194" s="11" t="s">
        <v>44</v>
      </c>
      <c r="C194" s="11" t="s">
        <v>37</v>
      </c>
      <c r="D194" s="11" t="s">
        <v>755</v>
      </c>
      <c r="E194" s="11" t="s">
        <v>756</v>
      </c>
      <c r="F194" s="11" t="s">
        <v>228</v>
      </c>
      <c r="G194" s="11">
        <v>51.42</v>
      </c>
      <c r="H194" s="11" t="s">
        <v>168</v>
      </c>
      <c r="I194" s="12">
        <v>8000.0</v>
      </c>
      <c r="J194" s="12">
        <v>10400.0</v>
      </c>
      <c r="K194" s="11"/>
      <c r="L194" s="11" t="s">
        <v>757</v>
      </c>
      <c r="M194" s="11" t="s">
        <v>758</v>
      </c>
      <c r="N194" s="11" t="s">
        <v>316</v>
      </c>
      <c r="O194" s="11" t="s">
        <v>613</v>
      </c>
      <c r="P194" s="11" t="s">
        <v>48</v>
      </c>
      <c r="Q194" s="13" t="str">
        <f>IFERROR(VLOOKUP(E194,'SF Churn Data'!E:R,14,0),"")</f>
        <v/>
      </c>
    </row>
    <row r="195" hidden="1">
      <c r="A195" s="11" t="s">
        <v>148</v>
      </c>
      <c r="B195" s="11" t="s">
        <v>44</v>
      </c>
      <c r="C195" s="11" t="s">
        <v>76</v>
      </c>
      <c r="D195" s="11" t="s">
        <v>759</v>
      </c>
      <c r="E195" s="11" t="s">
        <v>760</v>
      </c>
      <c r="F195" s="11" t="s">
        <v>228</v>
      </c>
      <c r="G195" s="11">
        <v>20.0</v>
      </c>
      <c r="H195" s="11" t="s">
        <v>56</v>
      </c>
      <c r="I195" s="12">
        <v>7514.0</v>
      </c>
      <c r="J195" s="12">
        <v>7550.0</v>
      </c>
      <c r="K195" s="12">
        <v>9100.0</v>
      </c>
      <c r="L195" s="11" t="s">
        <v>761</v>
      </c>
      <c r="M195" s="11" t="s">
        <v>762</v>
      </c>
      <c r="N195" s="11" t="s">
        <v>763</v>
      </c>
      <c r="O195" s="11" t="s">
        <v>57</v>
      </c>
      <c r="P195" s="11" t="s">
        <v>48</v>
      </c>
      <c r="Q195" s="13" t="str">
        <f>IFERROR(VLOOKUP(E195,'SF Churn Data'!E:R,14,0),"")</f>
        <v/>
      </c>
    </row>
    <row r="196" hidden="1">
      <c r="A196" s="11" t="s">
        <v>112</v>
      </c>
      <c r="B196" s="11" t="s">
        <v>45</v>
      </c>
      <c r="C196" s="11" t="s">
        <v>45</v>
      </c>
      <c r="D196" s="11" t="s">
        <v>764</v>
      </c>
      <c r="E196" s="11" t="s">
        <v>765</v>
      </c>
      <c r="F196" s="11" t="s">
        <v>228</v>
      </c>
      <c r="G196" s="11">
        <v>10.2</v>
      </c>
      <c r="H196" s="11" t="s">
        <v>45</v>
      </c>
      <c r="I196" s="12">
        <v>3257.0</v>
      </c>
      <c r="J196" s="12">
        <v>4600.0</v>
      </c>
      <c r="K196" s="11">
        <v>4000.0</v>
      </c>
      <c r="L196" s="11" t="s">
        <v>766</v>
      </c>
      <c r="M196" s="11" t="s">
        <v>767</v>
      </c>
      <c r="N196" s="11" t="s">
        <v>131</v>
      </c>
      <c r="O196" s="11" t="s">
        <v>41</v>
      </c>
      <c r="P196" s="11" t="s">
        <v>42</v>
      </c>
      <c r="Q196" s="13" t="str">
        <f>IFERROR(VLOOKUP(E196,'SF Churn Data'!E:R,14,0),"")</f>
        <v/>
      </c>
    </row>
    <row r="197" hidden="1">
      <c r="A197" s="11" t="s">
        <v>154</v>
      </c>
      <c r="B197" s="11" t="s">
        <v>44</v>
      </c>
      <c r="C197" s="11" t="s">
        <v>180</v>
      </c>
      <c r="D197" s="11" t="s">
        <v>768</v>
      </c>
      <c r="E197" s="11" t="s">
        <v>769</v>
      </c>
      <c r="F197" s="11" t="s">
        <v>228</v>
      </c>
      <c r="G197" s="11">
        <v>22.0</v>
      </c>
      <c r="H197" s="11" t="s">
        <v>56</v>
      </c>
      <c r="I197" s="12">
        <v>6090.0</v>
      </c>
      <c r="J197" s="12">
        <v>8550.0</v>
      </c>
      <c r="K197" s="11">
        <v>7350.0</v>
      </c>
      <c r="L197" s="11" t="s">
        <v>770</v>
      </c>
      <c r="M197" s="11" t="s">
        <v>771</v>
      </c>
      <c r="N197" s="11" t="s">
        <v>131</v>
      </c>
      <c r="O197" s="11" t="s">
        <v>151</v>
      </c>
      <c r="P197" s="11" t="s">
        <v>157</v>
      </c>
      <c r="Q197" s="13" t="str">
        <f>IFERROR(VLOOKUP(E197,'SF Churn Data'!E:R,14,0),"")</f>
        <v/>
      </c>
    </row>
    <row r="198" hidden="1">
      <c r="A198" s="11" t="s">
        <v>171</v>
      </c>
      <c r="B198" s="11" t="s">
        <v>36</v>
      </c>
      <c r="C198" s="11" t="s">
        <v>37</v>
      </c>
      <c r="D198" s="11" t="s">
        <v>772</v>
      </c>
      <c r="E198" s="11" t="s">
        <v>773</v>
      </c>
      <c r="F198" s="11" t="s">
        <v>228</v>
      </c>
      <c r="G198" s="11">
        <v>58.82</v>
      </c>
      <c r="H198" s="11" t="s">
        <v>471</v>
      </c>
      <c r="I198" s="12">
        <v>6000.0</v>
      </c>
      <c r="J198" s="12">
        <v>6900.0</v>
      </c>
      <c r="K198" s="12"/>
      <c r="L198" s="11" t="s">
        <v>774</v>
      </c>
      <c r="M198" s="11" t="s">
        <v>775</v>
      </c>
      <c r="N198" s="11" t="s">
        <v>363</v>
      </c>
      <c r="O198" s="11" t="s">
        <v>198</v>
      </c>
      <c r="P198" s="11"/>
      <c r="Q198" s="13" t="str">
        <f>IFERROR(VLOOKUP(E198,'SF Churn Data'!E:R,14,0),"")</f>
        <v/>
      </c>
    </row>
    <row r="199" hidden="1">
      <c r="A199" s="11" t="s">
        <v>154</v>
      </c>
      <c r="B199" s="11" t="s">
        <v>44</v>
      </c>
      <c r="C199" s="11" t="s">
        <v>180</v>
      </c>
      <c r="D199" s="11" t="s">
        <v>776</v>
      </c>
      <c r="E199" s="11" t="s">
        <v>777</v>
      </c>
      <c r="F199" s="11" t="s">
        <v>228</v>
      </c>
      <c r="G199" s="11">
        <v>22.0</v>
      </c>
      <c r="H199" s="11" t="s">
        <v>56</v>
      </c>
      <c r="I199" s="12">
        <v>6090.0</v>
      </c>
      <c r="J199" s="12">
        <v>8550.0</v>
      </c>
      <c r="K199" s="11">
        <v>7350.0</v>
      </c>
      <c r="L199" s="11" t="s">
        <v>778</v>
      </c>
      <c r="M199" s="11" t="s">
        <v>779</v>
      </c>
      <c r="N199" s="11" t="s">
        <v>250</v>
      </c>
      <c r="O199" s="11" t="s">
        <v>151</v>
      </c>
      <c r="P199" s="11" t="s">
        <v>157</v>
      </c>
      <c r="Q199" s="13" t="str">
        <f>IFERROR(VLOOKUP(E199,'SF Churn Data'!E:R,14,0),"")</f>
        <v/>
      </c>
    </row>
    <row r="200" hidden="1">
      <c r="A200" s="11" t="s">
        <v>154</v>
      </c>
      <c r="B200" s="11" t="s">
        <v>45</v>
      </c>
      <c r="C200" s="11" t="s">
        <v>45</v>
      </c>
      <c r="D200" s="11" t="s">
        <v>780</v>
      </c>
      <c r="E200" s="11" t="s">
        <v>781</v>
      </c>
      <c r="F200" s="11" t="s">
        <v>228</v>
      </c>
      <c r="G200" s="11">
        <v>11.0</v>
      </c>
      <c r="H200" s="11" t="s">
        <v>45</v>
      </c>
      <c r="I200" s="12">
        <v>3580.0</v>
      </c>
      <c r="J200" s="12">
        <v>5050.0</v>
      </c>
      <c r="K200" s="12">
        <v>4350.0</v>
      </c>
      <c r="L200" s="11" t="s">
        <v>782</v>
      </c>
      <c r="M200" s="11" t="s">
        <v>783</v>
      </c>
      <c r="N200" s="11" t="s">
        <v>250</v>
      </c>
      <c r="O200" s="11" t="s">
        <v>151</v>
      </c>
      <c r="P200" s="11" t="s">
        <v>157</v>
      </c>
      <c r="Q200" s="13" t="str">
        <f>IFERROR(VLOOKUP(E200,'SF Churn Data'!E:R,14,0),"")</f>
        <v/>
      </c>
    </row>
    <row r="201" hidden="1">
      <c r="A201" s="11" t="s">
        <v>112</v>
      </c>
      <c r="B201" s="11" t="s">
        <v>44</v>
      </c>
      <c r="C201" s="11" t="s">
        <v>76</v>
      </c>
      <c r="D201" s="11" t="s">
        <v>784</v>
      </c>
      <c r="E201" s="11" t="s">
        <v>785</v>
      </c>
      <c r="F201" s="11" t="s">
        <v>228</v>
      </c>
      <c r="G201" s="11">
        <v>20.4</v>
      </c>
      <c r="H201" s="11" t="s">
        <v>168</v>
      </c>
      <c r="I201" s="12">
        <v>6867.0</v>
      </c>
      <c r="J201" s="12">
        <v>9650.0</v>
      </c>
      <c r="K201" s="11">
        <v>8300.0</v>
      </c>
      <c r="L201" s="11" t="s">
        <v>786</v>
      </c>
      <c r="M201" s="11" t="s">
        <v>787</v>
      </c>
      <c r="N201" s="11" t="s">
        <v>316</v>
      </c>
      <c r="O201" s="11" t="s">
        <v>117</v>
      </c>
      <c r="P201" s="11" t="s">
        <v>42</v>
      </c>
      <c r="Q201" s="13" t="str">
        <f>IFERROR(VLOOKUP(E201,'SF Churn Data'!E:R,14,0),"")</f>
        <v/>
      </c>
    </row>
    <row r="202" hidden="1">
      <c r="A202" s="11" t="s">
        <v>191</v>
      </c>
      <c r="B202" s="11" t="s">
        <v>44</v>
      </c>
      <c r="C202" s="11" t="s">
        <v>37</v>
      </c>
      <c r="D202" s="11" t="s">
        <v>788</v>
      </c>
      <c r="E202" s="11" t="s">
        <v>789</v>
      </c>
      <c r="F202" s="11" t="s">
        <v>228</v>
      </c>
      <c r="G202" s="11">
        <v>50.77</v>
      </c>
      <c r="H202" s="11" t="s">
        <v>168</v>
      </c>
      <c r="I202" s="12">
        <v>8000.0</v>
      </c>
      <c r="J202" s="12">
        <v>10400.0</v>
      </c>
      <c r="K202" s="11"/>
      <c r="L202" s="11" t="s">
        <v>790</v>
      </c>
      <c r="M202" s="11" t="s">
        <v>791</v>
      </c>
      <c r="N202" s="11" t="s">
        <v>143</v>
      </c>
      <c r="O202" s="11" t="s">
        <v>613</v>
      </c>
      <c r="P202" s="11" t="s">
        <v>48</v>
      </c>
      <c r="Q202" s="13" t="str">
        <f>IFERROR(VLOOKUP(E202,'SF Churn Data'!E:R,14,0),"")</f>
        <v/>
      </c>
    </row>
    <row r="203" hidden="1">
      <c r="A203" s="11" t="s">
        <v>148</v>
      </c>
      <c r="B203" s="11" t="s">
        <v>44</v>
      </c>
      <c r="C203" s="11" t="s">
        <v>76</v>
      </c>
      <c r="D203" s="11" t="s">
        <v>792</v>
      </c>
      <c r="E203" s="11" t="s">
        <v>793</v>
      </c>
      <c r="F203" s="11" t="s">
        <v>228</v>
      </c>
      <c r="G203" s="11">
        <v>21.9</v>
      </c>
      <c r="H203" s="11" t="s">
        <v>56</v>
      </c>
      <c r="I203" s="12">
        <v>8349.0</v>
      </c>
      <c r="J203" s="12">
        <v>8350.0</v>
      </c>
      <c r="K203" s="11">
        <v>10050.0</v>
      </c>
      <c r="L203" s="11" t="s">
        <v>794</v>
      </c>
      <c r="M203" s="11" t="s">
        <v>795</v>
      </c>
      <c r="N203" s="11" t="s">
        <v>763</v>
      </c>
      <c r="O203" s="11" t="s">
        <v>151</v>
      </c>
      <c r="P203" s="11" t="s">
        <v>48</v>
      </c>
      <c r="Q203" s="13" t="str">
        <f>IFERROR(VLOOKUP(E203,'SF Churn Data'!E:R,14,0),"")</f>
        <v/>
      </c>
    </row>
    <row r="204" hidden="1">
      <c r="A204" s="11" t="s">
        <v>148</v>
      </c>
      <c r="B204" s="11" t="s">
        <v>44</v>
      </c>
      <c r="C204" s="11" t="s">
        <v>76</v>
      </c>
      <c r="D204" s="11" t="s">
        <v>796</v>
      </c>
      <c r="E204" s="11" t="s">
        <v>797</v>
      </c>
      <c r="F204" s="11" t="s">
        <v>228</v>
      </c>
      <c r="G204" s="11">
        <v>20.0</v>
      </c>
      <c r="H204" s="11" t="s">
        <v>56</v>
      </c>
      <c r="I204" s="12">
        <v>7514.0</v>
      </c>
      <c r="J204" s="12">
        <v>7550.0</v>
      </c>
      <c r="K204" s="12">
        <v>9100.0</v>
      </c>
      <c r="L204" s="11" t="s">
        <v>798</v>
      </c>
      <c r="M204" s="11" t="s">
        <v>799</v>
      </c>
      <c r="N204" s="11" t="s">
        <v>800</v>
      </c>
      <c r="O204" s="11" t="s">
        <v>57</v>
      </c>
      <c r="P204" s="11" t="s">
        <v>48</v>
      </c>
      <c r="Q204" s="13" t="str">
        <f>IFERROR(VLOOKUP(E204,'SF Churn Data'!E:R,14,0),"")</f>
        <v/>
      </c>
    </row>
    <row r="205" hidden="1">
      <c r="A205" s="11" t="s">
        <v>801</v>
      </c>
      <c r="B205" s="11" t="s">
        <v>45</v>
      </c>
      <c r="C205" s="11" t="s">
        <v>45</v>
      </c>
      <c r="D205" s="11" t="s">
        <v>802</v>
      </c>
      <c r="E205" s="11" t="s">
        <v>803</v>
      </c>
      <c r="F205" s="11" t="s">
        <v>228</v>
      </c>
      <c r="G205" s="11">
        <v>10.21</v>
      </c>
      <c r="H205" s="11" t="s">
        <v>45</v>
      </c>
      <c r="I205" s="12">
        <v>1488.0</v>
      </c>
      <c r="J205" s="12">
        <v>1650.0</v>
      </c>
      <c r="K205" s="12">
        <v>1800.0</v>
      </c>
      <c r="L205" s="11" t="s">
        <v>804</v>
      </c>
      <c r="M205" s="11" t="s">
        <v>805</v>
      </c>
      <c r="N205" s="11" t="s">
        <v>806</v>
      </c>
      <c r="O205" s="11" t="s">
        <v>41</v>
      </c>
      <c r="P205" s="11" t="s">
        <v>162</v>
      </c>
      <c r="Q205" s="13" t="str">
        <f>IFERROR(VLOOKUP(E205,'SF Churn Data'!E:R,14,0),"")</f>
        <v/>
      </c>
    </row>
    <row r="206" hidden="1">
      <c r="A206" s="11" t="s">
        <v>801</v>
      </c>
      <c r="B206" s="11" t="s">
        <v>44</v>
      </c>
      <c r="C206" s="11" t="s">
        <v>53</v>
      </c>
      <c r="D206" s="11" t="s">
        <v>807</v>
      </c>
      <c r="E206" s="11" t="s">
        <v>808</v>
      </c>
      <c r="F206" s="11" t="s">
        <v>228</v>
      </c>
      <c r="G206" s="11">
        <v>16.4</v>
      </c>
      <c r="H206" s="11" t="s">
        <v>120</v>
      </c>
      <c r="I206" s="12">
        <v>3392.0</v>
      </c>
      <c r="J206" s="12">
        <v>3750.0</v>
      </c>
      <c r="K206" s="11">
        <v>4100.0</v>
      </c>
      <c r="L206" s="11" t="s">
        <v>809</v>
      </c>
      <c r="M206" s="11" t="s">
        <v>810</v>
      </c>
      <c r="N206" s="11" t="s">
        <v>806</v>
      </c>
      <c r="O206" s="11" t="s">
        <v>57</v>
      </c>
      <c r="P206" s="11" t="s">
        <v>162</v>
      </c>
      <c r="Q206" s="13" t="str">
        <f>IFERROR(VLOOKUP(E206,'SF Churn Data'!E:R,14,0),"")</f>
        <v/>
      </c>
    </row>
    <row r="207" hidden="1">
      <c r="A207" s="11" t="s">
        <v>801</v>
      </c>
      <c r="B207" s="11" t="s">
        <v>44</v>
      </c>
      <c r="C207" s="11" t="s">
        <v>53</v>
      </c>
      <c r="D207" s="11" t="s">
        <v>811</v>
      </c>
      <c r="E207" s="11" t="s">
        <v>812</v>
      </c>
      <c r="F207" s="11" t="s">
        <v>228</v>
      </c>
      <c r="G207" s="11">
        <v>16.66</v>
      </c>
      <c r="H207" s="11" t="s">
        <v>120</v>
      </c>
      <c r="I207" s="12">
        <v>3392.0</v>
      </c>
      <c r="J207" s="12">
        <v>3750.0</v>
      </c>
      <c r="K207" s="11">
        <v>4100.0</v>
      </c>
      <c r="L207" s="11" t="s">
        <v>813</v>
      </c>
      <c r="M207" s="11" t="s">
        <v>814</v>
      </c>
      <c r="N207" s="11" t="s">
        <v>806</v>
      </c>
      <c r="O207" s="11" t="s">
        <v>41</v>
      </c>
      <c r="P207" s="11" t="s">
        <v>162</v>
      </c>
      <c r="Q207" s="13" t="str">
        <f>IFERROR(VLOOKUP(E207,'SF Churn Data'!E:R,14,0),"")</f>
        <v/>
      </c>
    </row>
    <row r="208" hidden="1">
      <c r="A208" s="11" t="s">
        <v>801</v>
      </c>
      <c r="B208" s="11" t="s">
        <v>44</v>
      </c>
      <c r="C208" s="11" t="s">
        <v>64</v>
      </c>
      <c r="D208" s="11" t="s">
        <v>815</v>
      </c>
      <c r="E208" s="11" t="s">
        <v>816</v>
      </c>
      <c r="F208" s="11" t="s">
        <v>228</v>
      </c>
      <c r="G208" s="11">
        <v>18.93</v>
      </c>
      <c r="H208" s="11" t="s">
        <v>120</v>
      </c>
      <c r="I208" s="12">
        <v>3612.0</v>
      </c>
      <c r="J208" s="12">
        <v>4000.0</v>
      </c>
      <c r="K208" s="12">
        <v>4400.0</v>
      </c>
      <c r="L208" s="11" t="s">
        <v>817</v>
      </c>
      <c r="M208" s="11" t="s">
        <v>818</v>
      </c>
      <c r="N208" s="11" t="s">
        <v>806</v>
      </c>
      <c r="O208" s="11" t="s">
        <v>57</v>
      </c>
      <c r="P208" s="11" t="s">
        <v>162</v>
      </c>
      <c r="Q208" s="13" t="str">
        <f>IFERROR(VLOOKUP(E208,'SF Churn Data'!E:R,14,0),"")</f>
        <v/>
      </c>
    </row>
    <row r="209" hidden="1">
      <c r="A209" s="11" t="s">
        <v>801</v>
      </c>
      <c r="B209" s="11" t="s">
        <v>45</v>
      </c>
      <c r="C209" s="11" t="s">
        <v>45</v>
      </c>
      <c r="D209" s="11" t="s">
        <v>819</v>
      </c>
      <c r="E209" s="11" t="s">
        <v>820</v>
      </c>
      <c r="F209" s="11" t="s">
        <v>228</v>
      </c>
      <c r="G209" s="11">
        <v>10.57</v>
      </c>
      <c r="H209" s="11" t="s">
        <v>45</v>
      </c>
      <c r="I209" s="12">
        <v>1488.0</v>
      </c>
      <c r="J209" s="12">
        <v>1650.0</v>
      </c>
      <c r="K209" s="11">
        <v>1800.0</v>
      </c>
      <c r="L209" s="11" t="s">
        <v>821</v>
      </c>
      <c r="M209" s="11" t="s">
        <v>822</v>
      </c>
      <c r="N209" s="11" t="s">
        <v>806</v>
      </c>
      <c r="O209" s="11" t="s">
        <v>57</v>
      </c>
      <c r="P209" s="11" t="s">
        <v>162</v>
      </c>
      <c r="Q209" s="13" t="str">
        <f>IFERROR(VLOOKUP(E209,'SF Churn Data'!E:R,14,0),"")</f>
        <v/>
      </c>
    </row>
    <row r="210" hidden="1">
      <c r="A210" s="11" t="s">
        <v>801</v>
      </c>
      <c r="B210" s="11" t="s">
        <v>45</v>
      </c>
      <c r="C210" s="11" t="s">
        <v>45</v>
      </c>
      <c r="D210" s="11" t="s">
        <v>823</v>
      </c>
      <c r="E210" s="11" t="s">
        <v>824</v>
      </c>
      <c r="F210" s="11" t="s">
        <v>228</v>
      </c>
      <c r="G210" s="11">
        <v>13.88</v>
      </c>
      <c r="H210" s="11" t="s">
        <v>45</v>
      </c>
      <c r="I210" s="12">
        <v>1488.0</v>
      </c>
      <c r="J210" s="12">
        <v>1650.0</v>
      </c>
      <c r="K210" s="12">
        <v>1800.0</v>
      </c>
      <c r="L210" s="11" t="s">
        <v>825</v>
      </c>
      <c r="M210" s="11" t="s">
        <v>826</v>
      </c>
      <c r="N210" s="11" t="s">
        <v>806</v>
      </c>
      <c r="O210" s="11" t="s">
        <v>83</v>
      </c>
      <c r="P210" s="11" t="s">
        <v>162</v>
      </c>
      <c r="Q210" s="13" t="str">
        <f>IFERROR(VLOOKUP(E210,'SF Churn Data'!E:R,14,0),"")</f>
        <v/>
      </c>
    </row>
    <row r="211" hidden="1">
      <c r="A211" s="11" t="s">
        <v>801</v>
      </c>
      <c r="B211" s="11" t="s">
        <v>44</v>
      </c>
      <c r="C211" s="11" t="s">
        <v>64</v>
      </c>
      <c r="D211" s="11" t="s">
        <v>827</v>
      </c>
      <c r="E211" s="11" t="s">
        <v>828</v>
      </c>
      <c r="F211" s="11" t="s">
        <v>228</v>
      </c>
      <c r="G211" s="11">
        <v>18.74</v>
      </c>
      <c r="H211" s="11" t="s">
        <v>120</v>
      </c>
      <c r="I211" s="12">
        <v>3612.0</v>
      </c>
      <c r="J211" s="12">
        <v>4000.0</v>
      </c>
      <c r="K211" s="11">
        <v>4400.0</v>
      </c>
      <c r="L211" s="11" t="s">
        <v>829</v>
      </c>
      <c r="M211" s="11" t="s">
        <v>830</v>
      </c>
      <c r="N211" s="11" t="s">
        <v>806</v>
      </c>
      <c r="O211" s="11" t="s">
        <v>83</v>
      </c>
      <c r="P211" s="11" t="s">
        <v>162</v>
      </c>
      <c r="Q211" s="13" t="str">
        <f>IFERROR(VLOOKUP(E211,'SF Churn Data'!E:R,14,0),"")</f>
        <v/>
      </c>
    </row>
    <row r="212" hidden="1">
      <c r="A212" s="11" t="s">
        <v>801</v>
      </c>
      <c r="B212" s="11" t="s">
        <v>44</v>
      </c>
      <c r="C212" s="11" t="s">
        <v>53</v>
      </c>
      <c r="D212" s="11" t="s">
        <v>831</v>
      </c>
      <c r="E212" s="11" t="s">
        <v>832</v>
      </c>
      <c r="F212" s="11" t="s">
        <v>228</v>
      </c>
      <c r="G212" s="11">
        <v>15.65</v>
      </c>
      <c r="H212" s="11" t="s">
        <v>120</v>
      </c>
      <c r="I212" s="12">
        <v>3392.0</v>
      </c>
      <c r="J212" s="12">
        <v>3750.0</v>
      </c>
      <c r="K212" s="11">
        <v>4100.0</v>
      </c>
      <c r="L212" s="11" t="s">
        <v>833</v>
      </c>
      <c r="M212" s="11" t="s">
        <v>834</v>
      </c>
      <c r="N212" s="11" t="s">
        <v>806</v>
      </c>
      <c r="O212" s="11" t="s">
        <v>57</v>
      </c>
      <c r="P212" s="11" t="s">
        <v>162</v>
      </c>
      <c r="Q212" s="13" t="str">
        <f>IFERROR(VLOOKUP(E212,'SF Churn Data'!E:R,14,0),"")</f>
        <v/>
      </c>
    </row>
    <row r="213" hidden="1">
      <c r="A213" s="11" t="s">
        <v>801</v>
      </c>
      <c r="B213" s="11" t="s">
        <v>44</v>
      </c>
      <c r="C213" s="11" t="s">
        <v>53</v>
      </c>
      <c r="D213" s="11" t="s">
        <v>835</v>
      </c>
      <c r="E213" s="11" t="s">
        <v>836</v>
      </c>
      <c r="F213" s="11" t="s">
        <v>228</v>
      </c>
      <c r="G213" s="11">
        <v>15.96</v>
      </c>
      <c r="H213" s="11" t="s">
        <v>120</v>
      </c>
      <c r="I213" s="12">
        <v>3392.0</v>
      </c>
      <c r="J213" s="12">
        <v>3750.0</v>
      </c>
      <c r="K213" s="12">
        <v>4100.0</v>
      </c>
      <c r="L213" s="11" t="s">
        <v>837</v>
      </c>
      <c r="M213" s="11" t="s">
        <v>838</v>
      </c>
      <c r="N213" s="11" t="s">
        <v>806</v>
      </c>
      <c r="O213" s="11" t="s">
        <v>57</v>
      </c>
      <c r="P213" s="11" t="s">
        <v>162</v>
      </c>
      <c r="Q213" s="13" t="str">
        <f>IFERROR(VLOOKUP(E213,'SF Churn Data'!E:R,14,0),"")</f>
        <v/>
      </c>
    </row>
    <row r="214" hidden="1">
      <c r="A214" s="11" t="s">
        <v>801</v>
      </c>
      <c r="B214" s="11" t="s">
        <v>44</v>
      </c>
      <c r="C214" s="11" t="s">
        <v>76</v>
      </c>
      <c r="D214" s="11" t="s">
        <v>839</v>
      </c>
      <c r="E214" s="11" t="s">
        <v>840</v>
      </c>
      <c r="F214" s="11" t="s">
        <v>228</v>
      </c>
      <c r="G214" s="11">
        <v>19.81</v>
      </c>
      <c r="H214" s="11" t="s">
        <v>120</v>
      </c>
      <c r="I214" s="12">
        <v>3825.0</v>
      </c>
      <c r="J214" s="12">
        <v>4250.0</v>
      </c>
      <c r="K214" s="11">
        <v>4650.0</v>
      </c>
      <c r="L214" s="11" t="s">
        <v>841</v>
      </c>
      <c r="M214" s="11" t="s">
        <v>842</v>
      </c>
      <c r="N214" s="11" t="s">
        <v>806</v>
      </c>
      <c r="O214" s="11" t="s">
        <v>41</v>
      </c>
      <c r="P214" s="11" t="s">
        <v>162</v>
      </c>
      <c r="Q214" s="13" t="str">
        <f>IFERROR(VLOOKUP(E214,'SF Churn Data'!E:R,14,0),"")</f>
        <v/>
      </c>
    </row>
    <row r="215" hidden="1">
      <c r="A215" s="11" t="s">
        <v>801</v>
      </c>
      <c r="B215" s="11" t="s">
        <v>44</v>
      </c>
      <c r="C215" s="11" t="s">
        <v>133</v>
      </c>
      <c r="D215" s="11" t="s">
        <v>843</v>
      </c>
      <c r="E215" s="11" t="s">
        <v>844</v>
      </c>
      <c r="F215" s="11" t="s">
        <v>228</v>
      </c>
      <c r="G215" s="11">
        <v>12.52</v>
      </c>
      <c r="H215" s="11" t="s">
        <v>56</v>
      </c>
      <c r="I215" s="12">
        <v>2974.0</v>
      </c>
      <c r="J215" s="12">
        <v>3300.0</v>
      </c>
      <c r="K215" s="12">
        <v>3600.0</v>
      </c>
      <c r="L215" s="11" t="s">
        <v>845</v>
      </c>
      <c r="M215" s="11" t="s">
        <v>846</v>
      </c>
      <c r="N215" s="11" t="s">
        <v>806</v>
      </c>
      <c r="O215" s="11" t="s">
        <v>57</v>
      </c>
      <c r="P215" s="11" t="s">
        <v>162</v>
      </c>
      <c r="Q215" s="13" t="str">
        <f>IFERROR(VLOOKUP(E215,'SF Churn Data'!E:R,14,0),"")</f>
        <v/>
      </c>
    </row>
    <row r="216" hidden="1">
      <c r="A216" s="11" t="s">
        <v>801</v>
      </c>
      <c r="B216" s="11" t="s">
        <v>45</v>
      </c>
      <c r="C216" s="11" t="s">
        <v>45</v>
      </c>
      <c r="D216" s="11" t="s">
        <v>847</v>
      </c>
      <c r="E216" s="11" t="s">
        <v>848</v>
      </c>
      <c r="F216" s="11" t="s">
        <v>228</v>
      </c>
      <c r="G216" s="11">
        <v>14.84</v>
      </c>
      <c r="H216" s="11" t="s">
        <v>45</v>
      </c>
      <c r="I216" s="12">
        <v>1488.0</v>
      </c>
      <c r="J216" s="12">
        <v>1650.0</v>
      </c>
      <c r="K216" s="11">
        <v>1800.0</v>
      </c>
      <c r="L216" s="11" t="s">
        <v>849</v>
      </c>
      <c r="M216" s="11" t="s">
        <v>850</v>
      </c>
      <c r="N216" s="11" t="s">
        <v>806</v>
      </c>
      <c r="O216" s="11" t="s">
        <v>83</v>
      </c>
      <c r="P216" s="11" t="s">
        <v>162</v>
      </c>
      <c r="Q216" s="13" t="str">
        <f>IFERROR(VLOOKUP(E216,'SF Churn Data'!E:R,14,0),"")</f>
        <v/>
      </c>
    </row>
    <row r="217" hidden="1">
      <c r="A217" s="11" t="s">
        <v>801</v>
      </c>
      <c r="B217" s="11" t="s">
        <v>44</v>
      </c>
      <c r="C217" s="11" t="s">
        <v>113</v>
      </c>
      <c r="D217" s="11" t="s">
        <v>851</v>
      </c>
      <c r="E217" s="11" t="s">
        <v>852</v>
      </c>
      <c r="F217" s="11" t="s">
        <v>228</v>
      </c>
      <c r="G217" s="11">
        <v>11.7</v>
      </c>
      <c r="H217" s="11" t="s">
        <v>56</v>
      </c>
      <c r="I217" s="12">
        <v>2763.0</v>
      </c>
      <c r="J217" s="12">
        <v>3050.0</v>
      </c>
      <c r="K217" s="11">
        <v>3400.0</v>
      </c>
      <c r="L217" s="11" t="s">
        <v>853</v>
      </c>
      <c r="M217" s="11" t="s">
        <v>854</v>
      </c>
      <c r="N217" s="11" t="s">
        <v>806</v>
      </c>
      <c r="O217" s="11" t="s">
        <v>41</v>
      </c>
      <c r="P217" s="11" t="s">
        <v>162</v>
      </c>
      <c r="Q217" s="13" t="str">
        <f>IFERROR(VLOOKUP(E217,'SF Churn Data'!E:R,14,0),"")</f>
        <v/>
      </c>
    </row>
    <row r="218" hidden="1">
      <c r="A218" s="11" t="s">
        <v>801</v>
      </c>
      <c r="B218" s="11" t="s">
        <v>44</v>
      </c>
      <c r="C218" s="11" t="s">
        <v>76</v>
      </c>
      <c r="D218" s="11" t="s">
        <v>855</v>
      </c>
      <c r="E218" s="11" t="s">
        <v>856</v>
      </c>
      <c r="F218" s="11" t="s">
        <v>228</v>
      </c>
      <c r="G218" s="11">
        <v>20.36</v>
      </c>
      <c r="H218" s="11" t="s">
        <v>120</v>
      </c>
      <c r="I218" s="12">
        <v>3825.0</v>
      </c>
      <c r="J218" s="12">
        <v>4250.0</v>
      </c>
      <c r="K218" s="11">
        <v>4650.0</v>
      </c>
      <c r="L218" s="11" t="s">
        <v>857</v>
      </c>
      <c r="M218" s="11" t="s">
        <v>858</v>
      </c>
      <c r="N218" s="11" t="s">
        <v>806</v>
      </c>
      <c r="O218" s="11" t="s">
        <v>41</v>
      </c>
      <c r="P218" s="11" t="s">
        <v>162</v>
      </c>
      <c r="Q218" s="13" t="str">
        <f>IFERROR(VLOOKUP(E218,'SF Churn Data'!E:R,14,0),"")</f>
        <v/>
      </c>
    </row>
    <row r="219" hidden="1">
      <c r="A219" s="11" t="s">
        <v>801</v>
      </c>
      <c r="B219" s="11" t="s">
        <v>45</v>
      </c>
      <c r="C219" s="11" t="s">
        <v>45</v>
      </c>
      <c r="D219" s="11" t="s">
        <v>859</v>
      </c>
      <c r="E219" s="11" t="s">
        <v>860</v>
      </c>
      <c r="F219" s="11" t="s">
        <v>228</v>
      </c>
      <c r="G219" s="11">
        <v>8.19</v>
      </c>
      <c r="H219" s="11" t="s">
        <v>45</v>
      </c>
      <c r="I219" s="12">
        <v>1488.0</v>
      </c>
      <c r="J219" s="12">
        <v>1650.0</v>
      </c>
      <c r="K219" s="12">
        <v>1800.0</v>
      </c>
      <c r="L219" s="11" t="s">
        <v>861</v>
      </c>
      <c r="M219" s="11" t="s">
        <v>862</v>
      </c>
      <c r="N219" s="11" t="s">
        <v>806</v>
      </c>
      <c r="O219" s="11" t="s">
        <v>41</v>
      </c>
      <c r="P219" s="11" t="s">
        <v>162</v>
      </c>
      <c r="Q219" s="13" t="str">
        <f>IFERROR(VLOOKUP(E219,'SF Churn Data'!E:R,14,0),"")</f>
        <v/>
      </c>
    </row>
    <row r="220" hidden="1">
      <c r="A220" s="11" t="s">
        <v>801</v>
      </c>
      <c r="B220" s="11" t="s">
        <v>45</v>
      </c>
      <c r="C220" s="11" t="s">
        <v>45</v>
      </c>
      <c r="D220" s="11" t="s">
        <v>863</v>
      </c>
      <c r="E220" s="11" t="s">
        <v>864</v>
      </c>
      <c r="F220" s="11" t="s">
        <v>228</v>
      </c>
      <c r="G220" s="11">
        <v>9.35</v>
      </c>
      <c r="H220" s="11" t="s">
        <v>45</v>
      </c>
      <c r="I220" s="12">
        <v>1488.0</v>
      </c>
      <c r="J220" s="12">
        <v>1650.0</v>
      </c>
      <c r="K220" s="11">
        <v>1800.0</v>
      </c>
      <c r="L220" s="11" t="s">
        <v>865</v>
      </c>
      <c r="M220" s="11" t="s">
        <v>866</v>
      </c>
      <c r="N220" s="11" t="s">
        <v>806</v>
      </c>
      <c r="O220" s="11" t="s">
        <v>57</v>
      </c>
      <c r="P220" s="11" t="s">
        <v>162</v>
      </c>
      <c r="Q220" s="13" t="str">
        <f>IFERROR(VLOOKUP(E220,'SF Churn Data'!E:R,14,0),"")</f>
        <v/>
      </c>
    </row>
    <row r="221" hidden="1">
      <c r="A221" s="11" t="s">
        <v>801</v>
      </c>
      <c r="B221" s="11" t="s">
        <v>44</v>
      </c>
      <c r="C221" s="11" t="s">
        <v>133</v>
      </c>
      <c r="D221" s="11" t="s">
        <v>867</v>
      </c>
      <c r="E221" s="11" t="s">
        <v>868</v>
      </c>
      <c r="F221" s="11" t="s">
        <v>228</v>
      </c>
      <c r="G221" s="11">
        <v>13.54</v>
      </c>
      <c r="H221" s="11" t="s">
        <v>56</v>
      </c>
      <c r="I221" s="12">
        <v>2974.0</v>
      </c>
      <c r="J221" s="12">
        <v>3300.0</v>
      </c>
      <c r="K221" s="11">
        <v>3600.0</v>
      </c>
      <c r="L221" s="11" t="s">
        <v>869</v>
      </c>
      <c r="M221" s="11" t="s">
        <v>870</v>
      </c>
      <c r="N221" s="11" t="s">
        <v>806</v>
      </c>
      <c r="O221" s="11" t="s">
        <v>57</v>
      </c>
      <c r="P221" s="11" t="s">
        <v>162</v>
      </c>
      <c r="Q221" s="13" t="str">
        <f>IFERROR(VLOOKUP(E221,'SF Churn Data'!E:R,14,0),"")</f>
        <v/>
      </c>
    </row>
    <row r="222" hidden="1">
      <c r="A222" s="11" t="s">
        <v>801</v>
      </c>
      <c r="B222" s="11" t="s">
        <v>44</v>
      </c>
      <c r="C222" s="11" t="s">
        <v>64</v>
      </c>
      <c r="D222" s="11" t="s">
        <v>871</v>
      </c>
      <c r="E222" s="11" t="s">
        <v>872</v>
      </c>
      <c r="F222" s="11" t="s">
        <v>228</v>
      </c>
      <c r="G222" s="11">
        <v>18.76</v>
      </c>
      <c r="H222" s="11" t="s">
        <v>120</v>
      </c>
      <c r="I222" s="12">
        <v>3612.0</v>
      </c>
      <c r="J222" s="12">
        <v>4000.0</v>
      </c>
      <c r="K222" s="12">
        <v>4400.0</v>
      </c>
      <c r="L222" s="11" t="s">
        <v>873</v>
      </c>
      <c r="M222" s="11" t="s">
        <v>874</v>
      </c>
      <c r="N222" s="11" t="s">
        <v>806</v>
      </c>
      <c r="O222" s="11" t="s">
        <v>57</v>
      </c>
      <c r="P222" s="11" t="s">
        <v>162</v>
      </c>
      <c r="Q222" s="13" t="str">
        <f>IFERROR(VLOOKUP(E222,'SF Churn Data'!E:R,14,0),"")</f>
        <v/>
      </c>
    </row>
    <row r="223" hidden="1">
      <c r="A223" s="11" t="s">
        <v>132</v>
      </c>
      <c r="B223" s="11" t="s">
        <v>44</v>
      </c>
      <c r="C223" s="11" t="s">
        <v>133</v>
      </c>
      <c r="D223" s="11" t="s">
        <v>875</v>
      </c>
      <c r="E223" s="11" t="s">
        <v>876</v>
      </c>
      <c r="F223" s="11" t="s">
        <v>228</v>
      </c>
      <c r="G223" s="11">
        <v>14.02</v>
      </c>
      <c r="H223" s="11" t="s">
        <v>62</v>
      </c>
      <c r="I223" s="12">
        <v>2975.44</v>
      </c>
      <c r="J223" s="12">
        <v>2400.0</v>
      </c>
      <c r="K223" s="12">
        <v>4500.0</v>
      </c>
      <c r="L223" s="11" t="s">
        <v>877</v>
      </c>
      <c r="M223" s="11" t="s">
        <v>878</v>
      </c>
      <c r="N223" s="11" t="s">
        <v>143</v>
      </c>
      <c r="O223" s="11" t="s">
        <v>41</v>
      </c>
      <c r="P223" s="11"/>
      <c r="Q223" s="13" t="str">
        <f>IFERROR(VLOOKUP(E223,'SF Churn Data'!E:R,14,0),"")</f>
        <v/>
      </c>
    </row>
    <row r="224" hidden="1">
      <c r="A224" s="11" t="s">
        <v>138</v>
      </c>
      <c r="B224" s="11" t="s">
        <v>44</v>
      </c>
      <c r="C224" s="11" t="s">
        <v>133</v>
      </c>
      <c r="D224" s="11" t="s">
        <v>879</v>
      </c>
      <c r="E224" s="11" t="s">
        <v>880</v>
      </c>
      <c r="F224" s="11" t="s">
        <v>228</v>
      </c>
      <c r="G224" s="11">
        <v>14.24</v>
      </c>
      <c r="H224" s="11" t="s">
        <v>56</v>
      </c>
      <c r="I224" s="12">
        <v>3113.0</v>
      </c>
      <c r="J224" s="12">
        <v>4550.0</v>
      </c>
      <c r="K224" s="11">
        <v>3800.0</v>
      </c>
      <c r="L224" s="11" t="s">
        <v>881</v>
      </c>
      <c r="M224" s="11" t="s">
        <v>882</v>
      </c>
      <c r="N224" s="11" t="s">
        <v>131</v>
      </c>
      <c r="O224" s="11" t="s">
        <v>41</v>
      </c>
      <c r="P224" s="11" t="s">
        <v>144</v>
      </c>
      <c r="Q224" s="13" t="str">
        <f>IFERROR(VLOOKUP(E224,'SF Churn Data'!E:R,14,0),"")</f>
        <v/>
      </c>
    </row>
    <row r="225" hidden="1">
      <c r="A225" s="11" t="s">
        <v>216</v>
      </c>
      <c r="B225" s="11" t="s">
        <v>44</v>
      </c>
      <c r="C225" s="11" t="s">
        <v>53</v>
      </c>
      <c r="D225" s="11" t="s">
        <v>883</v>
      </c>
      <c r="E225" s="11" t="s">
        <v>884</v>
      </c>
      <c r="F225" s="11" t="s">
        <v>228</v>
      </c>
      <c r="G225" s="11">
        <v>15.05</v>
      </c>
      <c r="H225" s="11" t="s">
        <v>120</v>
      </c>
      <c r="I225" s="12">
        <v>5494.0</v>
      </c>
      <c r="J225" s="12">
        <v>7700.0</v>
      </c>
      <c r="K225" s="12">
        <v>6600.0</v>
      </c>
      <c r="L225" s="11" t="s">
        <v>885</v>
      </c>
      <c r="M225" s="11" t="s">
        <v>886</v>
      </c>
      <c r="N225" s="11" t="s">
        <v>240</v>
      </c>
      <c r="O225" s="11" t="s">
        <v>57</v>
      </c>
      <c r="P225" s="11" t="s">
        <v>42</v>
      </c>
      <c r="Q225" s="13" t="str">
        <f>IFERROR(VLOOKUP(E225,'SF Churn Data'!E:R,14,0),"")</f>
        <v/>
      </c>
    </row>
    <row r="226" hidden="1">
      <c r="A226" s="11" t="s">
        <v>201</v>
      </c>
      <c r="B226" s="11" t="s">
        <v>44</v>
      </c>
      <c r="C226" s="11" t="s">
        <v>76</v>
      </c>
      <c r="D226" s="11" t="s">
        <v>887</v>
      </c>
      <c r="E226" s="11" t="s">
        <v>888</v>
      </c>
      <c r="F226" s="11" t="s">
        <v>228</v>
      </c>
      <c r="G226" s="11">
        <v>20.95</v>
      </c>
      <c r="H226" s="11" t="s">
        <v>120</v>
      </c>
      <c r="I226" s="12">
        <v>3950.0</v>
      </c>
      <c r="J226" s="12">
        <v>4750.0</v>
      </c>
      <c r="K226" s="12">
        <v>4600.0</v>
      </c>
      <c r="L226" s="11" t="s">
        <v>889</v>
      </c>
      <c r="M226" s="11" t="s">
        <v>890</v>
      </c>
      <c r="N226" s="11" t="s">
        <v>316</v>
      </c>
      <c r="O226" s="11" t="s">
        <v>57</v>
      </c>
      <c r="P226" s="11"/>
      <c r="Q226" s="13" t="str">
        <f>IFERROR(VLOOKUP(E226,'SF Churn Data'!E:R,14,0),"")</f>
        <v/>
      </c>
    </row>
    <row r="227" hidden="1">
      <c r="A227" s="11" t="s">
        <v>158</v>
      </c>
      <c r="B227" s="11" t="s">
        <v>44</v>
      </c>
      <c r="C227" s="11" t="s">
        <v>64</v>
      </c>
      <c r="D227" s="11" t="s">
        <v>891</v>
      </c>
      <c r="E227" s="11" t="s">
        <v>892</v>
      </c>
      <c r="F227" s="11" t="s">
        <v>228</v>
      </c>
      <c r="G227" s="11">
        <v>18.11</v>
      </c>
      <c r="H227" s="11" t="s">
        <v>120</v>
      </c>
      <c r="I227" s="12">
        <v>5516.0</v>
      </c>
      <c r="J227" s="12">
        <v>5550.0</v>
      </c>
      <c r="K227" s="11">
        <v>6700.0</v>
      </c>
      <c r="L227" s="11" t="s">
        <v>893</v>
      </c>
      <c r="M227" s="11" t="s">
        <v>894</v>
      </c>
      <c r="N227" s="11" t="s">
        <v>250</v>
      </c>
      <c r="O227" s="11" t="s">
        <v>161</v>
      </c>
      <c r="P227" s="11" t="s">
        <v>162</v>
      </c>
      <c r="Q227" s="13" t="str">
        <f>IFERROR(VLOOKUP(E227,'SF Churn Data'!E:R,14,0),"")</f>
        <v/>
      </c>
    </row>
    <row r="228" hidden="1">
      <c r="A228" s="11" t="s">
        <v>145</v>
      </c>
      <c r="B228" s="11" t="s">
        <v>45</v>
      </c>
      <c r="C228" s="11" t="s">
        <v>45</v>
      </c>
      <c r="D228" s="11" t="s">
        <v>895</v>
      </c>
      <c r="E228" s="11" t="s">
        <v>896</v>
      </c>
      <c r="F228" s="11" t="s">
        <v>228</v>
      </c>
      <c r="G228" s="11">
        <v>7.0</v>
      </c>
      <c r="H228" s="11" t="s">
        <v>45</v>
      </c>
      <c r="I228" s="12">
        <v>4215.0</v>
      </c>
      <c r="J228" s="12">
        <v>4650.0</v>
      </c>
      <c r="K228" s="12">
        <v>5100.0</v>
      </c>
      <c r="L228" s="11" t="s">
        <v>897</v>
      </c>
      <c r="M228" s="11" t="s">
        <v>898</v>
      </c>
      <c r="N228" s="11" t="s">
        <v>143</v>
      </c>
      <c r="O228" s="11" t="s">
        <v>57</v>
      </c>
      <c r="P228" s="11" t="s">
        <v>63</v>
      </c>
      <c r="Q228" s="13" t="str">
        <f>IFERROR(VLOOKUP(E228,'SF Churn Data'!E:R,14,0),"")</f>
        <v/>
      </c>
    </row>
    <row r="229" hidden="1">
      <c r="A229" s="11" t="s">
        <v>145</v>
      </c>
      <c r="B229" s="11" t="s">
        <v>44</v>
      </c>
      <c r="C229" s="11" t="s">
        <v>64</v>
      </c>
      <c r="D229" s="11" t="s">
        <v>899</v>
      </c>
      <c r="E229" s="11" t="s">
        <v>900</v>
      </c>
      <c r="F229" s="11" t="s">
        <v>228</v>
      </c>
      <c r="G229" s="11">
        <v>17.7</v>
      </c>
      <c r="H229" s="11" t="s">
        <v>56</v>
      </c>
      <c r="I229" s="12">
        <v>9022.0</v>
      </c>
      <c r="J229" s="12">
        <v>9950.0</v>
      </c>
      <c r="K229" s="11">
        <v>10900.0</v>
      </c>
      <c r="L229" s="11" t="s">
        <v>901</v>
      </c>
      <c r="M229" s="11" t="s">
        <v>902</v>
      </c>
      <c r="N229" s="11" t="s">
        <v>903</v>
      </c>
      <c r="O229" s="11" t="s">
        <v>57</v>
      </c>
      <c r="P229" s="11" t="s">
        <v>63</v>
      </c>
      <c r="Q229" s="13" t="str">
        <f>IFERROR(VLOOKUP(E229,'SF Churn Data'!E:R,14,0),"")</f>
        <v/>
      </c>
    </row>
    <row r="230" hidden="1">
      <c r="A230" s="11" t="s">
        <v>49</v>
      </c>
      <c r="B230" s="11" t="s">
        <v>44</v>
      </c>
      <c r="C230" s="11" t="s">
        <v>76</v>
      </c>
      <c r="D230" s="11" t="s">
        <v>904</v>
      </c>
      <c r="E230" s="11" t="s">
        <v>905</v>
      </c>
      <c r="F230" s="11" t="s">
        <v>228</v>
      </c>
      <c r="G230" s="11">
        <v>21.32</v>
      </c>
      <c r="H230" s="11" t="s">
        <v>168</v>
      </c>
      <c r="I230" s="12">
        <v>7320.0</v>
      </c>
      <c r="J230" s="12">
        <v>8450.0</v>
      </c>
      <c r="K230" s="11">
        <v>10400.0</v>
      </c>
      <c r="L230" s="11" t="s">
        <v>906</v>
      </c>
      <c r="M230" s="11" t="s">
        <v>907</v>
      </c>
      <c r="N230" s="11" t="s">
        <v>240</v>
      </c>
      <c r="O230" s="11" t="s">
        <v>57</v>
      </c>
      <c r="P230" s="11" t="s">
        <v>48</v>
      </c>
      <c r="Q230" s="13" t="str">
        <f>IFERROR(VLOOKUP(E230,'SF Churn Data'!E:R,14,0),"")</f>
        <v/>
      </c>
    </row>
    <row r="231" hidden="1">
      <c r="A231" s="11" t="s">
        <v>191</v>
      </c>
      <c r="B231" s="11" t="s">
        <v>44</v>
      </c>
      <c r="C231" s="11" t="s">
        <v>76</v>
      </c>
      <c r="D231" s="11" t="s">
        <v>908</v>
      </c>
      <c r="E231" s="11" t="s">
        <v>909</v>
      </c>
      <c r="F231" s="11" t="s">
        <v>228</v>
      </c>
      <c r="G231" s="11">
        <v>19.26</v>
      </c>
      <c r="H231" s="11" t="s">
        <v>120</v>
      </c>
      <c r="I231" s="12">
        <v>6600.0</v>
      </c>
      <c r="J231" s="12">
        <v>8600.0</v>
      </c>
      <c r="K231" s="12"/>
      <c r="L231" s="11" t="s">
        <v>910</v>
      </c>
      <c r="M231" s="11" t="s">
        <v>911</v>
      </c>
      <c r="N231" s="11" t="s">
        <v>903</v>
      </c>
      <c r="O231" s="11" t="s">
        <v>57</v>
      </c>
      <c r="P231" s="11" t="s">
        <v>48</v>
      </c>
      <c r="Q231" s="13" t="str">
        <f>IFERROR(VLOOKUP(E231,'SF Churn Data'!E:R,14,0),"")</f>
        <v/>
      </c>
    </row>
    <row r="232" hidden="1">
      <c r="A232" s="11" t="s">
        <v>912</v>
      </c>
      <c r="B232" s="11" t="s">
        <v>45</v>
      </c>
      <c r="C232" s="11" t="s">
        <v>45</v>
      </c>
      <c r="D232" s="11" t="s">
        <v>913</v>
      </c>
      <c r="E232" s="11" t="s">
        <v>914</v>
      </c>
      <c r="F232" s="11" t="s">
        <v>228</v>
      </c>
      <c r="G232" s="11">
        <v>10.26</v>
      </c>
      <c r="H232" s="11" t="s">
        <v>45</v>
      </c>
      <c r="I232" s="12">
        <v>2600.0</v>
      </c>
      <c r="J232" s="12">
        <v>3250.0</v>
      </c>
      <c r="K232" s="12">
        <v>3000.0</v>
      </c>
      <c r="L232" s="11" t="s">
        <v>915</v>
      </c>
      <c r="M232" s="11" t="s">
        <v>916</v>
      </c>
      <c r="N232" s="11" t="s">
        <v>403</v>
      </c>
      <c r="O232" s="11" t="s">
        <v>57</v>
      </c>
      <c r="P232" s="11" t="s">
        <v>917</v>
      </c>
      <c r="Q232" s="13" t="str">
        <f>IFERROR(VLOOKUP(E232,'SF Churn Data'!E:R,14,0),"")</f>
        <v/>
      </c>
    </row>
    <row r="233" hidden="1">
      <c r="A233" s="11" t="s">
        <v>912</v>
      </c>
      <c r="B233" s="11" t="s">
        <v>44</v>
      </c>
      <c r="C233" s="11" t="s">
        <v>133</v>
      </c>
      <c r="D233" s="11" t="s">
        <v>918</v>
      </c>
      <c r="E233" s="11" t="s">
        <v>919</v>
      </c>
      <c r="F233" s="11" t="s">
        <v>228</v>
      </c>
      <c r="G233" s="11">
        <v>14.71</v>
      </c>
      <c r="H233" s="11" t="s">
        <v>56</v>
      </c>
      <c r="I233" s="12">
        <v>4650.0</v>
      </c>
      <c r="J233" s="12">
        <v>5850.0</v>
      </c>
      <c r="K233" s="11">
        <v>5400.0</v>
      </c>
      <c r="L233" s="11" t="s">
        <v>920</v>
      </c>
      <c r="M233" s="11" t="s">
        <v>916</v>
      </c>
      <c r="N233" s="11" t="s">
        <v>403</v>
      </c>
      <c r="O233" s="11" t="s">
        <v>57</v>
      </c>
      <c r="P233" s="11" t="s">
        <v>917</v>
      </c>
      <c r="Q233" s="13" t="str">
        <f>IFERROR(VLOOKUP(E233,'SF Churn Data'!E:R,14,0),"")</f>
        <v/>
      </c>
    </row>
    <row r="234" hidden="1">
      <c r="A234" s="11" t="s">
        <v>154</v>
      </c>
      <c r="B234" s="11" t="s">
        <v>44</v>
      </c>
      <c r="C234" s="11" t="s">
        <v>53</v>
      </c>
      <c r="D234" s="11" t="s">
        <v>921</v>
      </c>
      <c r="E234" s="11" t="s">
        <v>922</v>
      </c>
      <c r="F234" s="11" t="s">
        <v>228</v>
      </c>
      <c r="G234" s="11">
        <v>16.0</v>
      </c>
      <c r="H234" s="11" t="s">
        <v>56</v>
      </c>
      <c r="I234" s="12">
        <v>4799.0</v>
      </c>
      <c r="J234" s="12">
        <v>6750.0</v>
      </c>
      <c r="K234" s="12">
        <v>5800.0</v>
      </c>
      <c r="L234" s="11" t="s">
        <v>923</v>
      </c>
      <c r="M234" s="11" t="s">
        <v>924</v>
      </c>
      <c r="N234" s="11" t="s">
        <v>338</v>
      </c>
      <c r="O234" s="11" t="s">
        <v>151</v>
      </c>
      <c r="P234" s="11" t="s">
        <v>157</v>
      </c>
      <c r="Q234" s="13" t="str">
        <f>IFERROR(VLOOKUP(E234,'SF Churn Data'!E:R,14,0),"")</f>
        <v/>
      </c>
    </row>
    <row r="235" hidden="1">
      <c r="A235" s="11" t="s">
        <v>112</v>
      </c>
      <c r="B235" s="11" t="s">
        <v>45</v>
      </c>
      <c r="C235" s="11" t="s">
        <v>45</v>
      </c>
      <c r="D235" s="11" t="s">
        <v>925</v>
      </c>
      <c r="E235" s="11" t="s">
        <v>926</v>
      </c>
      <c r="F235" s="11" t="s">
        <v>228</v>
      </c>
      <c r="G235" s="11">
        <v>12.2</v>
      </c>
      <c r="H235" s="11" t="s">
        <v>45</v>
      </c>
      <c r="I235" s="12">
        <v>3257.0</v>
      </c>
      <c r="J235" s="12">
        <v>4600.0</v>
      </c>
      <c r="K235" s="12">
        <v>4000.0</v>
      </c>
      <c r="L235" s="11" t="s">
        <v>927</v>
      </c>
      <c r="M235" s="11" t="s">
        <v>928</v>
      </c>
      <c r="N235" s="11" t="s">
        <v>403</v>
      </c>
      <c r="O235" s="11" t="s">
        <v>198</v>
      </c>
      <c r="P235" s="11" t="s">
        <v>42</v>
      </c>
      <c r="Q235" s="13" t="str">
        <f>IFERROR(VLOOKUP(E235,'SF Churn Data'!E:R,14,0),"")</f>
        <v/>
      </c>
    </row>
    <row r="236" hidden="1">
      <c r="A236" s="11" t="s">
        <v>154</v>
      </c>
      <c r="B236" s="11" t="s">
        <v>45</v>
      </c>
      <c r="C236" s="11" t="s">
        <v>45</v>
      </c>
      <c r="D236" s="11" t="s">
        <v>929</v>
      </c>
      <c r="E236" s="11" t="s">
        <v>930</v>
      </c>
      <c r="F236" s="11" t="s">
        <v>228</v>
      </c>
      <c r="G236" s="11">
        <v>13.0</v>
      </c>
      <c r="H236" s="11" t="s">
        <v>45</v>
      </c>
      <c r="I236" s="12">
        <v>3580.0</v>
      </c>
      <c r="J236" s="12">
        <v>5050.0</v>
      </c>
      <c r="K236" s="11">
        <v>4350.0</v>
      </c>
      <c r="L236" s="11" t="s">
        <v>931</v>
      </c>
      <c r="M236" s="11" t="s">
        <v>932</v>
      </c>
      <c r="N236" s="11" t="s">
        <v>316</v>
      </c>
      <c r="O236" s="11" t="s">
        <v>151</v>
      </c>
      <c r="P236" s="11" t="s">
        <v>157</v>
      </c>
      <c r="Q236" s="13" t="str">
        <f>IFERROR(VLOOKUP(E236,'SF Churn Data'!E:R,14,0),"")</f>
        <v/>
      </c>
    </row>
    <row r="237" hidden="1">
      <c r="A237" s="11" t="s">
        <v>49</v>
      </c>
      <c r="B237" s="11" t="s">
        <v>45</v>
      </c>
      <c r="C237" s="11" t="s">
        <v>50</v>
      </c>
      <c r="D237" s="11" t="s">
        <v>933</v>
      </c>
      <c r="E237" s="11" t="s">
        <v>934</v>
      </c>
      <c r="F237" s="11" t="s">
        <v>228</v>
      </c>
      <c r="G237" s="11">
        <v>8.94</v>
      </c>
      <c r="H237" s="11" t="s">
        <v>40</v>
      </c>
      <c r="I237" s="12">
        <v>3551.0</v>
      </c>
      <c r="J237" s="12">
        <v>4100.0</v>
      </c>
      <c r="K237" s="11">
        <v>4350.0</v>
      </c>
      <c r="L237" s="11" t="s">
        <v>935</v>
      </c>
      <c r="M237" s="11" t="s">
        <v>936</v>
      </c>
      <c r="N237" s="11" t="s">
        <v>403</v>
      </c>
      <c r="O237" s="11" t="s">
        <v>41</v>
      </c>
      <c r="P237" s="11" t="s">
        <v>48</v>
      </c>
      <c r="Q237" s="13" t="str">
        <f>IFERROR(VLOOKUP(E237,'SF Churn Data'!E:R,14,0),"")</f>
        <v/>
      </c>
    </row>
    <row r="238" hidden="1">
      <c r="A238" s="11" t="s">
        <v>148</v>
      </c>
      <c r="B238" s="11" t="s">
        <v>44</v>
      </c>
      <c r="C238" s="11" t="s">
        <v>76</v>
      </c>
      <c r="D238" s="11" t="s">
        <v>937</v>
      </c>
      <c r="E238" s="11" t="s">
        <v>938</v>
      </c>
      <c r="F238" s="11" t="s">
        <v>228</v>
      </c>
      <c r="G238" s="11">
        <v>21.9</v>
      </c>
      <c r="H238" s="11" t="s">
        <v>56</v>
      </c>
      <c r="I238" s="12">
        <v>8349.0</v>
      </c>
      <c r="J238" s="12">
        <v>8350.0</v>
      </c>
      <c r="K238" s="11">
        <v>10050.0</v>
      </c>
      <c r="L238" s="11" t="s">
        <v>939</v>
      </c>
      <c r="M238" s="11" t="s">
        <v>940</v>
      </c>
      <c r="N238" s="11" t="s">
        <v>338</v>
      </c>
      <c r="O238" s="11" t="s">
        <v>151</v>
      </c>
      <c r="P238" s="11" t="s">
        <v>48</v>
      </c>
      <c r="Q238" s="13" t="str">
        <f>IFERROR(VLOOKUP(E238,'SF Churn Data'!E:R,14,0),"")</f>
        <v/>
      </c>
    </row>
    <row r="239" hidden="1">
      <c r="A239" s="11" t="s">
        <v>191</v>
      </c>
      <c r="B239" s="11" t="s">
        <v>44</v>
      </c>
      <c r="C239" s="11" t="s">
        <v>180</v>
      </c>
      <c r="D239" s="11" t="s">
        <v>941</v>
      </c>
      <c r="E239" s="11" t="s">
        <v>942</v>
      </c>
      <c r="F239" s="11" t="s">
        <v>228</v>
      </c>
      <c r="G239" s="11">
        <v>23.3</v>
      </c>
      <c r="H239" s="11" t="s">
        <v>168</v>
      </c>
      <c r="I239" s="12">
        <v>6900.0</v>
      </c>
      <c r="J239" s="12">
        <v>9000.0</v>
      </c>
      <c r="K239" s="12"/>
      <c r="L239" s="11" t="s">
        <v>943</v>
      </c>
      <c r="M239" s="11" t="s">
        <v>944</v>
      </c>
      <c r="N239" s="11" t="s">
        <v>131</v>
      </c>
      <c r="O239" s="11" t="s">
        <v>57</v>
      </c>
      <c r="P239" s="11" t="s">
        <v>48</v>
      </c>
      <c r="Q239" s="13" t="str">
        <f>IFERROR(VLOOKUP(E239,'SF Churn Data'!E:R,14,0),"")</f>
        <v/>
      </c>
    </row>
    <row r="240" hidden="1">
      <c r="A240" s="11" t="s">
        <v>912</v>
      </c>
      <c r="B240" s="11" t="s">
        <v>45</v>
      </c>
      <c r="C240" s="11" t="s">
        <v>45</v>
      </c>
      <c r="D240" s="11" t="s">
        <v>945</v>
      </c>
      <c r="E240" s="11" t="s">
        <v>946</v>
      </c>
      <c r="F240" s="11" t="s">
        <v>228</v>
      </c>
      <c r="G240" s="11">
        <v>9.05</v>
      </c>
      <c r="H240" s="11" t="s">
        <v>45</v>
      </c>
      <c r="I240" s="12">
        <v>2600.0</v>
      </c>
      <c r="J240" s="12">
        <v>3250.0</v>
      </c>
      <c r="K240" s="12">
        <v>3000.0</v>
      </c>
      <c r="L240" s="11" t="s">
        <v>947</v>
      </c>
      <c r="M240" s="11" t="s">
        <v>948</v>
      </c>
      <c r="N240" s="11" t="s">
        <v>316</v>
      </c>
      <c r="O240" s="11" t="s">
        <v>57</v>
      </c>
      <c r="P240" s="11" t="s">
        <v>917</v>
      </c>
      <c r="Q240" s="13" t="str">
        <f>IFERROR(VLOOKUP(E240,'SF Churn Data'!E:R,14,0),"")</f>
        <v/>
      </c>
    </row>
    <row r="241" hidden="1">
      <c r="A241" s="11" t="s">
        <v>912</v>
      </c>
      <c r="B241" s="11" t="s">
        <v>44</v>
      </c>
      <c r="C241" s="11" t="s">
        <v>113</v>
      </c>
      <c r="D241" s="11" t="s">
        <v>949</v>
      </c>
      <c r="E241" s="11" t="s">
        <v>950</v>
      </c>
      <c r="F241" s="11" t="s">
        <v>228</v>
      </c>
      <c r="G241" s="11">
        <v>10.01</v>
      </c>
      <c r="H241" s="11" t="s">
        <v>116</v>
      </c>
      <c r="I241" s="12">
        <v>3900.0</v>
      </c>
      <c r="J241" s="12">
        <v>4900.0</v>
      </c>
      <c r="K241" s="12">
        <v>4500.0</v>
      </c>
      <c r="L241" s="11" t="s">
        <v>951</v>
      </c>
      <c r="M241" s="11" t="s">
        <v>952</v>
      </c>
      <c r="N241" s="11" t="s">
        <v>316</v>
      </c>
      <c r="O241" s="11" t="s">
        <v>57</v>
      </c>
      <c r="P241" s="11" t="s">
        <v>917</v>
      </c>
      <c r="Q241" s="13" t="str">
        <f>IFERROR(VLOOKUP(E241,'SF Churn Data'!E:R,14,0),"")</f>
        <v/>
      </c>
    </row>
    <row r="242" hidden="1">
      <c r="A242" s="11" t="s">
        <v>912</v>
      </c>
      <c r="B242" s="11" t="s">
        <v>44</v>
      </c>
      <c r="C242" s="11" t="s">
        <v>113</v>
      </c>
      <c r="D242" s="11" t="s">
        <v>953</v>
      </c>
      <c r="E242" s="11" t="s">
        <v>954</v>
      </c>
      <c r="F242" s="11" t="s">
        <v>228</v>
      </c>
      <c r="G242" s="11">
        <v>10.01</v>
      </c>
      <c r="H242" s="11" t="s">
        <v>116</v>
      </c>
      <c r="I242" s="12">
        <v>3900.0</v>
      </c>
      <c r="J242" s="12">
        <v>4900.0</v>
      </c>
      <c r="K242" s="12">
        <v>4500.0</v>
      </c>
      <c r="L242" s="11" t="s">
        <v>955</v>
      </c>
      <c r="M242" s="11" t="s">
        <v>956</v>
      </c>
      <c r="N242" s="11" t="s">
        <v>316</v>
      </c>
      <c r="O242" s="11" t="s">
        <v>57</v>
      </c>
      <c r="P242" s="11" t="s">
        <v>917</v>
      </c>
      <c r="Q242" s="13" t="str">
        <f>IFERROR(VLOOKUP(E242,'SF Churn Data'!E:R,14,0),"")</f>
        <v/>
      </c>
    </row>
    <row r="243" hidden="1">
      <c r="A243" s="11" t="s">
        <v>912</v>
      </c>
      <c r="B243" s="11" t="s">
        <v>45</v>
      </c>
      <c r="C243" s="11" t="s">
        <v>45</v>
      </c>
      <c r="D243" s="11" t="s">
        <v>957</v>
      </c>
      <c r="E243" s="11" t="s">
        <v>958</v>
      </c>
      <c r="F243" s="11" t="s">
        <v>228</v>
      </c>
      <c r="G243" s="11">
        <v>7.67</v>
      </c>
      <c r="H243" s="11" t="s">
        <v>45</v>
      </c>
      <c r="I243" s="12">
        <v>2600.0</v>
      </c>
      <c r="J243" s="12">
        <v>3250.0</v>
      </c>
      <c r="K243" s="11">
        <v>3000.0</v>
      </c>
      <c r="L243" s="11" t="s">
        <v>959</v>
      </c>
      <c r="M243" s="11" t="s">
        <v>960</v>
      </c>
      <c r="N243" s="11" t="s">
        <v>316</v>
      </c>
      <c r="O243" s="11" t="s">
        <v>57</v>
      </c>
      <c r="P243" s="11" t="s">
        <v>917</v>
      </c>
      <c r="Q243" s="13" t="str">
        <f>IFERROR(VLOOKUP(E243,'SF Churn Data'!E:R,14,0),"")</f>
        <v/>
      </c>
    </row>
    <row r="244" hidden="1">
      <c r="A244" s="11" t="s">
        <v>912</v>
      </c>
      <c r="B244" s="11" t="s">
        <v>44</v>
      </c>
      <c r="C244" s="11" t="s">
        <v>53</v>
      </c>
      <c r="D244" s="11" t="s">
        <v>961</v>
      </c>
      <c r="E244" s="11" t="s">
        <v>962</v>
      </c>
      <c r="F244" s="11" t="s">
        <v>228</v>
      </c>
      <c r="G244" s="11">
        <v>17.54</v>
      </c>
      <c r="H244" s="11" t="s">
        <v>120</v>
      </c>
      <c r="I244" s="12">
        <v>4900.0</v>
      </c>
      <c r="J244" s="12">
        <v>6150.0</v>
      </c>
      <c r="K244" s="12">
        <v>5700.0</v>
      </c>
      <c r="L244" s="11" t="s">
        <v>963</v>
      </c>
      <c r="M244" s="11" t="s">
        <v>964</v>
      </c>
      <c r="N244" s="11" t="s">
        <v>316</v>
      </c>
      <c r="O244" s="11" t="s">
        <v>57</v>
      </c>
      <c r="P244" s="11" t="s">
        <v>917</v>
      </c>
      <c r="Q244" s="13" t="str">
        <f>IFERROR(VLOOKUP(E244,'SF Churn Data'!E:R,14,0),"")</f>
        <v/>
      </c>
    </row>
    <row r="245" hidden="1">
      <c r="A245" s="11" t="s">
        <v>912</v>
      </c>
      <c r="B245" s="11" t="s">
        <v>44</v>
      </c>
      <c r="C245" s="11" t="s">
        <v>965</v>
      </c>
      <c r="D245" s="11" t="s">
        <v>966</v>
      </c>
      <c r="E245" s="11" t="s">
        <v>967</v>
      </c>
      <c r="F245" s="11" t="s">
        <v>228</v>
      </c>
      <c r="G245" s="11">
        <v>18.58</v>
      </c>
      <c r="H245" s="11" t="s">
        <v>168</v>
      </c>
      <c r="I245" s="12">
        <v>5285.0</v>
      </c>
      <c r="J245" s="12">
        <v>6650.0</v>
      </c>
      <c r="K245" s="12">
        <v>6600.0</v>
      </c>
      <c r="L245" s="11" t="s">
        <v>968</v>
      </c>
      <c r="M245" s="11" t="s">
        <v>969</v>
      </c>
      <c r="N245" s="11" t="s">
        <v>316</v>
      </c>
      <c r="O245" s="11" t="s">
        <v>57</v>
      </c>
      <c r="P245" s="11" t="s">
        <v>917</v>
      </c>
      <c r="Q245" s="13" t="str">
        <f>IFERROR(VLOOKUP(E245,'SF Churn Data'!E:R,14,0),"")</f>
        <v/>
      </c>
    </row>
    <row r="246" hidden="1">
      <c r="A246" s="11" t="s">
        <v>912</v>
      </c>
      <c r="B246" s="11" t="s">
        <v>44</v>
      </c>
      <c r="C246" s="11" t="s">
        <v>53</v>
      </c>
      <c r="D246" s="11" t="s">
        <v>970</v>
      </c>
      <c r="E246" s="11" t="s">
        <v>971</v>
      </c>
      <c r="F246" s="11" t="s">
        <v>228</v>
      </c>
      <c r="G246" s="11">
        <v>16.2</v>
      </c>
      <c r="H246" s="11" t="s">
        <v>120</v>
      </c>
      <c r="I246" s="12">
        <v>4900.0</v>
      </c>
      <c r="J246" s="12">
        <v>6150.0</v>
      </c>
      <c r="K246" s="12">
        <v>5700.0</v>
      </c>
      <c r="L246" s="11" t="s">
        <v>972</v>
      </c>
      <c r="M246" s="11" t="s">
        <v>973</v>
      </c>
      <c r="N246" s="11" t="s">
        <v>316</v>
      </c>
      <c r="O246" s="11" t="s">
        <v>57</v>
      </c>
      <c r="P246" s="11" t="s">
        <v>917</v>
      </c>
      <c r="Q246" s="13" t="str">
        <f>IFERROR(VLOOKUP(E246,'SF Churn Data'!E:R,14,0),"")</f>
        <v/>
      </c>
    </row>
    <row r="247" hidden="1">
      <c r="A247" s="11" t="s">
        <v>225</v>
      </c>
      <c r="B247" s="11" t="s">
        <v>44</v>
      </c>
      <c r="C247" s="11" t="s">
        <v>133</v>
      </c>
      <c r="D247" s="11" t="s">
        <v>974</v>
      </c>
      <c r="E247" s="11" t="s">
        <v>975</v>
      </c>
      <c r="F247" s="11" t="s">
        <v>228</v>
      </c>
      <c r="G247" s="11">
        <v>14.16</v>
      </c>
      <c r="H247" s="11" t="s">
        <v>56</v>
      </c>
      <c r="I247" s="12">
        <v>4650.0</v>
      </c>
      <c r="J247" s="12">
        <v>6050.0</v>
      </c>
      <c r="K247" s="12">
        <v>5400.0</v>
      </c>
      <c r="L247" s="11" t="s">
        <v>976</v>
      </c>
      <c r="M247" s="11" t="s">
        <v>977</v>
      </c>
      <c r="N247" s="11" t="s">
        <v>403</v>
      </c>
      <c r="O247" s="11" t="s">
        <v>161</v>
      </c>
      <c r="P247" s="11" t="s">
        <v>162</v>
      </c>
      <c r="Q247" s="13" t="str">
        <f>IFERROR(VLOOKUP(E247,'SF Churn Data'!E:R,14,0),"")</f>
        <v/>
      </c>
    </row>
    <row r="248" hidden="1">
      <c r="A248" s="11" t="s">
        <v>282</v>
      </c>
      <c r="B248" s="11" t="s">
        <v>44</v>
      </c>
      <c r="C248" s="11" t="s">
        <v>113</v>
      </c>
      <c r="D248" s="11" t="s">
        <v>978</v>
      </c>
      <c r="E248" s="11" t="s">
        <v>979</v>
      </c>
      <c r="F248" s="11" t="s">
        <v>228</v>
      </c>
      <c r="G248" s="11">
        <v>11.61</v>
      </c>
      <c r="H248" s="11" t="s">
        <v>56</v>
      </c>
      <c r="I248" s="12">
        <v>4188.0</v>
      </c>
      <c r="J248" s="12">
        <v>5050.0</v>
      </c>
      <c r="K248" s="12">
        <v>5050.0</v>
      </c>
      <c r="L248" s="11" t="s">
        <v>980</v>
      </c>
      <c r="M248" s="11" t="s">
        <v>981</v>
      </c>
      <c r="N248" s="11" t="s">
        <v>903</v>
      </c>
      <c r="O248" s="11" t="s">
        <v>41</v>
      </c>
      <c r="P248" s="11" t="s">
        <v>63</v>
      </c>
      <c r="Q248" s="13" t="str">
        <f>IFERROR(VLOOKUP(E248,'SF Churn Data'!E:R,14,0),"")</f>
        <v/>
      </c>
    </row>
    <row r="249" hidden="1">
      <c r="A249" s="11" t="s">
        <v>191</v>
      </c>
      <c r="B249" s="11" t="s">
        <v>44</v>
      </c>
      <c r="C249" s="11" t="s">
        <v>76</v>
      </c>
      <c r="D249" s="11" t="s">
        <v>982</v>
      </c>
      <c r="E249" s="11" t="s">
        <v>983</v>
      </c>
      <c r="F249" s="11" t="s">
        <v>228</v>
      </c>
      <c r="G249" s="11">
        <v>20.1</v>
      </c>
      <c r="H249" s="11" t="s">
        <v>120</v>
      </c>
      <c r="I249" s="12">
        <v>6600.0</v>
      </c>
      <c r="J249" s="12">
        <v>8600.0</v>
      </c>
      <c r="K249" s="12"/>
      <c r="L249" s="11" t="s">
        <v>984</v>
      </c>
      <c r="M249" s="11" t="s">
        <v>985</v>
      </c>
      <c r="N249" s="11" t="s">
        <v>403</v>
      </c>
      <c r="O249" s="11" t="s">
        <v>613</v>
      </c>
      <c r="P249" s="11" t="s">
        <v>48</v>
      </c>
      <c r="Q249" s="13" t="str">
        <f>IFERROR(VLOOKUP(E249,'SF Churn Data'!E:R,14,0),"")</f>
        <v/>
      </c>
    </row>
    <row r="250" hidden="1">
      <c r="A250" s="11" t="s">
        <v>225</v>
      </c>
      <c r="B250" s="11" t="s">
        <v>44</v>
      </c>
      <c r="C250" s="11" t="s">
        <v>113</v>
      </c>
      <c r="D250" s="11" t="s">
        <v>986</v>
      </c>
      <c r="E250" s="11" t="s">
        <v>987</v>
      </c>
      <c r="F250" s="11" t="s">
        <v>228</v>
      </c>
      <c r="G250" s="11">
        <v>12.7</v>
      </c>
      <c r="H250" s="11" t="s">
        <v>56</v>
      </c>
      <c r="I250" s="12">
        <v>4150.0</v>
      </c>
      <c r="J250" s="12">
        <v>5400.0</v>
      </c>
      <c r="K250" s="11">
        <v>4800.0</v>
      </c>
      <c r="L250" s="11" t="s">
        <v>988</v>
      </c>
      <c r="M250" s="11" t="s">
        <v>977</v>
      </c>
      <c r="N250" s="11" t="s">
        <v>403</v>
      </c>
      <c r="O250" s="11" t="s">
        <v>161</v>
      </c>
      <c r="P250" s="11" t="s">
        <v>162</v>
      </c>
      <c r="Q250" s="13" t="str">
        <f>IFERROR(VLOOKUP(E250,'SF Churn Data'!E:R,14,0),"")</f>
        <v/>
      </c>
    </row>
    <row r="251" hidden="1">
      <c r="A251" s="11" t="s">
        <v>138</v>
      </c>
      <c r="B251" s="11" t="s">
        <v>44</v>
      </c>
      <c r="C251" s="11" t="s">
        <v>64</v>
      </c>
      <c r="D251" s="11" t="s">
        <v>989</v>
      </c>
      <c r="E251" s="11" t="s">
        <v>990</v>
      </c>
      <c r="F251" s="11" t="s">
        <v>228</v>
      </c>
      <c r="G251" s="11">
        <v>17.89</v>
      </c>
      <c r="H251" s="11" t="s">
        <v>120</v>
      </c>
      <c r="I251" s="12">
        <v>3944.0</v>
      </c>
      <c r="J251" s="12">
        <v>5750.0</v>
      </c>
      <c r="K251" s="12">
        <v>4750.0</v>
      </c>
      <c r="L251" s="11" t="s">
        <v>991</v>
      </c>
      <c r="M251" s="11" t="s">
        <v>992</v>
      </c>
      <c r="N251" s="11" t="s">
        <v>403</v>
      </c>
      <c r="O251" s="11" t="s">
        <v>57</v>
      </c>
      <c r="P251" s="11" t="s">
        <v>144</v>
      </c>
      <c r="Q251" s="13" t="str">
        <f>IFERROR(VLOOKUP(E251,'SF Churn Data'!E:R,14,0),"")</f>
        <v/>
      </c>
    </row>
    <row r="252" hidden="1">
      <c r="A252" s="11" t="s">
        <v>154</v>
      </c>
      <c r="B252" s="11" t="s">
        <v>44</v>
      </c>
      <c r="C252" s="11" t="s">
        <v>76</v>
      </c>
      <c r="D252" s="11" t="s">
        <v>993</v>
      </c>
      <c r="E252" s="11" t="s">
        <v>994</v>
      </c>
      <c r="F252" s="11" t="s">
        <v>228</v>
      </c>
      <c r="G252" s="11">
        <v>20.1</v>
      </c>
      <c r="H252" s="11" t="s">
        <v>56</v>
      </c>
      <c r="I252" s="12">
        <v>6090.0</v>
      </c>
      <c r="J252" s="12">
        <v>8550.0</v>
      </c>
      <c r="K252" s="11">
        <v>7350.0</v>
      </c>
      <c r="L252" s="11" t="s">
        <v>995</v>
      </c>
      <c r="M252" s="11" t="s">
        <v>996</v>
      </c>
      <c r="N252" s="11" t="s">
        <v>250</v>
      </c>
      <c r="O252" s="11" t="s">
        <v>151</v>
      </c>
      <c r="P252" s="11" t="s">
        <v>157</v>
      </c>
      <c r="Q252" s="13" t="str">
        <f>IFERROR(VLOOKUP(E252,'SF Churn Data'!E:R,14,0),"")</f>
        <v/>
      </c>
    </row>
    <row r="253" hidden="1">
      <c r="A253" s="11" t="s">
        <v>216</v>
      </c>
      <c r="B253" s="11" t="s">
        <v>44</v>
      </c>
      <c r="C253" s="11" t="s">
        <v>151</v>
      </c>
      <c r="D253" s="11" t="s">
        <v>997</v>
      </c>
      <c r="E253" s="11" t="s">
        <v>998</v>
      </c>
      <c r="F253" s="11" t="s">
        <v>228</v>
      </c>
      <c r="G253" s="11">
        <v>23.93</v>
      </c>
      <c r="H253" s="11" t="s">
        <v>168</v>
      </c>
      <c r="I253" s="12">
        <v>6771.0</v>
      </c>
      <c r="J253" s="12">
        <v>9500.0</v>
      </c>
      <c r="K253" s="11">
        <v>8200.0</v>
      </c>
      <c r="L253" s="11" t="s">
        <v>999</v>
      </c>
      <c r="M253" s="11" t="s">
        <v>1000</v>
      </c>
      <c r="N253" s="11" t="s">
        <v>1001</v>
      </c>
      <c r="O253" s="11" t="s">
        <v>57</v>
      </c>
      <c r="P253" s="11" t="s">
        <v>42</v>
      </c>
      <c r="Q253" s="13" t="str">
        <f>IFERROR(VLOOKUP(E253,'SF Churn Data'!E:R,14,0),"")</f>
        <v/>
      </c>
    </row>
    <row r="254" hidden="1">
      <c r="A254" s="11" t="s">
        <v>49</v>
      </c>
      <c r="B254" s="11" t="s">
        <v>44</v>
      </c>
      <c r="C254" s="11" t="s">
        <v>53</v>
      </c>
      <c r="D254" s="11" t="s">
        <v>1002</v>
      </c>
      <c r="E254" s="11" t="s">
        <v>1003</v>
      </c>
      <c r="F254" s="11" t="s">
        <v>228</v>
      </c>
      <c r="G254" s="11">
        <v>15.47</v>
      </c>
      <c r="H254" s="11" t="s">
        <v>56</v>
      </c>
      <c r="I254" s="12">
        <v>6445.0</v>
      </c>
      <c r="J254" s="12">
        <v>7450.0</v>
      </c>
      <c r="K254" s="11">
        <v>7750.0</v>
      </c>
      <c r="L254" s="11" t="s">
        <v>1004</v>
      </c>
      <c r="M254" s="11" t="s">
        <v>1005</v>
      </c>
      <c r="N254" s="11" t="s">
        <v>903</v>
      </c>
      <c r="O254" s="11" t="s">
        <v>83</v>
      </c>
      <c r="P254" s="11" t="s">
        <v>48</v>
      </c>
      <c r="Q254" s="13" t="str">
        <f>IFERROR(VLOOKUP(E254,'SF Churn Data'!E:R,14,0),"")</f>
        <v/>
      </c>
    </row>
    <row r="255" hidden="1">
      <c r="A255" s="11" t="s">
        <v>216</v>
      </c>
      <c r="B255" s="11" t="s">
        <v>44</v>
      </c>
      <c r="C255" s="11" t="s">
        <v>133</v>
      </c>
      <c r="D255" s="11" t="s">
        <v>1006</v>
      </c>
      <c r="E255" s="11" t="s">
        <v>1007</v>
      </c>
      <c r="F255" s="11" t="s">
        <v>228</v>
      </c>
      <c r="G255" s="11">
        <v>14.55</v>
      </c>
      <c r="H255" s="11" t="s">
        <v>56</v>
      </c>
      <c r="I255" s="12">
        <v>5323.0</v>
      </c>
      <c r="J255" s="12">
        <v>7500.0</v>
      </c>
      <c r="K255" s="12">
        <v>6450.0</v>
      </c>
      <c r="L255" s="11" t="s">
        <v>1008</v>
      </c>
      <c r="M255" s="11" t="s">
        <v>1009</v>
      </c>
      <c r="N255" s="11" t="s">
        <v>903</v>
      </c>
      <c r="O255" s="11" t="s">
        <v>57</v>
      </c>
      <c r="P255" s="11" t="s">
        <v>42</v>
      </c>
      <c r="Q255" s="13" t="str">
        <f>IFERROR(VLOOKUP(E255,'SF Churn Data'!E:R,14,0),"")</f>
        <v/>
      </c>
    </row>
    <row r="256" hidden="1">
      <c r="A256" s="11" t="s">
        <v>191</v>
      </c>
      <c r="B256" s="11" t="s">
        <v>44</v>
      </c>
      <c r="C256" s="11" t="s">
        <v>64</v>
      </c>
      <c r="D256" s="11" t="s">
        <v>1010</v>
      </c>
      <c r="E256" s="11" t="s">
        <v>1011</v>
      </c>
      <c r="F256" s="11" t="s">
        <v>228</v>
      </c>
      <c r="G256" s="11">
        <v>18.39</v>
      </c>
      <c r="H256" s="11" t="s">
        <v>120</v>
      </c>
      <c r="I256" s="12">
        <v>6200.0</v>
      </c>
      <c r="J256" s="12">
        <v>8100.0</v>
      </c>
      <c r="K256" s="11"/>
      <c r="L256" s="11" t="s">
        <v>1012</v>
      </c>
      <c r="M256" s="11" t="s">
        <v>1013</v>
      </c>
      <c r="N256" s="11" t="s">
        <v>1001</v>
      </c>
      <c r="O256" s="11" t="s">
        <v>57</v>
      </c>
      <c r="P256" s="11" t="s">
        <v>48</v>
      </c>
      <c r="Q256" s="13" t="str">
        <f>IFERROR(VLOOKUP(E256,'SF Churn Data'!E:R,14,0),"")</f>
        <v/>
      </c>
    </row>
    <row r="257" hidden="1">
      <c r="A257" s="11" t="s">
        <v>138</v>
      </c>
      <c r="B257" s="11" t="s">
        <v>44</v>
      </c>
      <c r="C257" s="11" t="s">
        <v>151</v>
      </c>
      <c r="D257" s="11" t="s">
        <v>1014</v>
      </c>
      <c r="E257" s="11" t="s">
        <v>1015</v>
      </c>
      <c r="F257" s="11" t="s">
        <v>228</v>
      </c>
      <c r="G257" s="11">
        <v>27.89</v>
      </c>
      <c r="H257" s="11" t="s">
        <v>168</v>
      </c>
      <c r="I257" s="12">
        <v>4973.0</v>
      </c>
      <c r="J257" s="12">
        <v>7250.0</v>
      </c>
      <c r="K257" s="12">
        <v>6000.0</v>
      </c>
      <c r="L257" s="11" t="s">
        <v>1016</v>
      </c>
      <c r="M257" s="11" t="s">
        <v>1017</v>
      </c>
      <c r="N257" s="11" t="s">
        <v>403</v>
      </c>
      <c r="O257" s="11" t="s">
        <v>41</v>
      </c>
      <c r="P257" s="11" t="s">
        <v>144</v>
      </c>
      <c r="Q257" s="13" t="str">
        <f>IFERROR(VLOOKUP(E257,'SF Churn Data'!E:R,14,0),"")</f>
        <v/>
      </c>
    </row>
    <row r="258" hidden="1">
      <c r="A258" s="11" t="s">
        <v>282</v>
      </c>
      <c r="B258" s="11" t="s">
        <v>44</v>
      </c>
      <c r="C258" s="11" t="s">
        <v>113</v>
      </c>
      <c r="D258" s="11" t="s">
        <v>1018</v>
      </c>
      <c r="E258" s="11" t="s">
        <v>1019</v>
      </c>
      <c r="F258" s="11" t="s">
        <v>228</v>
      </c>
      <c r="G258" s="11">
        <v>12.92</v>
      </c>
      <c r="H258" s="11" t="s">
        <v>56</v>
      </c>
      <c r="I258" s="12">
        <v>4188.0</v>
      </c>
      <c r="J258" s="12">
        <v>5050.0</v>
      </c>
      <c r="K258" s="11">
        <v>5050.0</v>
      </c>
      <c r="L258" s="11" t="s">
        <v>1020</v>
      </c>
      <c r="M258" s="11" t="s">
        <v>1021</v>
      </c>
      <c r="N258" s="11" t="s">
        <v>131</v>
      </c>
      <c r="O258" s="11" t="s">
        <v>57</v>
      </c>
      <c r="P258" s="11" t="s">
        <v>63</v>
      </c>
      <c r="Q258" s="13" t="str">
        <f>IFERROR(VLOOKUP(E258,'SF Churn Data'!E:R,14,0),"")</f>
        <v/>
      </c>
    </row>
    <row r="259" hidden="1">
      <c r="A259" s="11" t="s">
        <v>43</v>
      </c>
      <c r="B259" s="11" t="s">
        <v>44</v>
      </c>
      <c r="C259" s="11" t="s">
        <v>76</v>
      </c>
      <c r="D259" s="11" t="s">
        <v>1022</v>
      </c>
      <c r="E259" s="11" t="s">
        <v>1023</v>
      </c>
      <c r="F259" s="11" t="s">
        <v>228</v>
      </c>
      <c r="G259" s="11">
        <v>21.27</v>
      </c>
      <c r="H259" s="11" t="s">
        <v>120</v>
      </c>
      <c r="I259" s="12">
        <v>7200.0</v>
      </c>
      <c r="J259" s="12">
        <v>8650.0</v>
      </c>
      <c r="K259" s="11"/>
      <c r="L259" s="11" t="s">
        <v>1024</v>
      </c>
      <c r="M259" s="11" t="s">
        <v>265</v>
      </c>
      <c r="N259" s="11" t="s">
        <v>240</v>
      </c>
      <c r="O259" s="11" t="s">
        <v>57</v>
      </c>
      <c r="P259" s="11" t="s">
        <v>48</v>
      </c>
      <c r="Q259" s="13" t="str">
        <f>IFERROR(VLOOKUP(E259,'SF Churn Data'!E:R,14,0),"")</f>
        <v/>
      </c>
    </row>
    <row r="260" hidden="1">
      <c r="A260" s="11" t="s">
        <v>138</v>
      </c>
      <c r="B260" s="11" t="s">
        <v>44</v>
      </c>
      <c r="C260" s="11" t="s">
        <v>53</v>
      </c>
      <c r="D260" s="11" t="s">
        <v>1025</v>
      </c>
      <c r="E260" s="11" t="s">
        <v>1026</v>
      </c>
      <c r="F260" s="11" t="s">
        <v>228</v>
      </c>
      <c r="G260" s="11">
        <v>16.41</v>
      </c>
      <c r="H260" s="11" t="s">
        <v>56</v>
      </c>
      <c r="I260" s="12">
        <v>3529.0</v>
      </c>
      <c r="J260" s="12">
        <v>5150.0</v>
      </c>
      <c r="K260" s="12">
        <v>4300.0</v>
      </c>
      <c r="L260" s="11" t="s">
        <v>1027</v>
      </c>
      <c r="M260" s="11" t="s">
        <v>1028</v>
      </c>
      <c r="N260" s="11" t="s">
        <v>903</v>
      </c>
      <c r="O260" s="11" t="s">
        <v>41</v>
      </c>
      <c r="P260" s="11" t="s">
        <v>144</v>
      </c>
      <c r="Q260" s="13" t="str">
        <f>IFERROR(VLOOKUP(E260,'SF Churn Data'!E:R,14,0),"")</f>
        <v/>
      </c>
    </row>
    <row r="261" hidden="1">
      <c r="A261" s="11" t="s">
        <v>1029</v>
      </c>
      <c r="B261" s="11" t="s">
        <v>44</v>
      </c>
      <c r="C261" s="11" t="s">
        <v>76</v>
      </c>
      <c r="D261" s="11" t="s">
        <v>1030</v>
      </c>
      <c r="E261" s="11" t="s">
        <v>1031</v>
      </c>
      <c r="F261" s="11" t="s">
        <v>228</v>
      </c>
      <c r="G261" s="11">
        <v>19.72</v>
      </c>
      <c r="H261" s="11" t="s">
        <v>120</v>
      </c>
      <c r="I261" s="12">
        <v>550.0</v>
      </c>
      <c r="J261" s="12">
        <v>440.0</v>
      </c>
      <c r="K261" s="11"/>
      <c r="L261" s="11" t="s">
        <v>1032</v>
      </c>
      <c r="M261" s="11" t="s">
        <v>1033</v>
      </c>
      <c r="N261" s="11" t="s">
        <v>1034</v>
      </c>
      <c r="O261" s="11" t="s">
        <v>41</v>
      </c>
      <c r="P261" s="11"/>
      <c r="Q261" s="13" t="str">
        <f>IFERROR(VLOOKUP(E261,'SF Churn Data'!E:R,14,0),"")</f>
        <v/>
      </c>
    </row>
    <row r="262" hidden="1">
      <c r="A262" s="11" t="s">
        <v>216</v>
      </c>
      <c r="B262" s="11" t="s">
        <v>45</v>
      </c>
      <c r="C262" s="11" t="s">
        <v>45</v>
      </c>
      <c r="D262" s="11" t="s">
        <v>1035</v>
      </c>
      <c r="E262" s="11" t="s">
        <v>1036</v>
      </c>
      <c r="F262" s="11" t="s">
        <v>228</v>
      </c>
      <c r="G262" s="11">
        <v>9.51</v>
      </c>
      <c r="H262" s="11" t="s">
        <v>45</v>
      </c>
      <c r="I262" s="12">
        <v>3194.0</v>
      </c>
      <c r="J262" s="12">
        <v>4500.0</v>
      </c>
      <c r="K262" s="12">
        <v>3850.0</v>
      </c>
      <c r="L262" s="11" t="s">
        <v>1037</v>
      </c>
      <c r="M262" s="11" t="s">
        <v>1038</v>
      </c>
      <c r="N262" s="11" t="s">
        <v>131</v>
      </c>
      <c r="O262" s="11" t="s">
        <v>57</v>
      </c>
      <c r="P262" s="11" t="s">
        <v>42</v>
      </c>
      <c r="Q262" s="13" t="str">
        <f>IFERROR(VLOOKUP(E262,'SF Churn Data'!E:R,14,0),"")</f>
        <v/>
      </c>
    </row>
    <row r="263" hidden="1">
      <c r="A263" s="11" t="s">
        <v>49</v>
      </c>
      <c r="B263" s="11" t="s">
        <v>44</v>
      </c>
      <c r="C263" s="11" t="s">
        <v>133</v>
      </c>
      <c r="D263" s="11" t="s">
        <v>1039</v>
      </c>
      <c r="E263" s="11" t="s">
        <v>1040</v>
      </c>
      <c r="F263" s="11" t="s">
        <v>228</v>
      </c>
      <c r="G263" s="11">
        <v>13.07</v>
      </c>
      <c r="H263" s="11" t="s">
        <v>56</v>
      </c>
      <c r="I263" s="12">
        <v>5680.0</v>
      </c>
      <c r="J263" s="12">
        <v>6550.0</v>
      </c>
      <c r="K263" s="12">
        <v>6850.0</v>
      </c>
      <c r="L263" s="11" t="s">
        <v>1041</v>
      </c>
      <c r="M263" s="11" t="s">
        <v>1042</v>
      </c>
      <c r="N263" s="11" t="s">
        <v>403</v>
      </c>
      <c r="O263" s="11" t="s">
        <v>57</v>
      </c>
      <c r="P263" s="11" t="s">
        <v>48</v>
      </c>
      <c r="Q263" s="13" t="str">
        <f>IFERROR(VLOOKUP(E263,'SF Churn Data'!E:R,14,0),"")</f>
        <v/>
      </c>
    </row>
    <row r="264" hidden="1">
      <c r="A264" s="11" t="s">
        <v>49</v>
      </c>
      <c r="B264" s="11" t="s">
        <v>44</v>
      </c>
      <c r="C264" s="11" t="s">
        <v>53</v>
      </c>
      <c r="D264" s="11" t="s">
        <v>1043</v>
      </c>
      <c r="E264" s="11" t="s">
        <v>1044</v>
      </c>
      <c r="F264" s="11" t="s">
        <v>228</v>
      </c>
      <c r="G264" s="11">
        <v>16.44</v>
      </c>
      <c r="H264" s="11" t="s">
        <v>56</v>
      </c>
      <c r="I264" s="12">
        <v>6445.0</v>
      </c>
      <c r="J264" s="12">
        <v>7450.0</v>
      </c>
      <c r="K264" s="12"/>
      <c r="L264" s="11" t="s">
        <v>1045</v>
      </c>
      <c r="M264" s="11" t="s">
        <v>1046</v>
      </c>
      <c r="N264" s="11" t="s">
        <v>903</v>
      </c>
      <c r="O264" s="11" t="s">
        <v>83</v>
      </c>
      <c r="P264" s="11" t="s">
        <v>48</v>
      </c>
      <c r="Q264" s="13" t="str">
        <f>IFERROR(VLOOKUP(E264,'SF Churn Data'!E:R,14,0),"")</f>
        <v/>
      </c>
    </row>
    <row r="265" hidden="1">
      <c r="A265" s="11" t="s">
        <v>49</v>
      </c>
      <c r="B265" s="11" t="s">
        <v>44</v>
      </c>
      <c r="C265" s="11" t="s">
        <v>53</v>
      </c>
      <c r="D265" s="11" t="s">
        <v>1047</v>
      </c>
      <c r="E265" s="11" t="s">
        <v>1048</v>
      </c>
      <c r="F265" s="11" t="s">
        <v>228</v>
      </c>
      <c r="G265" s="11">
        <v>16.44</v>
      </c>
      <c r="H265" s="11" t="s">
        <v>56</v>
      </c>
      <c r="I265" s="12">
        <v>6445.0</v>
      </c>
      <c r="J265" s="12">
        <v>7450.0</v>
      </c>
      <c r="K265" s="11"/>
      <c r="L265" s="11" t="s">
        <v>1049</v>
      </c>
      <c r="M265" s="11" t="s">
        <v>1050</v>
      </c>
      <c r="N265" s="11" t="s">
        <v>903</v>
      </c>
      <c r="O265" s="11" t="s">
        <v>83</v>
      </c>
      <c r="P265" s="11" t="s">
        <v>48</v>
      </c>
      <c r="Q265" s="13" t="str">
        <f>IFERROR(VLOOKUP(E265,'SF Churn Data'!E:R,14,0),"")</f>
        <v/>
      </c>
    </row>
    <row r="266" hidden="1">
      <c r="A266" s="11" t="s">
        <v>49</v>
      </c>
      <c r="B266" s="11" t="s">
        <v>44</v>
      </c>
      <c r="C266" s="11" t="s">
        <v>53</v>
      </c>
      <c r="D266" s="11" t="s">
        <v>1051</v>
      </c>
      <c r="E266" s="11" t="s">
        <v>1052</v>
      </c>
      <c r="F266" s="11" t="s">
        <v>228</v>
      </c>
      <c r="G266" s="11">
        <v>15.5</v>
      </c>
      <c r="H266" s="11" t="s">
        <v>56</v>
      </c>
      <c r="I266" s="12">
        <v>6445.0</v>
      </c>
      <c r="J266" s="12">
        <v>7450.0</v>
      </c>
      <c r="K266" s="12">
        <v>7750.0</v>
      </c>
      <c r="L266" s="11" t="s">
        <v>1053</v>
      </c>
      <c r="M266" s="11" t="s">
        <v>1054</v>
      </c>
      <c r="N266" s="11" t="s">
        <v>903</v>
      </c>
      <c r="O266" s="11" t="s">
        <v>83</v>
      </c>
      <c r="P266" s="11" t="s">
        <v>48</v>
      </c>
      <c r="Q266" s="13" t="str">
        <f>IFERROR(VLOOKUP(E266,'SF Churn Data'!E:R,14,0),"")</f>
        <v/>
      </c>
    </row>
    <row r="267" hidden="1">
      <c r="A267" s="11" t="s">
        <v>49</v>
      </c>
      <c r="B267" s="11" t="s">
        <v>44</v>
      </c>
      <c r="C267" s="11" t="s">
        <v>53</v>
      </c>
      <c r="D267" s="11" t="s">
        <v>1055</v>
      </c>
      <c r="E267" s="11" t="s">
        <v>1056</v>
      </c>
      <c r="F267" s="11" t="s">
        <v>228</v>
      </c>
      <c r="G267" s="11">
        <v>15.5</v>
      </c>
      <c r="H267" s="11" t="s">
        <v>56</v>
      </c>
      <c r="I267" s="12">
        <v>6445.0</v>
      </c>
      <c r="J267" s="12">
        <v>7450.0</v>
      </c>
      <c r="K267" s="11">
        <v>7750.0</v>
      </c>
      <c r="L267" s="11" t="s">
        <v>1057</v>
      </c>
      <c r="M267" s="11" t="s">
        <v>1058</v>
      </c>
      <c r="N267" s="11" t="s">
        <v>903</v>
      </c>
      <c r="O267" s="11" t="s">
        <v>83</v>
      </c>
      <c r="P267" s="11" t="s">
        <v>48</v>
      </c>
      <c r="Q267" s="13" t="str">
        <f>IFERROR(VLOOKUP(E267,'SF Churn Data'!E:R,14,0),"")</f>
        <v/>
      </c>
    </row>
    <row r="268" hidden="1">
      <c r="A268" s="11" t="s">
        <v>49</v>
      </c>
      <c r="B268" s="11" t="s">
        <v>44</v>
      </c>
      <c r="C268" s="11" t="s">
        <v>53</v>
      </c>
      <c r="D268" s="11" t="s">
        <v>1059</v>
      </c>
      <c r="E268" s="11" t="s">
        <v>1060</v>
      </c>
      <c r="F268" s="11" t="s">
        <v>228</v>
      </c>
      <c r="G268" s="11">
        <v>15.5</v>
      </c>
      <c r="H268" s="11" t="s">
        <v>56</v>
      </c>
      <c r="I268" s="12">
        <v>6445.0</v>
      </c>
      <c r="J268" s="12">
        <v>7450.0</v>
      </c>
      <c r="K268" s="12">
        <v>7750.0</v>
      </c>
      <c r="L268" s="11" t="s">
        <v>1061</v>
      </c>
      <c r="M268" s="11" t="s">
        <v>1062</v>
      </c>
      <c r="N268" s="11" t="s">
        <v>903</v>
      </c>
      <c r="O268" s="11" t="s">
        <v>83</v>
      </c>
      <c r="P268" s="11" t="s">
        <v>48</v>
      </c>
      <c r="Q268" s="13" t="str">
        <f>IFERROR(VLOOKUP(E268,'SF Churn Data'!E:R,14,0),"")</f>
        <v/>
      </c>
    </row>
    <row r="269" hidden="1">
      <c r="A269" s="11" t="s">
        <v>49</v>
      </c>
      <c r="B269" s="11" t="s">
        <v>44</v>
      </c>
      <c r="C269" s="11" t="s">
        <v>53</v>
      </c>
      <c r="D269" s="11" t="s">
        <v>1063</v>
      </c>
      <c r="E269" s="11" t="s">
        <v>1064</v>
      </c>
      <c r="F269" s="11" t="s">
        <v>228</v>
      </c>
      <c r="G269" s="11">
        <v>15.5</v>
      </c>
      <c r="H269" s="11" t="s">
        <v>56</v>
      </c>
      <c r="I269" s="12">
        <v>6445.0</v>
      </c>
      <c r="J269" s="12">
        <v>7450.0</v>
      </c>
      <c r="K269" s="11">
        <v>7750.0</v>
      </c>
      <c r="L269" s="11" t="s">
        <v>1065</v>
      </c>
      <c r="M269" s="11" t="s">
        <v>1066</v>
      </c>
      <c r="N269" s="11" t="s">
        <v>903</v>
      </c>
      <c r="O269" s="11" t="s">
        <v>83</v>
      </c>
      <c r="P269" s="11" t="s">
        <v>48</v>
      </c>
      <c r="Q269" s="13" t="str">
        <f>IFERROR(VLOOKUP(E269,'SF Churn Data'!E:R,14,0),"")</f>
        <v/>
      </c>
    </row>
    <row r="270" hidden="1">
      <c r="A270" s="11" t="s">
        <v>49</v>
      </c>
      <c r="B270" s="11" t="s">
        <v>44</v>
      </c>
      <c r="C270" s="11" t="s">
        <v>53</v>
      </c>
      <c r="D270" s="11" t="s">
        <v>1067</v>
      </c>
      <c r="E270" s="11" t="s">
        <v>1068</v>
      </c>
      <c r="F270" s="11" t="s">
        <v>228</v>
      </c>
      <c r="G270" s="11">
        <v>15.21</v>
      </c>
      <c r="H270" s="11" t="s">
        <v>56</v>
      </c>
      <c r="I270" s="12">
        <v>6445.0</v>
      </c>
      <c r="J270" s="12">
        <v>7450.0</v>
      </c>
      <c r="K270" s="11">
        <v>7750.0</v>
      </c>
      <c r="L270" s="11" t="s">
        <v>1069</v>
      </c>
      <c r="M270" s="11" t="s">
        <v>1070</v>
      </c>
      <c r="N270" s="11" t="s">
        <v>903</v>
      </c>
      <c r="O270" s="11" t="s">
        <v>83</v>
      </c>
      <c r="P270" s="11" t="s">
        <v>48</v>
      </c>
      <c r="Q270" s="13" t="str">
        <f>IFERROR(VLOOKUP(E270,'SF Churn Data'!E:R,14,0),"")</f>
        <v/>
      </c>
    </row>
    <row r="271" hidden="1">
      <c r="A271" s="11" t="s">
        <v>49</v>
      </c>
      <c r="B271" s="11" t="s">
        <v>44</v>
      </c>
      <c r="C271" s="11" t="s">
        <v>180</v>
      </c>
      <c r="D271" s="11" t="s">
        <v>1071</v>
      </c>
      <c r="E271" s="11" t="s">
        <v>1072</v>
      </c>
      <c r="F271" s="11" t="s">
        <v>228</v>
      </c>
      <c r="G271" s="11">
        <v>23.29</v>
      </c>
      <c r="H271" s="11" t="s">
        <v>168</v>
      </c>
      <c r="I271" s="12">
        <v>8300.0</v>
      </c>
      <c r="J271" s="12">
        <v>9550.0</v>
      </c>
      <c r="K271" s="11">
        <v>10000.0</v>
      </c>
      <c r="L271" s="11" t="s">
        <v>1073</v>
      </c>
      <c r="M271" s="11" t="s">
        <v>1074</v>
      </c>
      <c r="N271" s="11" t="s">
        <v>903</v>
      </c>
      <c r="O271" s="11" t="s">
        <v>83</v>
      </c>
      <c r="P271" s="11" t="s">
        <v>48</v>
      </c>
      <c r="Q271" s="13" t="str">
        <f>IFERROR(VLOOKUP(E271,'SF Churn Data'!E:R,14,0),"")</f>
        <v/>
      </c>
    </row>
    <row r="272" hidden="1">
      <c r="A272" s="11" t="s">
        <v>210</v>
      </c>
      <c r="B272" s="11" t="s">
        <v>44</v>
      </c>
      <c r="C272" s="11" t="s">
        <v>133</v>
      </c>
      <c r="D272" s="11" t="s">
        <v>1075</v>
      </c>
      <c r="E272" s="11" t="s">
        <v>1076</v>
      </c>
      <c r="F272" s="11" t="s">
        <v>228</v>
      </c>
      <c r="G272" s="11">
        <v>13.52</v>
      </c>
      <c r="H272" s="11" t="s">
        <v>56</v>
      </c>
      <c r="I272" s="12">
        <v>5250.0</v>
      </c>
      <c r="J272" s="12">
        <v>6850.0</v>
      </c>
      <c r="K272" s="11">
        <v>6300.0</v>
      </c>
      <c r="L272" s="11" t="s">
        <v>1077</v>
      </c>
      <c r="M272" s="11" t="s">
        <v>1078</v>
      </c>
      <c r="N272" s="11" t="s">
        <v>903</v>
      </c>
      <c r="O272" s="11" t="s">
        <v>83</v>
      </c>
      <c r="P272" s="11" t="s">
        <v>63</v>
      </c>
      <c r="Q272" s="13" t="str">
        <f>IFERROR(VLOOKUP(E272,'SF Churn Data'!E:R,14,0),"")</f>
        <v/>
      </c>
    </row>
    <row r="273" hidden="1">
      <c r="A273" s="11" t="s">
        <v>210</v>
      </c>
      <c r="B273" s="11" t="s">
        <v>44</v>
      </c>
      <c r="C273" s="11" t="s">
        <v>53</v>
      </c>
      <c r="D273" s="11" t="s">
        <v>1079</v>
      </c>
      <c r="E273" s="11" t="s">
        <v>1080</v>
      </c>
      <c r="F273" s="11" t="s">
        <v>228</v>
      </c>
      <c r="G273" s="11">
        <v>16.29</v>
      </c>
      <c r="H273" s="11" t="s">
        <v>56</v>
      </c>
      <c r="I273" s="12">
        <v>5900.0</v>
      </c>
      <c r="J273" s="12">
        <v>7700.0</v>
      </c>
      <c r="K273" s="12">
        <v>7100.0</v>
      </c>
      <c r="L273" s="11" t="s">
        <v>1081</v>
      </c>
      <c r="M273" s="11" t="s">
        <v>1082</v>
      </c>
      <c r="N273" s="11" t="s">
        <v>903</v>
      </c>
      <c r="O273" s="11" t="s">
        <v>83</v>
      </c>
      <c r="P273" s="11" t="s">
        <v>63</v>
      </c>
      <c r="Q273" s="13" t="str">
        <f>IFERROR(VLOOKUP(E273,'SF Churn Data'!E:R,14,0),"")</f>
        <v/>
      </c>
    </row>
    <row r="274" hidden="1">
      <c r="A274" s="11" t="s">
        <v>210</v>
      </c>
      <c r="B274" s="11" t="s">
        <v>44</v>
      </c>
      <c r="C274" s="11" t="s">
        <v>76</v>
      </c>
      <c r="D274" s="11" t="s">
        <v>1083</v>
      </c>
      <c r="E274" s="11" t="s">
        <v>1084</v>
      </c>
      <c r="F274" s="11" t="s">
        <v>228</v>
      </c>
      <c r="G274" s="11">
        <v>20.02</v>
      </c>
      <c r="H274" s="11" t="s">
        <v>120</v>
      </c>
      <c r="I274" s="12">
        <v>6500.0</v>
      </c>
      <c r="J274" s="12">
        <v>8450.0</v>
      </c>
      <c r="K274" s="11">
        <v>7800.0</v>
      </c>
      <c r="L274" s="11" t="s">
        <v>1085</v>
      </c>
      <c r="M274" s="11" t="s">
        <v>1086</v>
      </c>
      <c r="N274" s="11" t="s">
        <v>903</v>
      </c>
      <c r="O274" s="11" t="s">
        <v>83</v>
      </c>
      <c r="P274" s="11" t="s">
        <v>63</v>
      </c>
      <c r="Q274" s="13" t="str">
        <f>IFERROR(VLOOKUP(E274,'SF Churn Data'!E:R,14,0),"")</f>
        <v/>
      </c>
    </row>
    <row r="275" hidden="1">
      <c r="A275" s="11" t="s">
        <v>210</v>
      </c>
      <c r="B275" s="11" t="s">
        <v>44</v>
      </c>
      <c r="C275" s="11" t="s">
        <v>180</v>
      </c>
      <c r="D275" s="11" t="s">
        <v>1087</v>
      </c>
      <c r="E275" s="11" t="s">
        <v>1088</v>
      </c>
      <c r="F275" s="11" t="s">
        <v>228</v>
      </c>
      <c r="G275" s="11">
        <v>23.33</v>
      </c>
      <c r="H275" s="11" t="s">
        <v>168</v>
      </c>
      <c r="I275" s="12">
        <v>6700.0</v>
      </c>
      <c r="J275" s="12">
        <v>8750.0</v>
      </c>
      <c r="K275" s="12">
        <v>8050.0</v>
      </c>
      <c r="L275" s="11" t="s">
        <v>1089</v>
      </c>
      <c r="M275" s="11" t="s">
        <v>1090</v>
      </c>
      <c r="N275" s="11" t="s">
        <v>903</v>
      </c>
      <c r="O275" s="11" t="s">
        <v>83</v>
      </c>
      <c r="P275" s="11" t="s">
        <v>63</v>
      </c>
      <c r="Q275" s="13" t="str">
        <f>IFERROR(VLOOKUP(E275,'SF Churn Data'!E:R,14,0),"")</f>
        <v/>
      </c>
    </row>
    <row r="276" hidden="1">
      <c r="A276" s="11" t="s">
        <v>154</v>
      </c>
      <c r="B276" s="11" t="s">
        <v>44</v>
      </c>
      <c r="C276" s="11" t="s">
        <v>76</v>
      </c>
      <c r="D276" s="11" t="s">
        <v>1091</v>
      </c>
      <c r="E276" s="11" t="s">
        <v>1092</v>
      </c>
      <c r="F276" s="11" t="s">
        <v>228</v>
      </c>
      <c r="G276" s="11">
        <v>20.0</v>
      </c>
      <c r="H276" s="11" t="s">
        <v>56</v>
      </c>
      <c r="I276" s="12">
        <v>6090.0</v>
      </c>
      <c r="J276" s="12">
        <v>8550.0</v>
      </c>
      <c r="K276" s="12">
        <v>7350.0</v>
      </c>
      <c r="L276" s="11" t="s">
        <v>1093</v>
      </c>
      <c r="M276" s="11" t="s">
        <v>750</v>
      </c>
      <c r="N276" s="11" t="s">
        <v>316</v>
      </c>
      <c r="O276" s="11" t="s">
        <v>151</v>
      </c>
      <c r="P276" s="11" t="s">
        <v>157</v>
      </c>
      <c r="Q276" s="13" t="str">
        <f>IFERROR(VLOOKUP(E276,'SF Churn Data'!E:R,14,0),"")</f>
        <v/>
      </c>
    </row>
    <row r="277" hidden="1">
      <c r="A277" s="11" t="s">
        <v>148</v>
      </c>
      <c r="B277" s="11" t="s">
        <v>44</v>
      </c>
      <c r="C277" s="11" t="s">
        <v>64</v>
      </c>
      <c r="D277" s="11" t="s">
        <v>1094</v>
      </c>
      <c r="E277" s="11" t="s">
        <v>1095</v>
      </c>
      <c r="F277" s="11" t="s">
        <v>228</v>
      </c>
      <c r="G277" s="11">
        <v>17.4</v>
      </c>
      <c r="H277" s="11" t="s">
        <v>56</v>
      </c>
      <c r="I277" s="12">
        <v>7096.0</v>
      </c>
      <c r="J277" s="12">
        <v>7100.0</v>
      </c>
      <c r="K277" s="12">
        <v>8550.0</v>
      </c>
      <c r="L277" s="11" t="s">
        <v>1096</v>
      </c>
      <c r="M277" s="11" t="s">
        <v>1097</v>
      </c>
      <c r="N277" s="11" t="s">
        <v>143</v>
      </c>
      <c r="O277" s="11" t="s">
        <v>151</v>
      </c>
      <c r="P277" s="11" t="s">
        <v>48</v>
      </c>
      <c r="Q277" s="13" t="str">
        <f>IFERROR(VLOOKUP(E277,'SF Churn Data'!E:R,14,0),"")</f>
        <v/>
      </c>
    </row>
    <row r="278" hidden="1">
      <c r="A278" s="11" t="s">
        <v>158</v>
      </c>
      <c r="B278" s="11" t="s">
        <v>45</v>
      </c>
      <c r="C278" s="11" t="s">
        <v>45</v>
      </c>
      <c r="D278" s="11" t="s">
        <v>1098</v>
      </c>
      <c r="E278" s="11" t="s">
        <v>1099</v>
      </c>
      <c r="F278" s="11" t="s">
        <v>228</v>
      </c>
      <c r="G278" s="11">
        <v>8.88</v>
      </c>
      <c r="H278" s="11" t="s">
        <v>45</v>
      </c>
      <c r="I278" s="12">
        <v>2542.0</v>
      </c>
      <c r="J278" s="12">
        <v>2550.0</v>
      </c>
      <c r="K278" s="11">
        <v>3100.0</v>
      </c>
      <c r="L278" s="11" t="s">
        <v>1100</v>
      </c>
      <c r="M278" s="11" t="s">
        <v>1101</v>
      </c>
      <c r="N278" s="11" t="s">
        <v>143</v>
      </c>
      <c r="O278" s="11" t="s">
        <v>41</v>
      </c>
      <c r="P278" s="11" t="s">
        <v>162</v>
      </c>
      <c r="Q278" s="13" t="str">
        <f>IFERROR(VLOOKUP(E278,'SF Churn Data'!E:R,14,0),"")</f>
        <v/>
      </c>
    </row>
    <row r="279" hidden="1">
      <c r="A279" s="11" t="s">
        <v>138</v>
      </c>
      <c r="B279" s="11" t="s">
        <v>45</v>
      </c>
      <c r="C279" s="11" t="s">
        <v>45</v>
      </c>
      <c r="D279" s="11" t="s">
        <v>1102</v>
      </c>
      <c r="E279" s="11" t="s">
        <v>1103</v>
      </c>
      <c r="F279" s="11" t="s">
        <v>228</v>
      </c>
      <c r="G279" s="11">
        <v>11.52</v>
      </c>
      <c r="H279" s="11" t="s">
        <v>45</v>
      </c>
      <c r="I279" s="12">
        <v>1652.0</v>
      </c>
      <c r="J279" s="12">
        <v>2400.0</v>
      </c>
      <c r="K279" s="11">
        <v>2050.0</v>
      </c>
      <c r="L279" s="11" t="s">
        <v>1104</v>
      </c>
      <c r="M279" s="11" t="s">
        <v>1105</v>
      </c>
      <c r="N279" s="11" t="s">
        <v>131</v>
      </c>
      <c r="O279" s="11" t="s">
        <v>57</v>
      </c>
      <c r="P279" s="11" t="s">
        <v>144</v>
      </c>
      <c r="Q279" s="13" t="str">
        <f>IFERROR(VLOOKUP(E279,'SF Churn Data'!E:R,14,0),"")</f>
        <v/>
      </c>
    </row>
    <row r="280" hidden="1">
      <c r="A280" s="11" t="s">
        <v>912</v>
      </c>
      <c r="B280" s="11" t="s">
        <v>44</v>
      </c>
      <c r="C280" s="11" t="s">
        <v>53</v>
      </c>
      <c r="D280" s="11" t="s">
        <v>1106</v>
      </c>
      <c r="E280" s="11" t="s">
        <v>1107</v>
      </c>
      <c r="F280" s="11" t="s">
        <v>228</v>
      </c>
      <c r="G280" s="11">
        <v>16.12</v>
      </c>
      <c r="H280" s="11" t="s">
        <v>120</v>
      </c>
      <c r="I280" s="12">
        <v>4900.0</v>
      </c>
      <c r="J280" s="12">
        <v>6150.0</v>
      </c>
      <c r="K280" s="11">
        <v>5700.0</v>
      </c>
      <c r="L280" s="11" t="s">
        <v>1108</v>
      </c>
      <c r="M280" s="11" t="s">
        <v>1109</v>
      </c>
      <c r="N280" s="11" t="s">
        <v>131</v>
      </c>
      <c r="O280" s="11" t="s">
        <v>57</v>
      </c>
      <c r="P280" s="11" t="s">
        <v>917</v>
      </c>
      <c r="Q280" s="13" t="str">
        <f>IFERROR(VLOOKUP(E280,'SF Churn Data'!E:R,14,0),"")</f>
        <v/>
      </c>
    </row>
    <row r="281" hidden="1">
      <c r="A281" s="11" t="s">
        <v>210</v>
      </c>
      <c r="B281" s="11" t="s">
        <v>44</v>
      </c>
      <c r="C281" s="11" t="s">
        <v>180</v>
      </c>
      <c r="D281" s="11" t="s">
        <v>1110</v>
      </c>
      <c r="E281" s="11" t="s">
        <v>1111</v>
      </c>
      <c r="F281" s="11" t="s">
        <v>228</v>
      </c>
      <c r="G281" s="11">
        <v>22.83</v>
      </c>
      <c r="H281" s="11" t="s">
        <v>168</v>
      </c>
      <c r="I281" s="12">
        <v>6700.0</v>
      </c>
      <c r="J281" s="12">
        <v>8750.0</v>
      </c>
      <c r="K281" s="12">
        <v>8050.0</v>
      </c>
      <c r="L281" s="11" t="s">
        <v>1112</v>
      </c>
      <c r="M281" s="11" t="s">
        <v>1113</v>
      </c>
      <c r="N281" s="11" t="s">
        <v>903</v>
      </c>
      <c r="O281" s="11" t="s">
        <v>83</v>
      </c>
      <c r="P281" s="11" t="s">
        <v>63</v>
      </c>
      <c r="Q281" s="13" t="str">
        <f>IFERROR(VLOOKUP(E281,'SF Churn Data'!E:R,14,0),"")</f>
        <v/>
      </c>
    </row>
    <row r="282" hidden="1">
      <c r="A282" s="11" t="s">
        <v>191</v>
      </c>
      <c r="B282" s="11" t="s">
        <v>44</v>
      </c>
      <c r="C282" s="11" t="s">
        <v>180</v>
      </c>
      <c r="D282" s="11" t="s">
        <v>1114</v>
      </c>
      <c r="E282" s="11" t="s">
        <v>1115</v>
      </c>
      <c r="F282" s="11" t="s">
        <v>228</v>
      </c>
      <c r="G282" s="11">
        <v>23.98</v>
      </c>
      <c r="H282" s="11" t="s">
        <v>168</v>
      </c>
      <c r="I282" s="12">
        <v>6900.0</v>
      </c>
      <c r="J282" s="12">
        <v>9000.0</v>
      </c>
      <c r="K282" s="11"/>
      <c r="L282" s="11" t="s">
        <v>1116</v>
      </c>
      <c r="M282" s="11" t="s">
        <v>1117</v>
      </c>
      <c r="N282" s="11" t="s">
        <v>143</v>
      </c>
      <c r="O282" s="11" t="s">
        <v>57</v>
      </c>
      <c r="P282" s="11" t="s">
        <v>48</v>
      </c>
      <c r="Q282" s="13" t="str">
        <f>IFERROR(VLOOKUP(E282,'SF Churn Data'!E:R,14,0),"")</f>
        <v/>
      </c>
    </row>
    <row r="283" hidden="1">
      <c r="A283" s="11" t="s">
        <v>210</v>
      </c>
      <c r="B283" s="11" t="s">
        <v>45</v>
      </c>
      <c r="C283" s="11" t="s">
        <v>45</v>
      </c>
      <c r="D283" s="11" t="s">
        <v>1118</v>
      </c>
      <c r="E283" s="11" t="s">
        <v>1119</v>
      </c>
      <c r="F283" s="11" t="s">
        <v>228</v>
      </c>
      <c r="G283" s="11">
        <v>10.76</v>
      </c>
      <c r="H283" s="11" t="s">
        <v>40</v>
      </c>
      <c r="I283" s="12">
        <v>3100.0</v>
      </c>
      <c r="J283" s="12">
        <v>4050.0</v>
      </c>
      <c r="K283" s="12">
        <v>3750.0</v>
      </c>
      <c r="L283" s="11" t="s">
        <v>1120</v>
      </c>
      <c r="M283" s="11" t="s">
        <v>1121</v>
      </c>
      <c r="N283" s="11" t="s">
        <v>316</v>
      </c>
      <c r="O283" s="11" t="s">
        <v>83</v>
      </c>
      <c r="P283" s="11" t="s">
        <v>63</v>
      </c>
      <c r="Q283" s="13" t="str">
        <f>IFERROR(VLOOKUP(E283,'SF Churn Data'!E:R,14,0),"")</f>
        <v/>
      </c>
    </row>
    <row r="284" hidden="1">
      <c r="A284" s="11" t="s">
        <v>1029</v>
      </c>
      <c r="B284" s="11" t="s">
        <v>44</v>
      </c>
      <c r="C284" s="11" t="s">
        <v>53</v>
      </c>
      <c r="D284" s="11" t="s">
        <v>1122</v>
      </c>
      <c r="E284" s="11" t="s">
        <v>1123</v>
      </c>
      <c r="F284" s="11" t="s">
        <v>228</v>
      </c>
      <c r="G284" s="11">
        <v>16.76</v>
      </c>
      <c r="H284" s="11" t="s">
        <v>56</v>
      </c>
      <c r="I284" s="12">
        <v>450.0</v>
      </c>
      <c r="J284" s="12">
        <v>360.0</v>
      </c>
      <c r="K284" s="11"/>
      <c r="L284" s="11" t="s">
        <v>1124</v>
      </c>
      <c r="M284" s="11" t="s">
        <v>1125</v>
      </c>
      <c r="N284" s="11" t="s">
        <v>1034</v>
      </c>
      <c r="O284" s="11" t="s">
        <v>41</v>
      </c>
      <c r="P284" s="11"/>
      <c r="Q284" s="13" t="str">
        <f>IFERROR(VLOOKUP(E284,'SF Churn Data'!E:R,14,0),"")</f>
        <v/>
      </c>
    </row>
    <row r="285" hidden="1">
      <c r="A285" s="11" t="s">
        <v>210</v>
      </c>
      <c r="B285" s="11" t="s">
        <v>44</v>
      </c>
      <c r="C285" s="11" t="s">
        <v>133</v>
      </c>
      <c r="D285" s="11" t="s">
        <v>1126</v>
      </c>
      <c r="E285" s="11" t="s">
        <v>1127</v>
      </c>
      <c r="F285" s="11" t="s">
        <v>228</v>
      </c>
      <c r="G285" s="11">
        <v>13.07</v>
      </c>
      <c r="H285" s="11" t="s">
        <v>56</v>
      </c>
      <c r="I285" s="12">
        <v>5250.0</v>
      </c>
      <c r="J285" s="12">
        <v>6850.0</v>
      </c>
      <c r="K285" s="11">
        <v>6300.0</v>
      </c>
      <c r="L285" s="11" t="s">
        <v>1128</v>
      </c>
      <c r="M285" s="11" t="s">
        <v>1129</v>
      </c>
      <c r="N285" s="11" t="s">
        <v>903</v>
      </c>
      <c r="O285" s="11" t="s">
        <v>83</v>
      </c>
      <c r="P285" s="11" t="s">
        <v>63</v>
      </c>
      <c r="Q285" s="13" t="str">
        <f>IFERROR(VLOOKUP(E285,'SF Churn Data'!E:R,14,0),"")</f>
        <v/>
      </c>
    </row>
    <row r="286" hidden="1">
      <c r="A286" s="11" t="s">
        <v>145</v>
      </c>
      <c r="B286" s="11" t="s">
        <v>45</v>
      </c>
      <c r="C286" s="11" t="s">
        <v>45</v>
      </c>
      <c r="D286" s="11" t="s">
        <v>1130</v>
      </c>
      <c r="E286" s="11" t="s">
        <v>1131</v>
      </c>
      <c r="F286" s="11" t="s">
        <v>228</v>
      </c>
      <c r="G286" s="14">
        <v>7.1</v>
      </c>
      <c r="H286" s="11" t="s">
        <v>45</v>
      </c>
      <c r="I286" s="12">
        <v>4215.0</v>
      </c>
      <c r="J286" s="12">
        <v>4650.0</v>
      </c>
      <c r="K286" s="12">
        <v>5100.0</v>
      </c>
      <c r="L286" s="11" t="s">
        <v>1132</v>
      </c>
      <c r="M286" s="11" t="s">
        <v>1133</v>
      </c>
      <c r="N286" s="11" t="s">
        <v>143</v>
      </c>
      <c r="O286" s="11" t="s">
        <v>57</v>
      </c>
      <c r="P286" s="11" t="s">
        <v>63</v>
      </c>
      <c r="Q286" s="13" t="str">
        <f>IFERROR(VLOOKUP(E286,'SF Churn Data'!E:R,14,0),"")</f>
        <v/>
      </c>
    </row>
    <row r="287" hidden="1">
      <c r="A287" s="11" t="s">
        <v>210</v>
      </c>
      <c r="B287" s="11" t="s">
        <v>44</v>
      </c>
      <c r="C287" s="11" t="s">
        <v>180</v>
      </c>
      <c r="D287" s="11" t="s">
        <v>1134</v>
      </c>
      <c r="E287" s="11" t="s">
        <v>1135</v>
      </c>
      <c r="F287" s="11" t="s">
        <v>228</v>
      </c>
      <c r="G287" s="11">
        <v>22.06</v>
      </c>
      <c r="H287" s="11" t="s">
        <v>168</v>
      </c>
      <c r="I287" s="12">
        <v>6700.0</v>
      </c>
      <c r="J287" s="12">
        <v>8750.0</v>
      </c>
      <c r="K287" s="11">
        <v>8050.0</v>
      </c>
      <c r="L287" s="11" t="s">
        <v>1136</v>
      </c>
      <c r="M287" s="11" t="s">
        <v>1137</v>
      </c>
      <c r="N287" s="11" t="s">
        <v>903</v>
      </c>
      <c r="O287" s="11" t="s">
        <v>83</v>
      </c>
      <c r="P287" s="11" t="s">
        <v>63</v>
      </c>
      <c r="Q287" s="13" t="str">
        <f>IFERROR(VLOOKUP(E287,'SF Churn Data'!E:R,14,0),"")</f>
        <v/>
      </c>
    </row>
    <row r="288" hidden="1">
      <c r="A288" s="11" t="s">
        <v>210</v>
      </c>
      <c r="B288" s="11" t="s">
        <v>45</v>
      </c>
      <c r="C288" s="11" t="s">
        <v>45</v>
      </c>
      <c r="D288" s="11" t="s">
        <v>1138</v>
      </c>
      <c r="E288" s="11" t="s">
        <v>1139</v>
      </c>
      <c r="F288" s="11" t="s">
        <v>228</v>
      </c>
      <c r="G288" s="11">
        <v>10.66</v>
      </c>
      <c r="H288" s="11" t="s">
        <v>40</v>
      </c>
      <c r="I288" s="12">
        <v>3100.0</v>
      </c>
      <c r="J288" s="12">
        <v>4050.0</v>
      </c>
      <c r="K288" s="12">
        <v>3750.0</v>
      </c>
      <c r="L288" s="11" t="s">
        <v>1140</v>
      </c>
      <c r="M288" s="11" t="s">
        <v>1141</v>
      </c>
      <c r="N288" s="11" t="s">
        <v>903</v>
      </c>
      <c r="O288" s="11" t="s">
        <v>83</v>
      </c>
      <c r="P288" s="11" t="s">
        <v>63</v>
      </c>
      <c r="Q288" s="13" t="str">
        <f>IFERROR(VLOOKUP(E288,'SF Churn Data'!E:R,14,0),"")</f>
        <v/>
      </c>
    </row>
    <row r="289" hidden="1">
      <c r="A289" s="11" t="s">
        <v>216</v>
      </c>
      <c r="B289" s="11" t="s">
        <v>45</v>
      </c>
      <c r="C289" s="11" t="s">
        <v>45</v>
      </c>
      <c r="D289" s="11" t="s">
        <v>1142</v>
      </c>
      <c r="E289" s="11" t="s">
        <v>1143</v>
      </c>
      <c r="F289" s="11" t="s">
        <v>228</v>
      </c>
      <c r="G289" s="11">
        <v>8.45</v>
      </c>
      <c r="H289" s="11" t="s">
        <v>45</v>
      </c>
      <c r="I289" s="12">
        <v>3194.0</v>
      </c>
      <c r="J289" s="12">
        <v>4500.0</v>
      </c>
      <c r="K289" s="11">
        <v>3850.0</v>
      </c>
      <c r="L289" s="11" t="s">
        <v>1144</v>
      </c>
      <c r="M289" s="11" t="s">
        <v>1145</v>
      </c>
      <c r="N289" s="11" t="s">
        <v>1146</v>
      </c>
      <c r="O289" s="11" t="s">
        <v>41</v>
      </c>
      <c r="P289" s="11" t="s">
        <v>42</v>
      </c>
      <c r="Q289" s="13" t="str">
        <f>IFERROR(VLOOKUP(E289,'SF Churn Data'!E:R,14,0),"")</f>
        <v/>
      </c>
    </row>
    <row r="290" hidden="1">
      <c r="A290" s="11" t="s">
        <v>49</v>
      </c>
      <c r="B290" s="11" t="s">
        <v>44</v>
      </c>
      <c r="C290" s="11" t="s">
        <v>76</v>
      </c>
      <c r="D290" s="11" t="s">
        <v>1147</v>
      </c>
      <c r="E290" s="11" t="s">
        <v>1148</v>
      </c>
      <c r="F290" s="11" t="s">
        <v>228</v>
      </c>
      <c r="G290" s="11">
        <v>19.84</v>
      </c>
      <c r="H290" s="11" t="s">
        <v>120</v>
      </c>
      <c r="I290" s="12">
        <v>7320.0</v>
      </c>
      <c r="J290" s="12">
        <v>8450.0</v>
      </c>
      <c r="K290" s="12">
        <v>8850.0</v>
      </c>
      <c r="L290" s="11" t="s">
        <v>1149</v>
      </c>
      <c r="M290" s="11" t="s">
        <v>1150</v>
      </c>
      <c r="N290" s="11" t="s">
        <v>903</v>
      </c>
      <c r="O290" s="11" t="s">
        <v>57</v>
      </c>
      <c r="P290" s="11" t="s">
        <v>48</v>
      </c>
      <c r="Q290" s="13" t="str">
        <f>IFERROR(VLOOKUP(E290,'SF Churn Data'!E:R,14,0),"")</f>
        <v/>
      </c>
    </row>
    <row r="291" hidden="1">
      <c r="A291" s="11" t="s">
        <v>158</v>
      </c>
      <c r="B291" s="11" t="s">
        <v>45</v>
      </c>
      <c r="C291" s="11" t="s">
        <v>45</v>
      </c>
      <c r="D291" s="11" t="s">
        <v>1151</v>
      </c>
      <c r="E291" s="11" t="s">
        <v>1152</v>
      </c>
      <c r="F291" s="11" t="s">
        <v>228</v>
      </c>
      <c r="G291" s="11">
        <v>10.0</v>
      </c>
      <c r="H291" s="11" t="s">
        <v>45</v>
      </c>
      <c r="I291" s="12">
        <v>2542.0</v>
      </c>
      <c r="J291" s="12">
        <v>2550.0</v>
      </c>
      <c r="K291" s="12">
        <v>3100.0</v>
      </c>
      <c r="L291" s="11" t="s">
        <v>1153</v>
      </c>
      <c r="M291" s="11" t="s">
        <v>1145</v>
      </c>
      <c r="N291" s="11" t="s">
        <v>1146</v>
      </c>
      <c r="O291" s="11" t="s">
        <v>41</v>
      </c>
      <c r="P291" s="11" t="s">
        <v>162</v>
      </c>
      <c r="Q291" s="13" t="str">
        <f>IFERROR(VLOOKUP(E291,'SF Churn Data'!E:R,14,0),"")</f>
        <v/>
      </c>
    </row>
    <row r="292" hidden="1">
      <c r="A292" s="11" t="s">
        <v>912</v>
      </c>
      <c r="B292" s="11" t="s">
        <v>45</v>
      </c>
      <c r="C292" s="11" t="s">
        <v>45</v>
      </c>
      <c r="D292" s="11" t="s">
        <v>1154</v>
      </c>
      <c r="E292" s="11" t="s">
        <v>1155</v>
      </c>
      <c r="F292" s="11" t="s">
        <v>228</v>
      </c>
      <c r="G292" s="11">
        <v>7.98</v>
      </c>
      <c r="H292" s="11" t="s">
        <v>45</v>
      </c>
      <c r="I292" s="12">
        <v>2600.0</v>
      </c>
      <c r="J292" s="12">
        <v>3250.0</v>
      </c>
      <c r="K292" s="12">
        <v>3000.0</v>
      </c>
      <c r="L292" s="11" t="s">
        <v>1156</v>
      </c>
      <c r="M292" s="11" t="s">
        <v>1157</v>
      </c>
      <c r="N292" s="11" t="s">
        <v>131</v>
      </c>
      <c r="O292" s="11" t="s">
        <v>57</v>
      </c>
      <c r="P292" s="11" t="s">
        <v>917</v>
      </c>
      <c r="Q292" s="13" t="str">
        <f>IFERROR(VLOOKUP(E292,'SF Churn Data'!E:R,14,0),"")</f>
        <v/>
      </c>
    </row>
    <row r="293" hidden="1">
      <c r="A293" s="11" t="s">
        <v>216</v>
      </c>
      <c r="B293" s="11" t="s">
        <v>44</v>
      </c>
      <c r="C293" s="11" t="s">
        <v>133</v>
      </c>
      <c r="D293" s="11" t="s">
        <v>1158</v>
      </c>
      <c r="E293" s="11" t="s">
        <v>1159</v>
      </c>
      <c r="F293" s="11" t="s">
        <v>228</v>
      </c>
      <c r="G293" s="11">
        <v>12.02</v>
      </c>
      <c r="H293" s="11" t="s">
        <v>56</v>
      </c>
      <c r="I293" s="12">
        <v>4684.0</v>
      </c>
      <c r="J293" s="12">
        <v>6600.0</v>
      </c>
      <c r="K293" s="12">
        <v>5650.0</v>
      </c>
      <c r="L293" s="11" t="s">
        <v>1160</v>
      </c>
      <c r="M293" s="11" t="s">
        <v>1161</v>
      </c>
      <c r="N293" s="11" t="s">
        <v>1146</v>
      </c>
      <c r="O293" s="11" t="s">
        <v>41</v>
      </c>
      <c r="P293" s="11" t="s">
        <v>42</v>
      </c>
      <c r="Q293" s="13" t="str">
        <f>IFERROR(VLOOKUP(E293,'SF Churn Data'!E:R,14,0),"")</f>
        <v/>
      </c>
    </row>
    <row r="294" hidden="1">
      <c r="A294" s="11" t="s">
        <v>364</v>
      </c>
      <c r="B294" s="11" t="s">
        <v>36</v>
      </c>
      <c r="C294" s="11"/>
      <c r="D294" s="11" t="s">
        <v>1162</v>
      </c>
      <c r="E294" s="11" t="s">
        <v>1163</v>
      </c>
      <c r="F294" s="11" t="s">
        <v>228</v>
      </c>
      <c r="G294" s="11">
        <v>20.46</v>
      </c>
      <c r="H294" s="11"/>
      <c r="I294" s="12">
        <v>2000.0</v>
      </c>
      <c r="J294" s="12">
        <v>2000.0</v>
      </c>
      <c r="K294" s="11"/>
      <c r="L294" s="11" t="s">
        <v>1164</v>
      </c>
      <c r="M294" s="11" t="s">
        <v>1165</v>
      </c>
      <c r="N294" s="11" t="s">
        <v>343</v>
      </c>
      <c r="O294" s="11" t="s">
        <v>41</v>
      </c>
      <c r="P294" s="11" t="s">
        <v>369</v>
      </c>
      <c r="Q294" s="13" t="str">
        <f>IFERROR(VLOOKUP(E294,'SF Churn Data'!E:R,14,0),"")</f>
        <v/>
      </c>
    </row>
    <row r="295" hidden="1">
      <c r="A295" s="11" t="s">
        <v>210</v>
      </c>
      <c r="B295" s="11" t="s">
        <v>36</v>
      </c>
      <c r="C295" s="11" t="s">
        <v>1166</v>
      </c>
      <c r="D295" s="11" t="s">
        <v>1167</v>
      </c>
      <c r="E295" s="11" t="s">
        <v>1168</v>
      </c>
      <c r="F295" s="11" t="s">
        <v>228</v>
      </c>
      <c r="G295" s="11">
        <v>12.98</v>
      </c>
      <c r="H295" s="11"/>
      <c r="I295" s="12">
        <v>3500.0</v>
      </c>
      <c r="J295" s="12">
        <v>4550.0</v>
      </c>
      <c r="K295" s="12"/>
      <c r="L295" s="11" t="s">
        <v>1169</v>
      </c>
      <c r="M295" s="11" t="s">
        <v>1170</v>
      </c>
      <c r="N295" s="11" t="s">
        <v>903</v>
      </c>
      <c r="O295" s="11" t="s">
        <v>41</v>
      </c>
      <c r="P295" s="11" t="s">
        <v>63</v>
      </c>
      <c r="Q295" s="13" t="str">
        <f>IFERROR(VLOOKUP(E295,'SF Churn Data'!E:R,14,0),"")</f>
        <v/>
      </c>
    </row>
    <row r="296" hidden="1">
      <c r="A296" s="11" t="s">
        <v>210</v>
      </c>
      <c r="B296" s="11" t="s">
        <v>44</v>
      </c>
      <c r="C296" s="11" t="s">
        <v>64</v>
      </c>
      <c r="D296" s="11" t="s">
        <v>1171</v>
      </c>
      <c r="E296" s="11" t="s">
        <v>1172</v>
      </c>
      <c r="F296" s="11" t="s">
        <v>228</v>
      </c>
      <c r="G296" s="11">
        <v>17.05</v>
      </c>
      <c r="H296" s="11" t="s">
        <v>120</v>
      </c>
      <c r="I296" s="12">
        <v>6250.0</v>
      </c>
      <c r="J296" s="12">
        <v>8150.0</v>
      </c>
      <c r="K296" s="12">
        <v>7500.0</v>
      </c>
      <c r="L296" s="11" t="s">
        <v>1173</v>
      </c>
      <c r="M296" s="11" t="s">
        <v>1174</v>
      </c>
      <c r="N296" s="11" t="s">
        <v>903</v>
      </c>
      <c r="O296" s="11" t="s">
        <v>83</v>
      </c>
      <c r="P296" s="11" t="s">
        <v>63</v>
      </c>
      <c r="Q296" s="13" t="str">
        <f>IFERROR(VLOOKUP(E296,'SF Churn Data'!E:R,14,0),"")</f>
        <v/>
      </c>
    </row>
    <row r="297" hidden="1">
      <c r="A297" s="11" t="s">
        <v>49</v>
      </c>
      <c r="B297" s="11" t="s">
        <v>44</v>
      </c>
      <c r="C297" s="11" t="s">
        <v>133</v>
      </c>
      <c r="D297" s="11" t="s">
        <v>1175</v>
      </c>
      <c r="E297" s="11" t="s">
        <v>1176</v>
      </c>
      <c r="F297" s="11" t="s">
        <v>228</v>
      </c>
      <c r="G297" s="11">
        <v>13.03</v>
      </c>
      <c r="H297" s="11" t="s">
        <v>56</v>
      </c>
      <c r="I297" s="12">
        <v>5680.0</v>
      </c>
      <c r="J297" s="12">
        <v>6550.0</v>
      </c>
      <c r="K297" s="11">
        <v>6850.0</v>
      </c>
      <c r="L297" s="11" t="s">
        <v>1177</v>
      </c>
      <c r="M297" s="11" t="s">
        <v>1178</v>
      </c>
      <c r="N297" s="11" t="s">
        <v>903</v>
      </c>
      <c r="O297" s="11" t="s">
        <v>57</v>
      </c>
      <c r="P297" s="11" t="s">
        <v>48</v>
      </c>
      <c r="Q297" s="13" t="str">
        <f>IFERROR(VLOOKUP(E297,'SF Churn Data'!E:R,14,0),"")</f>
        <v/>
      </c>
    </row>
    <row r="298" hidden="1">
      <c r="A298" s="11" t="s">
        <v>148</v>
      </c>
      <c r="B298" s="11" t="s">
        <v>44</v>
      </c>
      <c r="C298" s="11" t="s">
        <v>64</v>
      </c>
      <c r="D298" s="11" t="s">
        <v>1179</v>
      </c>
      <c r="E298" s="11" t="s">
        <v>1180</v>
      </c>
      <c r="F298" s="11" t="s">
        <v>228</v>
      </c>
      <c r="G298" s="11">
        <v>18.1</v>
      </c>
      <c r="H298" s="11" t="s">
        <v>56</v>
      </c>
      <c r="I298" s="12">
        <v>7096.0</v>
      </c>
      <c r="J298" s="12">
        <v>7100.0</v>
      </c>
      <c r="K298" s="11">
        <v>8550.0</v>
      </c>
      <c r="L298" s="11" t="s">
        <v>1181</v>
      </c>
      <c r="M298" s="11" t="s">
        <v>1182</v>
      </c>
      <c r="N298" s="11" t="s">
        <v>240</v>
      </c>
      <c r="O298" s="11" t="s">
        <v>151</v>
      </c>
      <c r="P298" s="11" t="s">
        <v>48</v>
      </c>
      <c r="Q298" s="13" t="str">
        <f>IFERROR(VLOOKUP(E298,'SF Churn Data'!E:R,14,0),"")</f>
        <v/>
      </c>
    </row>
    <row r="299" hidden="1">
      <c r="A299" s="11" t="s">
        <v>35</v>
      </c>
      <c r="B299" s="11" t="s">
        <v>44</v>
      </c>
      <c r="C299" s="11" t="s">
        <v>133</v>
      </c>
      <c r="D299" s="11" t="s">
        <v>1183</v>
      </c>
      <c r="E299" s="11" t="s">
        <v>1184</v>
      </c>
      <c r="F299" s="11" t="s">
        <v>228</v>
      </c>
      <c r="G299" s="11">
        <v>14.73</v>
      </c>
      <c r="H299" s="11" t="s">
        <v>56</v>
      </c>
      <c r="I299" s="12">
        <v>5436.0</v>
      </c>
      <c r="J299" s="12">
        <v>7350.0</v>
      </c>
      <c r="K299" s="12">
        <v>6550.0</v>
      </c>
      <c r="L299" s="11" t="s">
        <v>1185</v>
      </c>
      <c r="M299" s="11" t="s">
        <v>1186</v>
      </c>
      <c r="N299" s="11" t="s">
        <v>143</v>
      </c>
      <c r="O299" s="11" t="s">
        <v>57</v>
      </c>
      <c r="P299" s="11" t="s">
        <v>42</v>
      </c>
      <c r="Q299" s="13" t="str">
        <f>IFERROR(VLOOKUP(E299,'SF Churn Data'!E:R,14,0),"")</f>
        <v/>
      </c>
    </row>
    <row r="300" hidden="1">
      <c r="A300" s="11" t="s">
        <v>49</v>
      </c>
      <c r="B300" s="11" t="s">
        <v>44</v>
      </c>
      <c r="C300" s="11" t="s">
        <v>113</v>
      </c>
      <c r="D300" s="11" t="s">
        <v>1187</v>
      </c>
      <c r="E300" s="11" t="s">
        <v>1188</v>
      </c>
      <c r="F300" s="11" t="s">
        <v>228</v>
      </c>
      <c r="G300" s="11">
        <v>12.05</v>
      </c>
      <c r="H300" s="11" t="s">
        <v>116</v>
      </c>
      <c r="I300" s="12">
        <v>5350.0</v>
      </c>
      <c r="J300" s="12">
        <v>6200.0</v>
      </c>
      <c r="K300" s="12">
        <v>6450.0</v>
      </c>
      <c r="L300" s="11" t="s">
        <v>1189</v>
      </c>
      <c r="M300" s="11" t="s">
        <v>1190</v>
      </c>
      <c r="N300" s="11" t="s">
        <v>903</v>
      </c>
      <c r="O300" s="11" t="s">
        <v>57</v>
      </c>
      <c r="P300" s="11" t="s">
        <v>48</v>
      </c>
      <c r="Q300" s="13" t="str">
        <f>IFERROR(VLOOKUP(E300,'SF Churn Data'!E:R,14,0),"")</f>
        <v/>
      </c>
    </row>
    <row r="301" hidden="1">
      <c r="A301" s="11" t="s">
        <v>165</v>
      </c>
      <c r="B301" s="11" t="s">
        <v>44</v>
      </c>
      <c r="C301" s="11" t="s">
        <v>53</v>
      </c>
      <c r="D301" s="11" t="s">
        <v>1191</v>
      </c>
      <c r="E301" s="11" t="s">
        <v>1192</v>
      </c>
      <c r="F301" s="11" t="s">
        <v>228</v>
      </c>
      <c r="G301" s="11">
        <v>16.71</v>
      </c>
      <c r="H301" s="11" t="s">
        <v>56</v>
      </c>
      <c r="I301" s="12">
        <v>3563.0</v>
      </c>
      <c r="J301" s="12">
        <v>4300.0</v>
      </c>
      <c r="K301" s="11">
        <v>4350.0</v>
      </c>
      <c r="L301" s="11" t="s">
        <v>1193</v>
      </c>
      <c r="M301" s="11" t="s">
        <v>1194</v>
      </c>
      <c r="N301" s="11" t="s">
        <v>240</v>
      </c>
      <c r="O301" s="11" t="s">
        <v>41</v>
      </c>
      <c r="P301" s="11"/>
      <c r="Q301" s="13" t="str">
        <f>IFERROR(VLOOKUP(E301,'SF Churn Data'!E:R,14,0),"")</f>
        <v/>
      </c>
    </row>
    <row r="302" hidden="1">
      <c r="A302" s="11" t="s">
        <v>191</v>
      </c>
      <c r="B302" s="11" t="s">
        <v>45</v>
      </c>
      <c r="C302" s="11" t="s">
        <v>45</v>
      </c>
      <c r="D302" s="11" t="s">
        <v>1195</v>
      </c>
      <c r="E302" s="11" t="s">
        <v>1196</v>
      </c>
      <c r="F302" s="11" t="s">
        <v>228</v>
      </c>
      <c r="G302" s="11">
        <v>11.28</v>
      </c>
      <c r="H302" s="11" t="s">
        <v>45</v>
      </c>
      <c r="I302" s="12">
        <v>3900.0</v>
      </c>
      <c r="J302" s="12">
        <v>5100.0</v>
      </c>
      <c r="K302" s="12"/>
      <c r="L302" s="11" t="s">
        <v>1197</v>
      </c>
      <c r="M302" s="11" t="s">
        <v>1198</v>
      </c>
      <c r="N302" s="11" t="s">
        <v>316</v>
      </c>
      <c r="O302" s="11" t="s">
        <v>57</v>
      </c>
      <c r="P302" s="11" t="s">
        <v>48</v>
      </c>
      <c r="Q302" s="13" t="str">
        <f>IFERROR(VLOOKUP(E302,'SF Churn Data'!E:R,14,0),"")</f>
        <v/>
      </c>
    </row>
    <row r="303" hidden="1">
      <c r="A303" s="11" t="s">
        <v>1199</v>
      </c>
      <c r="B303" s="11" t="s">
        <v>44</v>
      </c>
      <c r="C303" s="11" t="s">
        <v>64</v>
      </c>
      <c r="D303" s="11" t="s">
        <v>1200</v>
      </c>
      <c r="E303" s="11" t="s">
        <v>1201</v>
      </c>
      <c r="F303" s="11" t="s">
        <v>228</v>
      </c>
      <c r="G303" s="11">
        <v>17.1</v>
      </c>
      <c r="H303" s="11" t="s">
        <v>1202</v>
      </c>
      <c r="I303" s="12">
        <v>450.0</v>
      </c>
      <c r="J303" s="12">
        <v>360.0</v>
      </c>
      <c r="K303" s="11"/>
      <c r="L303" s="11" t="s">
        <v>1203</v>
      </c>
      <c r="M303" s="11" t="s">
        <v>1204</v>
      </c>
      <c r="N303" s="11" t="s">
        <v>491</v>
      </c>
      <c r="O303" s="11" t="s">
        <v>41</v>
      </c>
      <c r="P303" s="11"/>
      <c r="Q303" s="13" t="str">
        <f>IFERROR(VLOOKUP(E303,'SF Churn Data'!E:R,14,0),"")</f>
        <v/>
      </c>
    </row>
    <row r="304" hidden="1">
      <c r="A304" s="11" t="s">
        <v>1199</v>
      </c>
      <c r="B304" s="11" t="s">
        <v>44</v>
      </c>
      <c r="C304" s="11" t="s">
        <v>151</v>
      </c>
      <c r="D304" s="11" t="s">
        <v>1205</v>
      </c>
      <c r="E304" s="11" t="s">
        <v>1206</v>
      </c>
      <c r="F304" s="11" t="s">
        <v>228</v>
      </c>
      <c r="G304" s="11">
        <v>25.3</v>
      </c>
      <c r="H304" s="11" t="s">
        <v>1207</v>
      </c>
      <c r="I304" s="12">
        <v>600.0</v>
      </c>
      <c r="J304" s="12">
        <v>480.0</v>
      </c>
      <c r="K304" s="11"/>
      <c r="L304" s="11" t="s">
        <v>1208</v>
      </c>
      <c r="M304" s="11" t="s">
        <v>1209</v>
      </c>
      <c r="N304" s="11" t="s">
        <v>240</v>
      </c>
      <c r="O304" s="11" t="s">
        <v>57</v>
      </c>
      <c r="P304" s="11"/>
      <c r="Q304" s="13" t="str">
        <f>IFERROR(VLOOKUP(E304,'SF Churn Data'!E:R,14,0),"")</f>
        <v/>
      </c>
    </row>
    <row r="305" hidden="1">
      <c r="A305" s="11" t="s">
        <v>1199</v>
      </c>
      <c r="B305" s="11" t="s">
        <v>44</v>
      </c>
      <c r="C305" s="11" t="s">
        <v>180</v>
      </c>
      <c r="D305" s="11" t="s">
        <v>1210</v>
      </c>
      <c r="E305" s="11" t="s">
        <v>1211</v>
      </c>
      <c r="F305" s="11" t="s">
        <v>228</v>
      </c>
      <c r="G305" s="11">
        <v>22.01</v>
      </c>
      <c r="H305" s="11" t="s">
        <v>1207</v>
      </c>
      <c r="I305" s="12">
        <v>550.0</v>
      </c>
      <c r="J305" s="12">
        <v>440.0</v>
      </c>
      <c r="K305" s="11"/>
      <c r="L305" s="11" t="s">
        <v>1212</v>
      </c>
      <c r="M305" s="11" t="s">
        <v>1213</v>
      </c>
      <c r="N305" s="11" t="s">
        <v>240</v>
      </c>
      <c r="O305" s="11" t="s">
        <v>41</v>
      </c>
      <c r="P305" s="11"/>
      <c r="Q305" s="13" t="str">
        <f>IFERROR(VLOOKUP(E305,'SF Churn Data'!E:R,14,0),"")</f>
        <v/>
      </c>
    </row>
    <row r="306" hidden="1">
      <c r="A306" s="11" t="s">
        <v>1199</v>
      </c>
      <c r="B306" s="11" t="s">
        <v>44</v>
      </c>
      <c r="C306" s="11" t="s">
        <v>76</v>
      </c>
      <c r="D306" s="11" t="s">
        <v>1214</v>
      </c>
      <c r="E306" s="11" t="s">
        <v>1215</v>
      </c>
      <c r="F306" s="11" t="s">
        <v>228</v>
      </c>
      <c r="G306" s="11">
        <v>20.49</v>
      </c>
      <c r="H306" s="11" t="s">
        <v>1202</v>
      </c>
      <c r="I306" s="12">
        <v>500.0</v>
      </c>
      <c r="J306" s="12">
        <v>400.0</v>
      </c>
      <c r="K306" s="11"/>
      <c r="L306" s="11" t="s">
        <v>1216</v>
      </c>
      <c r="M306" s="11" t="s">
        <v>1217</v>
      </c>
      <c r="N306" s="11" t="s">
        <v>240</v>
      </c>
      <c r="O306" s="11" t="s">
        <v>57</v>
      </c>
      <c r="P306" s="11"/>
      <c r="Q306" s="13" t="str">
        <f>IFERROR(VLOOKUP(E306,'SF Churn Data'!E:R,14,0),"")</f>
        <v/>
      </c>
    </row>
    <row r="307" hidden="1">
      <c r="A307" s="11" t="s">
        <v>1199</v>
      </c>
      <c r="B307" s="11" t="s">
        <v>44</v>
      </c>
      <c r="C307" s="11" t="s">
        <v>76</v>
      </c>
      <c r="D307" s="11" t="s">
        <v>1218</v>
      </c>
      <c r="E307" s="11" t="s">
        <v>1219</v>
      </c>
      <c r="F307" s="11" t="s">
        <v>228</v>
      </c>
      <c r="G307" s="11">
        <v>20.49</v>
      </c>
      <c r="H307" s="11" t="s">
        <v>1202</v>
      </c>
      <c r="I307" s="12">
        <v>500.0</v>
      </c>
      <c r="J307" s="12">
        <v>400.0</v>
      </c>
      <c r="K307" s="11"/>
      <c r="L307" s="11" t="s">
        <v>1220</v>
      </c>
      <c r="M307" s="11" t="s">
        <v>1221</v>
      </c>
      <c r="N307" s="11" t="s">
        <v>240</v>
      </c>
      <c r="O307" s="11" t="s">
        <v>57</v>
      </c>
      <c r="P307" s="11"/>
      <c r="Q307" s="13" t="str">
        <f>IFERROR(VLOOKUP(E307,'SF Churn Data'!E:R,14,0),"")</f>
        <v/>
      </c>
    </row>
    <row r="308" hidden="1">
      <c r="A308" s="11" t="s">
        <v>1199</v>
      </c>
      <c r="B308" s="11" t="s">
        <v>44</v>
      </c>
      <c r="C308" s="11" t="s">
        <v>64</v>
      </c>
      <c r="D308" s="11" t="s">
        <v>1222</v>
      </c>
      <c r="E308" s="11" t="s">
        <v>1223</v>
      </c>
      <c r="F308" s="11" t="s">
        <v>228</v>
      </c>
      <c r="G308" s="11">
        <v>17.2</v>
      </c>
      <c r="H308" s="11" t="s">
        <v>1202</v>
      </c>
      <c r="I308" s="12">
        <v>450.0</v>
      </c>
      <c r="J308" s="12">
        <v>360.0</v>
      </c>
      <c r="K308" s="12"/>
      <c r="L308" s="11" t="s">
        <v>1224</v>
      </c>
      <c r="M308" s="11" t="s">
        <v>1225</v>
      </c>
      <c r="N308" s="11" t="s">
        <v>240</v>
      </c>
      <c r="O308" s="11" t="s">
        <v>41</v>
      </c>
      <c r="P308" s="11"/>
      <c r="Q308" s="13" t="str">
        <f>IFERROR(VLOOKUP(E308,'SF Churn Data'!E:R,14,0),"")</f>
        <v/>
      </c>
    </row>
    <row r="309" hidden="1">
      <c r="A309" s="11" t="s">
        <v>1199</v>
      </c>
      <c r="B309" s="11" t="s">
        <v>44</v>
      </c>
      <c r="C309" s="11" t="s">
        <v>76</v>
      </c>
      <c r="D309" s="11" t="s">
        <v>1226</v>
      </c>
      <c r="E309" s="11" t="s">
        <v>1227</v>
      </c>
      <c r="F309" s="11" t="s">
        <v>228</v>
      </c>
      <c r="G309" s="11">
        <v>20.49</v>
      </c>
      <c r="H309" s="11" t="s">
        <v>1202</v>
      </c>
      <c r="I309" s="12">
        <v>500.0</v>
      </c>
      <c r="J309" s="12">
        <v>400.0</v>
      </c>
      <c r="K309" s="11"/>
      <c r="L309" s="11" t="s">
        <v>1228</v>
      </c>
      <c r="M309" s="11" t="s">
        <v>1229</v>
      </c>
      <c r="N309" s="11" t="s">
        <v>240</v>
      </c>
      <c r="O309" s="11" t="s">
        <v>57</v>
      </c>
      <c r="P309" s="11"/>
      <c r="Q309" s="13" t="str">
        <f>IFERROR(VLOOKUP(E309,'SF Churn Data'!E:R,14,0),"")</f>
        <v/>
      </c>
    </row>
    <row r="310" hidden="1">
      <c r="A310" s="11" t="s">
        <v>1199</v>
      </c>
      <c r="B310" s="11" t="s">
        <v>44</v>
      </c>
      <c r="C310" s="11" t="s">
        <v>133</v>
      </c>
      <c r="D310" s="11" t="s">
        <v>1230</v>
      </c>
      <c r="E310" s="11" t="s">
        <v>1231</v>
      </c>
      <c r="F310" s="11" t="s">
        <v>228</v>
      </c>
      <c r="G310" s="11">
        <v>14.67</v>
      </c>
      <c r="H310" s="11" t="s">
        <v>56</v>
      </c>
      <c r="I310" s="12">
        <v>400.0</v>
      </c>
      <c r="J310" s="12">
        <v>320.0</v>
      </c>
      <c r="K310" s="11"/>
      <c r="L310" s="11" t="s">
        <v>1232</v>
      </c>
      <c r="M310" s="11" t="s">
        <v>1233</v>
      </c>
      <c r="N310" s="11" t="s">
        <v>240</v>
      </c>
      <c r="O310" s="11" t="s">
        <v>57</v>
      </c>
      <c r="P310" s="11"/>
      <c r="Q310" s="13" t="str">
        <f>IFERROR(VLOOKUP(E310,'SF Churn Data'!E:R,14,0),"")</f>
        <v/>
      </c>
    </row>
    <row r="311" hidden="1">
      <c r="A311" s="11" t="s">
        <v>1199</v>
      </c>
      <c r="B311" s="11" t="s">
        <v>44</v>
      </c>
      <c r="C311" s="11" t="s">
        <v>64</v>
      </c>
      <c r="D311" s="11" t="s">
        <v>1234</v>
      </c>
      <c r="E311" s="11" t="s">
        <v>1235</v>
      </c>
      <c r="F311" s="11" t="s">
        <v>228</v>
      </c>
      <c r="G311" s="11">
        <v>18.26</v>
      </c>
      <c r="H311" s="11" t="s">
        <v>1202</v>
      </c>
      <c r="I311" s="12">
        <v>450.0</v>
      </c>
      <c r="J311" s="12">
        <v>360.0</v>
      </c>
      <c r="K311" s="11"/>
      <c r="L311" s="11" t="s">
        <v>1236</v>
      </c>
      <c r="M311" s="11" t="s">
        <v>1237</v>
      </c>
      <c r="N311" s="11" t="s">
        <v>240</v>
      </c>
      <c r="O311" s="11" t="s">
        <v>57</v>
      </c>
      <c r="P311" s="11"/>
      <c r="Q311" s="13" t="str">
        <f>IFERROR(VLOOKUP(E311,'SF Churn Data'!E:R,14,0),"")</f>
        <v/>
      </c>
    </row>
    <row r="312" hidden="1">
      <c r="A312" s="11" t="s">
        <v>1238</v>
      </c>
      <c r="B312" s="11" t="s">
        <v>44</v>
      </c>
      <c r="C312" s="11" t="s">
        <v>1239</v>
      </c>
      <c r="D312" s="11" t="s">
        <v>1240</v>
      </c>
      <c r="E312" s="11" t="s">
        <v>1241</v>
      </c>
      <c r="F312" s="11" t="s">
        <v>228</v>
      </c>
      <c r="G312" s="11">
        <v>46.17</v>
      </c>
      <c r="H312" s="11" t="s">
        <v>1242</v>
      </c>
      <c r="I312" s="12">
        <v>6949.0</v>
      </c>
      <c r="J312" s="12">
        <v>9050.0</v>
      </c>
      <c r="K312" s="11"/>
      <c r="L312" s="11" t="s">
        <v>1243</v>
      </c>
      <c r="M312" s="11" t="s">
        <v>1244</v>
      </c>
      <c r="N312" s="11" t="s">
        <v>1034</v>
      </c>
      <c r="O312" s="11" t="s">
        <v>41</v>
      </c>
      <c r="P312" s="11" t="s">
        <v>144</v>
      </c>
      <c r="Q312" s="13" t="str">
        <f>IFERROR(VLOOKUP(E312,'SF Churn Data'!E:R,14,0),"")</f>
        <v/>
      </c>
    </row>
    <row r="313" ht="16.5" hidden="1" customHeight="1">
      <c r="A313" s="11" t="s">
        <v>148</v>
      </c>
      <c r="B313" s="11" t="s">
        <v>45</v>
      </c>
      <c r="C313" s="11" t="s">
        <v>45</v>
      </c>
      <c r="D313" s="11" t="s">
        <v>1245</v>
      </c>
      <c r="E313" s="11" t="s">
        <v>1246</v>
      </c>
      <c r="F313" s="11" t="s">
        <v>228</v>
      </c>
      <c r="G313" s="11">
        <v>13.7</v>
      </c>
      <c r="H313" s="11"/>
      <c r="I313" s="12">
        <v>4171.0</v>
      </c>
      <c r="J313" s="12">
        <v>4200.0</v>
      </c>
      <c r="K313" s="12"/>
      <c r="L313" s="11" t="s">
        <v>1247</v>
      </c>
      <c r="M313" s="11" t="s">
        <v>1248</v>
      </c>
      <c r="N313" s="11" t="s">
        <v>903</v>
      </c>
      <c r="O313" s="11" t="s">
        <v>151</v>
      </c>
      <c r="P313" s="11" t="s">
        <v>48</v>
      </c>
      <c r="Q313" s="13" t="str">
        <f>IFERROR(VLOOKUP(E313,'SF Churn Data'!E:R,14,0),"")</f>
        <v/>
      </c>
    </row>
    <row r="314" ht="18.0" hidden="1" customHeight="1">
      <c r="A314" s="11" t="s">
        <v>216</v>
      </c>
      <c r="B314" s="11" t="s">
        <v>44</v>
      </c>
      <c r="C314" s="11" t="s">
        <v>113</v>
      </c>
      <c r="D314" s="11" t="s">
        <v>1249</v>
      </c>
      <c r="E314" s="11" t="s">
        <v>1250</v>
      </c>
      <c r="F314" s="11" t="s">
        <v>228</v>
      </c>
      <c r="G314" s="14">
        <v>10.55</v>
      </c>
      <c r="H314" s="11" t="s">
        <v>116</v>
      </c>
      <c r="I314" s="12">
        <v>4173.0</v>
      </c>
      <c r="J314" s="12">
        <v>5850.0</v>
      </c>
      <c r="K314" s="11">
        <v>5050.0</v>
      </c>
      <c r="L314" s="11" t="s">
        <v>1251</v>
      </c>
      <c r="M314" s="11" t="s">
        <v>1042</v>
      </c>
      <c r="N314" s="11" t="s">
        <v>403</v>
      </c>
      <c r="O314" s="11" t="s">
        <v>83</v>
      </c>
      <c r="P314" s="11" t="s">
        <v>42</v>
      </c>
      <c r="Q314" s="13" t="str">
        <f>IFERROR(VLOOKUP(E314,'SF Churn Data'!E:R,14,0),"")</f>
        <v/>
      </c>
    </row>
    <row r="315" hidden="1">
      <c r="A315" s="11" t="s">
        <v>171</v>
      </c>
      <c r="B315" s="11" t="s">
        <v>45</v>
      </c>
      <c r="C315" s="11" t="s">
        <v>45</v>
      </c>
      <c r="D315" s="11" t="s">
        <v>1252</v>
      </c>
      <c r="E315" s="11" t="s">
        <v>1253</v>
      </c>
      <c r="F315" s="11" t="s">
        <v>228</v>
      </c>
      <c r="G315" s="11">
        <v>22.68</v>
      </c>
      <c r="H315" s="11" t="s">
        <v>45</v>
      </c>
      <c r="I315" s="12">
        <v>2490.0</v>
      </c>
      <c r="J315" s="12">
        <v>2900.0</v>
      </c>
      <c r="K315" s="12">
        <v>3000.0</v>
      </c>
      <c r="L315" s="11" t="s">
        <v>1254</v>
      </c>
      <c r="M315" s="11" t="s">
        <v>1255</v>
      </c>
      <c r="N315" s="11" t="s">
        <v>403</v>
      </c>
      <c r="O315" s="11" t="s">
        <v>198</v>
      </c>
      <c r="P315" s="11"/>
      <c r="Q315" s="13" t="str">
        <f>IFERROR(VLOOKUP(E315,'SF Churn Data'!E:R,14,0),"")</f>
        <v/>
      </c>
    </row>
    <row r="316" hidden="1">
      <c r="A316" s="11" t="s">
        <v>125</v>
      </c>
      <c r="B316" s="11" t="s">
        <v>36</v>
      </c>
      <c r="C316" s="11" t="s">
        <v>37</v>
      </c>
      <c r="D316" s="11" t="s">
        <v>1256</v>
      </c>
      <c r="E316" s="11" t="s">
        <v>1257</v>
      </c>
      <c r="F316" s="11" t="s">
        <v>228</v>
      </c>
      <c r="G316" s="11">
        <v>44.88</v>
      </c>
      <c r="H316" s="11" t="s">
        <v>168</v>
      </c>
      <c r="I316" s="12">
        <v>4500.0</v>
      </c>
      <c r="J316" s="12">
        <v>3850.0</v>
      </c>
      <c r="K316" s="11"/>
      <c r="L316" s="11" t="s">
        <v>1258</v>
      </c>
      <c r="M316" s="11" t="s">
        <v>1259</v>
      </c>
      <c r="N316" s="11" t="s">
        <v>316</v>
      </c>
      <c r="O316" s="11" t="s">
        <v>41</v>
      </c>
      <c r="P316" s="11"/>
      <c r="Q316" s="13" t="str">
        <f>IFERROR(VLOOKUP(E316,'SF Churn Data'!E:R,14,0),"")</f>
        <v/>
      </c>
    </row>
    <row r="317" hidden="1">
      <c r="A317" s="11" t="s">
        <v>138</v>
      </c>
      <c r="B317" s="11" t="s">
        <v>44</v>
      </c>
      <c r="C317" s="11" t="s">
        <v>76</v>
      </c>
      <c r="D317" s="11" t="s">
        <v>1260</v>
      </c>
      <c r="E317" s="11" t="s">
        <v>1261</v>
      </c>
      <c r="F317" s="11" t="s">
        <v>228</v>
      </c>
      <c r="G317" s="11">
        <v>22.77</v>
      </c>
      <c r="H317" s="11" t="s">
        <v>168</v>
      </c>
      <c r="I317" s="12">
        <v>4359.0</v>
      </c>
      <c r="J317" s="12">
        <v>6350.0</v>
      </c>
      <c r="K317" s="12">
        <v>5300.0</v>
      </c>
      <c r="L317" s="11" t="s">
        <v>1262</v>
      </c>
      <c r="M317" s="11" t="s">
        <v>1263</v>
      </c>
      <c r="N317" s="11" t="s">
        <v>903</v>
      </c>
      <c r="O317" s="11" t="s">
        <v>57</v>
      </c>
      <c r="P317" s="11" t="s">
        <v>144</v>
      </c>
      <c r="Q317" s="13" t="str">
        <f>IFERROR(VLOOKUP(E317,'SF Churn Data'!E:R,14,0),"")</f>
        <v/>
      </c>
    </row>
    <row r="318" hidden="1">
      <c r="A318" s="11" t="s">
        <v>148</v>
      </c>
      <c r="B318" s="11" t="s">
        <v>45</v>
      </c>
      <c r="C318" s="11" t="s">
        <v>45</v>
      </c>
      <c r="D318" s="11" t="s">
        <v>1264</v>
      </c>
      <c r="E318" s="11" t="s">
        <v>1265</v>
      </c>
      <c r="F318" s="11" t="s">
        <v>228</v>
      </c>
      <c r="G318" s="11">
        <v>13.4</v>
      </c>
      <c r="H318" s="11"/>
      <c r="I318" s="12">
        <v>4171.0</v>
      </c>
      <c r="J318" s="12">
        <v>4200.0</v>
      </c>
      <c r="K318" s="11"/>
      <c r="L318" s="11" t="s">
        <v>1266</v>
      </c>
      <c r="M318" s="11" t="s">
        <v>1267</v>
      </c>
      <c r="N318" s="11" t="s">
        <v>763</v>
      </c>
      <c r="O318" s="11" t="s">
        <v>151</v>
      </c>
      <c r="P318" s="11" t="s">
        <v>48</v>
      </c>
      <c r="Q318" s="13" t="str">
        <f>IFERROR(VLOOKUP(E318,'SF Churn Data'!E:R,14,0),"")</f>
        <v/>
      </c>
    </row>
    <row r="319" hidden="1">
      <c r="A319" s="11" t="s">
        <v>171</v>
      </c>
      <c r="B319" s="11" t="s">
        <v>44</v>
      </c>
      <c r="C319" s="11" t="s">
        <v>113</v>
      </c>
      <c r="D319" s="11" t="s">
        <v>1268</v>
      </c>
      <c r="E319" s="11" t="s">
        <v>1269</v>
      </c>
      <c r="F319" s="11" t="s">
        <v>228</v>
      </c>
      <c r="G319" s="11">
        <v>9.99</v>
      </c>
      <c r="H319" s="11" t="s">
        <v>116</v>
      </c>
      <c r="I319" s="12">
        <v>2490.0</v>
      </c>
      <c r="J319" s="12">
        <v>2900.0</v>
      </c>
      <c r="K319" s="12">
        <v>3600.0</v>
      </c>
      <c r="L319" s="11" t="s">
        <v>1270</v>
      </c>
      <c r="M319" s="11" t="s">
        <v>1271</v>
      </c>
      <c r="N319" s="11" t="s">
        <v>143</v>
      </c>
      <c r="O319" s="11" t="s">
        <v>117</v>
      </c>
      <c r="P319" s="11"/>
      <c r="Q319" s="13" t="str">
        <f>IFERROR(VLOOKUP(E319,'SF Churn Data'!E:R,14,0),"")</f>
        <v/>
      </c>
    </row>
    <row r="320" hidden="1">
      <c r="A320" s="11" t="s">
        <v>49</v>
      </c>
      <c r="B320" s="11" t="s">
        <v>44</v>
      </c>
      <c r="C320" s="11" t="s">
        <v>53</v>
      </c>
      <c r="D320" s="11" t="s">
        <v>1272</v>
      </c>
      <c r="E320" s="11" t="s">
        <v>1273</v>
      </c>
      <c r="F320" s="11" t="s">
        <v>228</v>
      </c>
      <c r="G320" s="11">
        <v>15.21</v>
      </c>
      <c r="H320" s="11" t="s">
        <v>56</v>
      </c>
      <c r="I320" s="12">
        <v>6445.0</v>
      </c>
      <c r="J320" s="12">
        <v>7450.0</v>
      </c>
      <c r="K320" s="12">
        <v>7750.0</v>
      </c>
      <c r="L320" s="11" t="s">
        <v>1274</v>
      </c>
      <c r="M320" s="11" t="s">
        <v>1275</v>
      </c>
      <c r="N320" s="11" t="s">
        <v>903</v>
      </c>
      <c r="O320" s="11" t="s">
        <v>57</v>
      </c>
      <c r="P320" s="11" t="s">
        <v>48</v>
      </c>
      <c r="Q320" s="13" t="str">
        <f>IFERROR(VLOOKUP(E320,'SF Churn Data'!E:R,14,0),"")</f>
        <v/>
      </c>
    </row>
    <row r="321" hidden="1">
      <c r="A321" s="11" t="s">
        <v>216</v>
      </c>
      <c r="B321" s="11" t="s">
        <v>44</v>
      </c>
      <c r="C321" s="11" t="s">
        <v>113</v>
      </c>
      <c r="D321" s="11" t="s">
        <v>1276</v>
      </c>
      <c r="E321" s="11" t="s">
        <v>1277</v>
      </c>
      <c r="F321" s="11" t="s">
        <v>228</v>
      </c>
      <c r="G321" s="11">
        <v>10.22</v>
      </c>
      <c r="H321" s="11" t="s">
        <v>116</v>
      </c>
      <c r="I321" s="12">
        <v>4173.0</v>
      </c>
      <c r="J321" s="12">
        <v>5850.0</v>
      </c>
      <c r="K321" s="11">
        <v>5050.0</v>
      </c>
      <c r="L321" s="11" t="s">
        <v>1278</v>
      </c>
      <c r="M321" s="11" t="s">
        <v>1279</v>
      </c>
      <c r="N321" s="11" t="s">
        <v>903</v>
      </c>
      <c r="O321" s="11" t="s">
        <v>57</v>
      </c>
      <c r="P321" s="11" t="s">
        <v>42</v>
      </c>
      <c r="Q321" s="13" t="str">
        <f>IFERROR(VLOOKUP(E321,'SF Churn Data'!E:R,14,0),"")</f>
        <v/>
      </c>
    </row>
    <row r="322" hidden="1">
      <c r="A322" s="11" t="s">
        <v>210</v>
      </c>
      <c r="B322" s="11" t="s">
        <v>45</v>
      </c>
      <c r="C322" s="11" t="s">
        <v>45</v>
      </c>
      <c r="D322" s="11" t="s">
        <v>1280</v>
      </c>
      <c r="E322" s="11" t="s">
        <v>1281</v>
      </c>
      <c r="F322" s="11" t="s">
        <v>228</v>
      </c>
      <c r="G322" s="11">
        <v>9.2</v>
      </c>
      <c r="H322" s="11" t="s">
        <v>40</v>
      </c>
      <c r="I322" s="12">
        <v>3100.0</v>
      </c>
      <c r="J322" s="12">
        <v>4050.0</v>
      </c>
      <c r="K322" s="11">
        <v>3750.0</v>
      </c>
      <c r="L322" s="11" t="s">
        <v>1282</v>
      </c>
      <c r="M322" s="11" t="s">
        <v>1283</v>
      </c>
      <c r="N322" s="11" t="s">
        <v>903</v>
      </c>
      <c r="O322" s="11" t="s">
        <v>83</v>
      </c>
      <c r="P322" s="11" t="s">
        <v>63</v>
      </c>
      <c r="Q322" s="13" t="str">
        <f>IFERROR(VLOOKUP(E322,'SF Churn Data'!E:R,14,0),"")</f>
        <v/>
      </c>
    </row>
    <row r="323" hidden="1">
      <c r="A323" s="11" t="s">
        <v>148</v>
      </c>
      <c r="B323" s="11" t="s">
        <v>45</v>
      </c>
      <c r="C323" s="11" t="s">
        <v>45</v>
      </c>
      <c r="D323" s="11" t="s">
        <v>1284</v>
      </c>
      <c r="E323" s="11" t="s">
        <v>1285</v>
      </c>
      <c r="F323" s="11" t="s">
        <v>228</v>
      </c>
      <c r="G323" s="11">
        <v>9.0</v>
      </c>
      <c r="H323" s="11" t="s">
        <v>45</v>
      </c>
      <c r="I323" s="12">
        <v>4171.0</v>
      </c>
      <c r="J323" s="12">
        <v>4200.0</v>
      </c>
      <c r="K323" s="12">
        <v>5050.0</v>
      </c>
      <c r="L323" s="11" t="s">
        <v>1286</v>
      </c>
      <c r="M323" s="11" t="s">
        <v>1287</v>
      </c>
      <c r="N323" s="11" t="s">
        <v>903</v>
      </c>
      <c r="O323" s="11" t="s">
        <v>57</v>
      </c>
      <c r="P323" s="11" t="s">
        <v>48</v>
      </c>
      <c r="Q323" s="13" t="str">
        <f>IFERROR(VLOOKUP(E323,'SF Churn Data'!E:R,14,0),"")</f>
        <v/>
      </c>
    </row>
    <row r="324" hidden="1">
      <c r="A324" s="11" t="s">
        <v>1029</v>
      </c>
      <c r="B324" s="11" t="s">
        <v>44</v>
      </c>
      <c r="C324" s="11" t="s">
        <v>53</v>
      </c>
      <c r="D324" s="11" t="s">
        <v>1288</v>
      </c>
      <c r="E324" s="11" t="s">
        <v>1289</v>
      </c>
      <c r="F324" s="11" t="s">
        <v>228</v>
      </c>
      <c r="G324" s="11">
        <v>16.29</v>
      </c>
      <c r="H324" s="11" t="s">
        <v>56</v>
      </c>
      <c r="I324" s="12">
        <v>450.0</v>
      </c>
      <c r="J324" s="12">
        <v>360.0</v>
      </c>
      <c r="K324" s="11"/>
      <c r="L324" s="11" t="s">
        <v>1290</v>
      </c>
      <c r="M324" s="11" t="s">
        <v>1291</v>
      </c>
      <c r="N324" s="11" t="s">
        <v>1034</v>
      </c>
      <c r="O324" s="11" t="s">
        <v>57</v>
      </c>
      <c r="P324" s="11"/>
      <c r="Q324" s="13" t="str">
        <f>IFERROR(VLOOKUP(E324,'SF Churn Data'!E:R,14,0),"")</f>
        <v/>
      </c>
    </row>
    <row r="325" hidden="1">
      <c r="A325" s="11" t="s">
        <v>1029</v>
      </c>
      <c r="B325" s="11" t="s">
        <v>44</v>
      </c>
      <c r="C325" s="11" t="s">
        <v>53</v>
      </c>
      <c r="D325" s="11" t="s">
        <v>1292</v>
      </c>
      <c r="E325" s="11" t="s">
        <v>1293</v>
      </c>
      <c r="F325" s="11" t="s">
        <v>228</v>
      </c>
      <c r="G325" s="11">
        <v>15.36</v>
      </c>
      <c r="H325" s="11" t="s">
        <v>56</v>
      </c>
      <c r="I325" s="12">
        <v>450.0</v>
      </c>
      <c r="J325" s="12">
        <v>360.0</v>
      </c>
      <c r="K325" s="11"/>
      <c r="L325" s="11" t="s">
        <v>1294</v>
      </c>
      <c r="M325" s="11" t="s">
        <v>1295</v>
      </c>
      <c r="N325" s="11" t="s">
        <v>1034</v>
      </c>
      <c r="O325" s="11" t="s">
        <v>57</v>
      </c>
      <c r="P325" s="11"/>
      <c r="Q325" s="13" t="str">
        <f>IFERROR(VLOOKUP(E325,'SF Churn Data'!E:R,14,0),"")</f>
        <v/>
      </c>
    </row>
    <row r="326" hidden="1">
      <c r="A326" s="11" t="s">
        <v>145</v>
      </c>
      <c r="B326" s="11" t="s">
        <v>44</v>
      </c>
      <c r="C326" s="11" t="s">
        <v>53</v>
      </c>
      <c r="D326" s="11" t="s">
        <v>1296</v>
      </c>
      <c r="E326" s="11" t="s">
        <v>1297</v>
      </c>
      <c r="F326" s="11" t="s">
        <v>228</v>
      </c>
      <c r="G326" s="11">
        <v>16.5</v>
      </c>
      <c r="H326" s="11" t="s">
        <v>56</v>
      </c>
      <c r="I326" s="12">
        <v>8592.0</v>
      </c>
      <c r="J326" s="12">
        <v>9500.0</v>
      </c>
      <c r="K326" s="12">
        <v>10350.0</v>
      </c>
      <c r="L326" s="11" t="s">
        <v>1298</v>
      </c>
      <c r="M326" s="11" t="s">
        <v>1299</v>
      </c>
      <c r="N326" s="11" t="s">
        <v>143</v>
      </c>
      <c r="O326" s="11" t="s">
        <v>151</v>
      </c>
      <c r="P326" s="11" t="s">
        <v>63</v>
      </c>
      <c r="Q326" s="13" t="str">
        <f>IFERROR(VLOOKUP(E326,'SF Churn Data'!E:R,14,0),"")</f>
        <v/>
      </c>
    </row>
    <row r="327" hidden="1">
      <c r="A327" s="11" t="s">
        <v>148</v>
      </c>
      <c r="B327" s="11" t="s">
        <v>45</v>
      </c>
      <c r="C327" s="11" t="s">
        <v>45</v>
      </c>
      <c r="D327" s="11" t="s">
        <v>1300</v>
      </c>
      <c r="E327" s="11" t="s">
        <v>1301</v>
      </c>
      <c r="F327" s="11" t="s">
        <v>228</v>
      </c>
      <c r="G327" s="11">
        <v>13.4</v>
      </c>
      <c r="H327" s="11"/>
      <c r="I327" s="12">
        <v>4171.0</v>
      </c>
      <c r="J327" s="12">
        <v>4200.0</v>
      </c>
      <c r="K327" s="11"/>
      <c r="L327" s="11" t="s">
        <v>1302</v>
      </c>
      <c r="M327" s="11" t="s">
        <v>1303</v>
      </c>
      <c r="N327" s="11" t="s">
        <v>143</v>
      </c>
      <c r="O327" s="11" t="s">
        <v>151</v>
      </c>
      <c r="P327" s="11" t="s">
        <v>48</v>
      </c>
      <c r="Q327" s="13" t="str">
        <f>IFERROR(VLOOKUP(E327,'SF Churn Data'!E:R,14,0),"")</f>
        <v/>
      </c>
    </row>
    <row r="328" hidden="1">
      <c r="A328" s="11" t="s">
        <v>154</v>
      </c>
      <c r="B328" s="11" t="s">
        <v>44</v>
      </c>
      <c r="C328" s="11" t="s">
        <v>64</v>
      </c>
      <c r="D328" s="11" t="s">
        <v>1304</v>
      </c>
      <c r="E328" s="11" t="s">
        <v>1305</v>
      </c>
      <c r="F328" s="11" t="s">
        <v>228</v>
      </c>
      <c r="G328" s="11">
        <v>18.0</v>
      </c>
      <c r="H328" s="11" t="s">
        <v>56</v>
      </c>
      <c r="I328" s="12">
        <v>5731.0</v>
      </c>
      <c r="J328" s="12">
        <v>8050.0</v>
      </c>
      <c r="K328" s="11">
        <v>6900.0</v>
      </c>
      <c r="L328" s="11" t="s">
        <v>1306</v>
      </c>
      <c r="M328" s="11" t="s">
        <v>1307</v>
      </c>
      <c r="N328" s="11" t="s">
        <v>1308</v>
      </c>
      <c r="O328" s="11" t="s">
        <v>151</v>
      </c>
      <c r="P328" s="11" t="s">
        <v>157</v>
      </c>
      <c r="Q328" s="13" t="str">
        <f>IFERROR(VLOOKUP(E328,'SF Churn Data'!E:R,14,0),"")</f>
        <v/>
      </c>
    </row>
    <row r="329" hidden="1">
      <c r="A329" s="11" t="s">
        <v>282</v>
      </c>
      <c r="B329" s="11" t="s">
        <v>45</v>
      </c>
      <c r="C329" s="11" t="s">
        <v>45</v>
      </c>
      <c r="D329" s="11" t="s">
        <v>1309</v>
      </c>
      <c r="E329" s="11" t="s">
        <v>1310</v>
      </c>
      <c r="F329" s="11" t="s">
        <v>228</v>
      </c>
      <c r="G329" s="11">
        <v>9.88</v>
      </c>
      <c r="H329" s="11" t="s">
        <v>45</v>
      </c>
      <c r="I329" s="12">
        <v>2838.0</v>
      </c>
      <c r="J329" s="12">
        <v>3450.0</v>
      </c>
      <c r="K329" s="11">
        <v>3450.0</v>
      </c>
      <c r="L329" s="11" t="s">
        <v>1311</v>
      </c>
      <c r="M329" s="11" t="s">
        <v>1312</v>
      </c>
      <c r="N329" s="11" t="s">
        <v>343</v>
      </c>
      <c r="O329" s="11" t="s">
        <v>41</v>
      </c>
      <c r="P329" s="11" t="s">
        <v>63</v>
      </c>
      <c r="Q329" s="13" t="str">
        <f>IFERROR(VLOOKUP(E329,'SF Churn Data'!E:R,14,0),"")</f>
        <v/>
      </c>
    </row>
    <row r="330" hidden="1">
      <c r="A330" s="11" t="s">
        <v>148</v>
      </c>
      <c r="B330" s="11" t="s">
        <v>45</v>
      </c>
      <c r="C330" s="11" t="s">
        <v>45</v>
      </c>
      <c r="D330" s="11" t="s">
        <v>1313</v>
      </c>
      <c r="E330" s="11" t="s">
        <v>1314</v>
      </c>
      <c r="F330" s="11" t="s">
        <v>228</v>
      </c>
      <c r="G330" s="11">
        <v>8.8</v>
      </c>
      <c r="H330" s="11" t="s">
        <v>45</v>
      </c>
      <c r="I330" s="12">
        <v>4171.0</v>
      </c>
      <c r="J330" s="12">
        <v>4200.0</v>
      </c>
      <c r="K330" s="12">
        <v>5050.0</v>
      </c>
      <c r="L330" s="11" t="s">
        <v>1315</v>
      </c>
      <c r="M330" s="11" t="s">
        <v>1145</v>
      </c>
      <c r="N330" s="11" t="s">
        <v>1146</v>
      </c>
      <c r="O330" s="11" t="s">
        <v>151</v>
      </c>
      <c r="P330" s="11" t="s">
        <v>48</v>
      </c>
      <c r="Q330" s="13" t="str">
        <f>IFERROR(VLOOKUP(E330,'SF Churn Data'!E:R,14,0),"")</f>
        <v/>
      </c>
    </row>
    <row r="331" hidden="1">
      <c r="A331" s="11" t="s">
        <v>35</v>
      </c>
      <c r="B331" s="11" t="s">
        <v>45</v>
      </c>
      <c r="C331" s="11" t="s">
        <v>45</v>
      </c>
      <c r="D331" s="11" t="s">
        <v>1316</v>
      </c>
      <c r="E331" s="11" t="s">
        <v>1317</v>
      </c>
      <c r="F331" s="11" t="s">
        <v>228</v>
      </c>
      <c r="G331" s="11">
        <v>9.32</v>
      </c>
      <c r="H331" s="11" t="s">
        <v>45</v>
      </c>
      <c r="I331" s="12">
        <v>2885.0</v>
      </c>
      <c r="J331" s="12">
        <v>3900.0</v>
      </c>
      <c r="K331" s="11">
        <v>3500.0</v>
      </c>
      <c r="L331" s="11" t="s">
        <v>1318</v>
      </c>
      <c r="M331" s="11" t="s">
        <v>382</v>
      </c>
      <c r="N331" s="11" t="s">
        <v>240</v>
      </c>
      <c r="O331" s="11" t="s">
        <v>83</v>
      </c>
      <c r="P331" s="11" t="s">
        <v>42</v>
      </c>
      <c r="Q331" s="13" t="str">
        <f>IFERROR(VLOOKUP(E331,'SF Churn Data'!E:R,14,0),"")</f>
        <v/>
      </c>
    </row>
    <row r="332" hidden="1">
      <c r="A332" s="11" t="s">
        <v>154</v>
      </c>
      <c r="B332" s="11" t="s">
        <v>44</v>
      </c>
      <c r="C332" s="11" t="s">
        <v>64</v>
      </c>
      <c r="D332" s="11" t="s">
        <v>1319</v>
      </c>
      <c r="E332" s="11" t="s">
        <v>1320</v>
      </c>
      <c r="F332" s="11" t="s">
        <v>228</v>
      </c>
      <c r="G332" s="11">
        <v>17.0</v>
      </c>
      <c r="H332" s="11" t="s">
        <v>56</v>
      </c>
      <c r="I332" s="12">
        <v>4799.0</v>
      </c>
      <c r="J332" s="12">
        <v>6750.0</v>
      </c>
      <c r="K332" s="11">
        <v>5800.0</v>
      </c>
      <c r="L332" s="11" t="s">
        <v>1321</v>
      </c>
      <c r="M332" s="11" t="s">
        <v>1322</v>
      </c>
      <c r="N332" s="11" t="s">
        <v>1308</v>
      </c>
      <c r="O332" s="11" t="s">
        <v>151</v>
      </c>
      <c r="P332" s="11" t="s">
        <v>157</v>
      </c>
      <c r="Q332" s="13" t="str">
        <f>IFERROR(VLOOKUP(E332,'SF Churn Data'!E:R,14,0),"")</f>
        <v/>
      </c>
    </row>
    <row r="333" hidden="1">
      <c r="A333" s="11" t="s">
        <v>125</v>
      </c>
      <c r="B333" s="11" t="s">
        <v>44</v>
      </c>
      <c r="C333" s="11" t="s">
        <v>133</v>
      </c>
      <c r="D333" s="11" t="s">
        <v>1323</v>
      </c>
      <c r="E333" s="11" t="s">
        <v>1324</v>
      </c>
      <c r="F333" s="11" t="s">
        <v>228</v>
      </c>
      <c r="G333" s="11">
        <v>12.48</v>
      </c>
      <c r="H333" s="11" t="s">
        <v>56</v>
      </c>
      <c r="I333" s="12">
        <v>2376.0</v>
      </c>
      <c r="J333" s="12">
        <v>2050.0</v>
      </c>
      <c r="K333" s="11">
        <v>3900.0</v>
      </c>
      <c r="L333" s="11" t="s">
        <v>1325</v>
      </c>
      <c r="M333" s="11" t="s">
        <v>1326</v>
      </c>
      <c r="N333" s="11" t="s">
        <v>403</v>
      </c>
      <c r="O333" s="11" t="s">
        <v>57</v>
      </c>
      <c r="P333" s="11"/>
      <c r="Q333" s="13" t="str">
        <f>IFERROR(VLOOKUP(E333,'SF Churn Data'!E:R,14,0),"")</f>
        <v/>
      </c>
    </row>
    <row r="334" hidden="1">
      <c r="A334" s="11" t="s">
        <v>225</v>
      </c>
      <c r="B334" s="11" t="s">
        <v>45</v>
      </c>
      <c r="C334" s="11" t="s">
        <v>45</v>
      </c>
      <c r="D334" s="11" t="s">
        <v>1327</v>
      </c>
      <c r="E334" s="11" t="s">
        <v>1328</v>
      </c>
      <c r="F334" s="11" t="s">
        <v>228</v>
      </c>
      <c r="G334" s="11">
        <v>9.0</v>
      </c>
      <c r="H334" s="11" t="s">
        <v>45</v>
      </c>
      <c r="I334" s="12">
        <v>3100.0</v>
      </c>
      <c r="J334" s="12">
        <v>4050.0</v>
      </c>
      <c r="K334" s="12">
        <v>3600.0</v>
      </c>
      <c r="L334" s="11" t="s">
        <v>1329</v>
      </c>
      <c r="M334" s="11" t="s">
        <v>1145</v>
      </c>
      <c r="N334" s="11" t="s">
        <v>1146</v>
      </c>
      <c r="O334" s="11" t="s">
        <v>41</v>
      </c>
      <c r="P334" s="11" t="s">
        <v>162</v>
      </c>
      <c r="Q334" s="13" t="str">
        <f>IFERROR(VLOOKUP(E334,'SF Churn Data'!E:R,14,0),"")</f>
        <v/>
      </c>
    </row>
    <row r="335" hidden="1">
      <c r="A335" s="11" t="s">
        <v>165</v>
      </c>
      <c r="B335" s="11" t="s">
        <v>45</v>
      </c>
      <c r="C335" s="11" t="s">
        <v>45</v>
      </c>
      <c r="D335" s="11" t="s">
        <v>1330</v>
      </c>
      <c r="E335" s="11" t="s">
        <v>1331</v>
      </c>
      <c r="F335" s="11" t="s">
        <v>228</v>
      </c>
      <c r="G335" s="11">
        <v>12.28</v>
      </c>
      <c r="H335" s="11" t="s">
        <v>45</v>
      </c>
      <c r="I335" s="12">
        <v>1892.0</v>
      </c>
      <c r="J335" s="12">
        <v>2300.0</v>
      </c>
      <c r="K335" s="11">
        <v>2300.0</v>
      </c>
      <c r="L335" s="11" t="s">
        <v>1332</v>
      </c>
      <c r="M335" s="11" t="s">
        <v>1333</v>
      </c>
      <c r="N335" s="11" t="s">
        <v>240</v>
      </c>
      <c r="O335" s="11" t="s">
        <v>41</v>
      </c>
      <c r="P335" s="11"/>
      <c r="Q335" s="13" t="str">
        <f>IFERROR(VLOOKUP(E335,'SF Churn Data'!E:R,14,0),"")</f>
        <v/>
      </c>
    </row>
    <row r="336" hidden="1">
      <c r="A336" s="11" t="s">
        <v>165</v>
      </c>
      <c r="B336" s="11" t="s">
        <v>44</v>
      </c>
      <c r="C336" s="11" t="s">
        <v>53</v>
      </c>
      <c r="D336" s="11" t="s">
        <v>1334</v>
      </c>
      <c r="E336" s="11" t="s">
        <v>1335</v>
      </c>
      <c r="F336" s="11" t="s">
        <v>228</v>
      </c>
      <c r="G336" s="11">
        <v>16.31</v>
      </c>
      <c r="H336" s="11" t="s">
        <v>56</v>
      </c>
      <c r="I336" s="12">
        <v>3563.0</v>
      </c>
      <c r="J336" s="12">
        <v>4300.0</v>
      </c>
      <c r="K336" s="11">
        <v>4350.0</v>
      </c>
      <c r="L336" s="11" t="s">
        <v>1336</v>
      </c>
      <c r="M336" s="11" t="s">
        <v>1337</v>
      </c>
      <c r="N336" s="11" t="s">
        <v>240</v>
      </c>
      <c r="O336" s="11" t="s">
        <v>41</v>
      </c>
      <c r="P336" s="11"/>
      <c r="Q336" s="13" t="str">
        <f>IFERROR(VLOOKUP(E336,'SF Churn Data'!E:R,14,0),"")</f>
        <v/>
      </c>
    </row>
    <row r="337" hidden="1">
      <c r="A337" s="11" t="s">
        <v>165</v>
      </c>
      <c r="B337" s="11" t="s">
        <v>44</v>
      </c>
      <c r="C337" s="11" t="s">
        <v>53</v>
      </c>
      <c r="D337" s="11" t="s">
        <v>1338</v>
      </c>
      <c r="E337" s="11" t="s">
        <v>1339</v>
      </c>
      <c r="F337" s="11" t="s">
        <v>228</v>
      </c>
      <c r="G337" s="11">
        <v>16.98</v>
      </c>
      <c r="H337" s="11" t="s">
        <v>56</v>
      </c>
      <c r="I337" s="12">
        <v>3563.0</v>
      </c>
      <c r="J337" s="12">
        <v>4300.0</v>
      </c>
      <c r="K337" s="12">
        <v>4350.0</v>
      </c>
      <c r="L337" s="11" t="s">
        <v>1340</v>
      </c>
      <c r="M337" s="11" t="s">
        <v>1341</v>
      </c>
      <c r="N337" s="11" t="s">
        <v>240</v>
      </c>
      <c r="O337" s="11" t="s">
        <v>41</v>
      </c>
      <c r="P337" s="11"/>
      <c r="Q337" s="13" t="str">
        <f>IFERROR(VLOOKUP(E337,'SF Churn Data'!E:R,14,0),"")</f>
        <v/>
      </c>
    </row>
    <row r="338" hidden="1">
      <c r="A338" s="11" t="s">
        <v>165</v>
      </c>
      <c r="B338" s="11" t="s">
        <v>45</v>
      </c>
      <c r="C338" s="11" t="s">
        <v>45</v>
      </c>
      <c r="D338" s="11" t="s">
        <v>1342</v>
      </c>
      <c r="E338" s="11" t="s">
        <v>1343</v>
      </c>
      <c r="F338" s="11" t="s">
        <v>228</v>
      </c>
      <c r="G338" s="11">
        <v>9.35</v>
      </c>
      <c r="H338" s="11" t="s">
        <v>45</v>
      </c>
      <c r="I338" s="12">
        <v>1892.0</v>
      </c>
      <c r="J338" s="12">
        <v>2300.0</v>
      </c>
      <c r="K338" s="11">
        <v>2300.0</v>
      </c>
      <c r="L338" s="11" t="s">
        <v>1344</v>
      </c>
      <c r="M338" s="11" t="s">
        <v>1345</v>
      </c>
      <c r="N338" s="11" t="s">
        <v>240</v>
      </c>
      <c r="O338" s="11" t="s">
        <v>41</v>
      </c>
      <c r="P338" s="11"/>
      <c r="Q338" s="13" t="str">
        <f>IFERROR(VLOOKUP(E338,'SF Churn Data'!E:R,14,0),"")</f>
        <v/>
      </c>
    </row>
    <row r="339" hidden="1">
      <c r="A339" s="11" t="s">
        <v>165</v>
      </c>
      <c r="B339" s="11" t="s">
        <v>44</v>
      </c>
      <c r="C339" s="11" t="s">
        <v>53</v>
      </c>
      <c r="D339" s="11" t="s">
        <v>1346</v>
      </c>
      <c r="E339" s="11" t="s">
        <v>1347</v>
      </c>
      <c r="F339" s="11" t="s">
        <v>228</v>
      </c>
      <c r="G339" s="11">
        <v>15.6</v>
      </c>
      <c r="H339" s="11" t="s">
        <v>56</v>
      </c>
      <c r="I339" s="12">
        <v>3563.0</v>
      </c>
      <c r="J339" s="12">
        <v>4300.0</v>
      </c>
      <c r="K339" s="11">
        <v>4350.0</v>
      </c>
      <c r="L339" s="11" t="s">
        <v>1348</v>
      </c>
      <c r="M339" s="11" t="s">
        <v>1349</v>
      </c>
      <c r="N339" s="11" t="s">
        <v>240</v>
      </c>
      <c r="O339" s="11" t="s">
        <v>41</v>
      </c>
      <c r="P339" s="11"/>
      <c r="Q339" s="13" t="str">
        <f>IFERROR(VLOOKUP(E339,'SF Churn Data'!E:R,14,0),"")</f>
        <v/>
      </c>
    </row>
    <row r="340" hidden="1">
      <c r="A340" s="11" t="s">
        <v>165</v>
      </c>
      <c r="B340" s="11" t="s">
        <v>44</v>
      </c>
      <c r="C340" s="11" t="s">
        <v>64</v>
      </c>
      <c r="D340" s="11" t="s">
        <v>1350</v>
      </c>
      <c r="E340" s="11" t="s">
        <v>1351</v>
      </c>
      <c r="F340" s="11" t="s">
        <v>228</v>
      </c>
      <c r="G340" s="11">
        <v>17.58</v>
      </c>
      <c r="H340" s="11" t="s">
        <v>120</v>
      </c>
      <c r="I340" s="12">
        <v>4039.0</v>
      </c>
      <c r="J340" s="12">
        <v>4850.0</v>
      </c>
      <c r="K340" s="11">
        <v>4900.0</v>
      </c>
      <c r="L340" s="11" t="s">
        <v>1352</v>
      </c>
      <c r="M340" s="11" t="s">
        <v>1353</v>
      </c>
      <c r="N340" s="11" t="s">
        <v>240</v>
      </c>
      <c r="O340" s="11" t="s">
        <v>41</v>
      </c>
      <c r="P340" s="11"/>
      <c r="Q340" s="13" t="str">
        <f>IFERROR(VLOOKUP(E340,'SF Churn Data'!E:R,14,0),"")</f>
        <v/>
      </c>
    </row>
    <row r="341" hidden="1">
      <c r="A341" s="11" t="s">
        <v>165</v>
      </c>
      <c r="B341" s="11" t="s">
        <v>44</v>
      </c>
      <c r="C341" s="11" t="s">
        <v>64</v>
      </c>
      <c r="D341" s="11" t="s">
        <v>1354</v>
      </c>
      <c r="E341" s="11" t="s">
        <v>1355</v>
      </c>
      <c r="F341" s="11" t="s">
        <v>228</v>
      </c>
      <c r="G341" s="11">
        <v>18.51</v>
      </c>
      <c r="H341" s="11" t="s">
        <v>120</v>
      </c>
      <c r="I341" s="12">
        <v>4039.0</v>
      </c>
      <c r="J341" s="12">
        <v>4850.0</v>
      </c>
      <c r="K341" s="11">
        <v>4900.0</v>
      </c>
      <c r="L341" s="11" t="s">
        <v>1356</v>
      </c>
      <c r="M341" s="11" t="s">
        <v>1357</v>
      </c>
      <c r="N341" s="11" t="s">
        <v>240</v>
      </c>
      <c r="O341" s="11" t="s">
        <v>41</v>
      </c>
      <c r="P341" s="11"/>
      <c r="Q341" s="13" t="str">
        <f>IFERROR(VLOOKUP(E341,'SF Churn Data'!E:R,14,0),"")</f>
        <v/>
      </c>
    </row>
    <row r="342" hidden="1">
      <c r="A342" s="11" t="s">
        <v>165</v>
      </c>
      <c r="B342" s="11" t="s">
        <v>44</v>
      </c>
      <c r="C342" s="11" t="s">
        <v>76</v>
      </c>
      <c r="D342" s="11" t="s">
        <v>1358</v>
      </c>
      <c r="E342" s="11" t="s">
        <v>1359</v>
      </c>
      <c r="F342" s="11" t="s">
        <v>228</v>
      </c>
      <c r="G342" s="11">
        <v>19.17</v>
      </c>
      <c r="H342" s="11" t="s">
        <v>120</v>
      </c>
      <c r="I342" s="12">
        <v>4275.0</v>
      </c>
      <c r="J342" s="12">
        <v>5150.0</v>
      </c>
      <c r="K342" s="12">
        <v>5200.0</v>
      </c>
      <c r="L342" s="11" t="s">
        <v>1360</v>
      </c>
      <c r="M342" s="11" t="s">
        <v>1361</v>
      </c>
      <c r="N342" s="11" t="s">
        <v>240</v>
      </c>
      <c r="O342" s="11" t="s">
        <v>41</v>
      </c>
      <c r="P342" s="11"/>
      <c r="Q342" s="13" t="str">
        <f>IFERROR(VLOOKUP(E342,'SF Churn Data'!E:R,14,0),"")</f>
        <v/>
      </c>
    </row>
    <row r="343" hidden="1">
      <c r="A343" s="11" t="s">
        <v>165</v>
      </c>
      <c r="B343" s="11" t="s">
        <v>44</v>
      </c>
      <c r="C343" s="11" t="s">
        <v>133</v>
      </c>
      <c r="D343" s="11" t="s">
        <v>1362</v>
      </c>
      <c r="E343" s="11" t="s">
        <v>1363</v>
      </c>
      <c r="F343" s="11" t="s">
        <v>228</v>
      </c>
      <c r="G343" s="11">
        <v>14.04</v>
      </c>
      <c r="H343" s="11" t="s">
        <v>56</v>
      </c>
      <c r="I343" s="12">
        <v>3086.0</v>
      </c>
      <c r="J343" s="12">
        <v>3750.0</v>
      </c>
      <c r="K343" s="12">
        <v>3750.0</v>
      </c>
      <c r="L343" s="11" t="s">
        <v>1364</v>
      </c>
      <c r="M343" s="11" t="s">
        <v>1365</v>
      </c>
      <c r="N343" s="11" t="s">
        <v>240</v>
      </c>
      <c r="O343" s="11" t="s">
        <v>41</v>
      </c>
      <c r="P343" s="11"/>
      <c r="Q343" s="13" t="str">
        <f>IFERROR(VLOOKUP(E343,'SF Churn Data'!E:R,14,0),"")</f>
        <v/>
      </c>
    </row>
    <row r="344" hidden="1">
      <c r="A344" s="11" t="s">
        <v>165</v>
      </c>
      <c r="B344" s="11"/>
      <c r="C344" s="11" t="s">
        <v>1166</v>
      </c>
      <c r="D344" s="11" t="s">
        <v>1366</v>
      </c>
      <c r="E344" s="11" t="s">
        <v>1367</v>
      </c>
      <c r="F344" s="11" t="s">
        <v>228</v>
      </c>
      <c r="G344" s="11">
        <v>23.05</v>
      </c>
      <c r="H344" s="11" t="s">
        <v>40</v>
      </c>
      <c r="I344" s="12">
        <v>1500.0</v>
      </c>
      <c r="J344" s="12">
        <v>1800.0</v>
      </c>
      <c r="K344" s="12"/>
      <c r="L344" s="11" t="s">
        <v>1368</v>
      </c>
      <c r="M344" s="11" t="s">
        <v>1369</v>
      </c>
      <c r="N344" s="11" t="s">
        <v>240</v>
      </c>
      <c r="O344" s="11" t="s">
        <v>41</v>
      </c>
      <c r="P344" s="11"/>
      <c r="Q344" s="13" t="str">
        <f>IFERROR(VLOOKUP(E344,'SF Churn Data'!E:R,14,0),"")</f>
        <v/>
      </c>
    </row>
    <row r="345" hidden="1">
      <c r="A345" s="11" t="s">
        <v>158</v>
      </c>
      <c r="B345" s="11" t="s">
        <v>45</v>
      </c>
      <c r="C345" s="11" t="s">
        <v>45</v>
      </c>
      <c r="D345" s="11" t="s">
        <v>1370</v>
      </c>
      <c r="E345" s="11" t="s">
        <v>1371</v>
      </c>
      <c r="F345" s="11" t="s">
        <v>228</v>
      </c>
      <c r="G345" s="11">
        <v>8.0</v>
      </c>
      <c r="H345" s="11" t="s">
        <v>45</v>
      </c>
      <c r="I345" s="12">
        <v>2542.0</v>
      </c>
      <c r="J345" s="12">
        <v>2550.0</v>
      </c>
      <c r="K345" s="12">
        <v>3100.0</v>
      </c>
      <c r="L345" s="11" t="s">
        <v>1372</v>
      </c>
      <c r="M345" s="11" t="s">
        <v>1373</v>
      </c>
      <c r="N345" s="11" t="s">
        <v>316</v>
      </c>
      <c r="O345" s="11" t="s">
        <v>41</v>
      </c>
      <c r="P345" s="11" t="s">
        <v>162</v>
      </c>
      <c r="Q345" s="13" t="str">
        <f>IFERROR(VLOOKUP(E345,'SF Churn Data'!E:R,14,0),"")</f>
        <v/>
      </c>
    </row>
    <row r="346" hidden="1">
      <c r="A346" s="11" t="s">
        <v>138</v>
      </c>
      <c r="B346" s="11" t="s">
        <v>44</v>
      </c>
      <c r="C346" s="11" t="s">
        <v>64</v>
      </c>
      <c r="D346" s="11" t="s">
        <v>1374</v>
      </c>
      <c r="E346" s="11" t="s">
        <v>1375</v>
      </c>
      <c r="F346" s="11" t="s">
        <v>228</v>
      </c>
      <c r="G346" s="11">
        <v>18.08</v>
      </c>
      <c r="H346" s="11" t="s">
        <v>120</v>
      </c>
      <c r="I346" s="12">
        <v>3944.0</v>
      </c>
      <c r="J346" s="12">
        <v>5750.0</v>
      </c>
      <c r="K346" s="12">
        <v>4750.0</v>
      </c>
      <c r="L346" s="11" t="s">
        <v>1376</v>
      </c>
      <c r="M346" s="11" t="s">
        <v>977</v>
      </c>
      <c r="N346" s="11" t="s">
        <v>403</v>
      </c>
      <c r="O346" s="11" t="s">
        <v>41</v>
      </c>
      <c r="P346" s="11" t="s">
        <v>144</v>
      </c>
      <c r="Q346" s="13" t="str">
        <f>IFERROR(VLOOKUP(E346,'SF Churn Data'!E:R,14,0),"")</f>
        <v/>
      </c>
    </row>
    <row r="347" hidden="1">
      <c r="A347" s="11" t="s">
        <v>282</v>
      </c>
      <c r="B347" s="11" t="s">
        <v>44</v>
      </c>
      <c r="C347" s="11" t="s">
        <v>113</v>
      </c>
      <c r="D347" s="11" t="s">
        <v>1377</v>
      </c>
      <c r="E347" s="11" t="s">
        <v>1378</v>
      </c>
      <c r="F347" s="11" t="s">
        <v>228</v>
      </c>
      <c r="G347" s="11">
        <v>10.92</v>
      </c>
      <c r="H347" s="11" t="s">
        <v>120</v>
      </c>
      <c r="I347" s="12">
        <v>4575.0</v>
      </c>
      <c r="J347" s="12">
        <v>5500.0</v>
      </c>
      <c r="K347" s="12">
        <v>5900.0</v>
      </c>
      <c r="L347" s="11" t="s">
        <v>1379</v>
      </c>
      <c r="M347" s="11" t="s">
        <v>1380</v>
      </c>
      <c r="N347" s="11" t="s">
        <v>131</v>
      </c>
      <c r="O347" s="11" t="s">
        <v>57</v>
      </c>
      <c r="P347" s="11" t="s">
        <v>63</v>
      </c>
      <c r="Q347" s="13" t="str">
        <f>IFERROR(VLOOKUP(E347,'SF Churn Data'!E:R,14,0),"")</f>
        <v/>
      </c>
    </row>
    <row r="348" hidden="1">
      <c r="A348" s="11" t="s">
        <v>145</v>
      </c>
      <c r="B348" s="11" t="s">
        <v>44</v>
      </c>
      <c r="C348" s="11" t="s">
        <v>64</v>
      </c>
      <c r="D348" s="11" t="s">
        <v>1381</v>
      </c>
      <c r="E348" s="11" t="s">
        <v>1382</v>
      </c>
      <c r="F348" s="11" t="s">
        <v>228</v>
      </c>
      <c r="G348" s="11">
        <v>17.4</v>
      </c>
      <c r="H348" s="11" t="s">
        <v>56</v>
      </c>
      <c r="I348" s="12">
        <v>9022.0</v>
      </c>
      <c r="J348" s="12">
        <v>9950.0</v>
      </c>
      <c r="K348" s="11">
        <v>10900.0</v>
      </c>
      <c r="L348" s="11" t="s">
        <v>1383</v>
      </c>
      <c r="M348" s="11" t="s">
        <v>1384</v>
      </c>
      <c r="N348" s="11" t="s">
        <v>240</v>
      </c>
      <c r="O348" s="11" t="s">
        <v>151</v>
      </c>
      <c r="P348" s="11" t="s">
        <v>63</v>
      </c>
      <c r="Q348" s="13" t="str">
        <f>IFERROR(VLOOKUP(E348,'SF Churn Data'!E:R,14,0),"")</f>
        <v/>
      </c>
    </row>
    <row r="349" hidden="1">
      <c r="A349" s="11" t="s">
        <v>154</v>
      </c>
      <c r="B349" s="11" t="s">
        <v>44</v>
      </c>
      <c r="C349" s="11" t="s">
        <v>53</v>
      </c>
      <c r="D349" s="11" t="s">
        <v>1385</v>
      </c>
      <c r="E349" s="11" t="s">
        <v>1386</v>
      </c>
      <c r="F349" s="11" t="s">
        <v>228</v>
      </c>
      <c r="G349" s="11">
        <v>15.0</v>
      </c>
      <c r="H349" s="11" t="s">
        <v>56</v>
      </c>
      <c r="I349" s="12">
        <v>4799.0</v>
      </c>
      <c r="J349" s="12">
        <v>6750.0</v>
      </c>
      <c r="K349" s="12">
        <v>5800.0</v>
      </c>
      <c r="L349" s="11" t="s">
        <v>1387</v>
      </c>
      <c r="M349" s="11" t="s">
        <v>1388</v>
      </c>
      <c r="N349" s="11" t="s">
        <v>903</v>
      </c>
      <c r="O349" s="11" t="s">
        <v>57</v>
      </c>
      <c r="P349" s="11" t="s">
        <v>157</v>
      </c>
      <c r="Q349" s="13" t="str">
        <f>IFERROR(VLOOKUP(E349,'SF Churn Data'!E:R,14,0),"")</f>
        <v/>
      </c>
    </row>
    <row r="350" hidden="1">
      <c r="A350" s="11" t="s">
        <v>49</v>
      </c>
      <c r="B350" s="11" t="s">
        <v>44</v>
      </c>
      <c r="C350" s="11" t="s">
        <v>76</v>
      </c>
      <c r="D350" s="11" t="s">
        <v>1389</v>
      </c>
      <c r="E350" s="11" t="s">
        <v>1390</v>
      </c>
      <c r="F350" s="11" t="s">
        <v>228</v>
      </c>
      <c r="G350" s="11">
        <v>18.98</v>
      </c>
      <c r="H350" s="11" t="s">
        <v>120</v>
      </c>
      <c r="I350" s="12">
        <v>7320.0</v>
      </c>
      <c r="J350" s="12">
        <v>8450.0</v>
      </c>
      <c r="K350" s="12">
        <v>8850.0</v>
      </c>
      <c r="L350" s="11" t="s">
        <v>1391</v>
      </c>
      <c r="M350" s="11" t="s">
        <v>1392</v>
      </c>
      <c r="N350" s="11" t="s">
        <v>903</v>
      </c>
      <c r="O350" s="11" t="s">
        <v>57</v>
      </c>
      <c r="P350" s="11" t="s">
        <v>48</v>
      </c>
      <c r="Q350" s="13" t="str">
        <f>IFERROR(VLOOKUP(E350,'SF Churn Data'!E:R,14,0),"")</f>
        <v/>
      </c>
    </row>
    <row r="351" hidden="1">
      <c r="A351" s="11" t="s">
        <v>49</v>
      </c>
      <c r="B351" s="11" t="s">
        <v>36</v>
      </c>
      <c r="C351" s="11" t="s">
        <v>37</v>
      </c>
      <c r="D351" s="11" t="s">
        <v>1393</v>
      </c>
      <c r="E351" s="11" t="s">
        <v>1394</v>
      </c>
      <c r="F351" s="11" t="s">
        <v>228</v>
      </c>
      <c r="G351" s="11">
        <v>20.32</v>
      </c>
      <c r="H351" s="11" t="s">
        <v>40</v>
      </c>
      <c r="I351" s="12">
        <v>2921.0</v>
      </c>
      <c r="J351" s="12">
        <v>3400.0</v>
      </c>
      <c r="K351" s="11"/>
      <c r="L351" s="11" t="s">
        <v>1395</v>
      </c>
      <c r="M351" s="11" t="s">
        <v>1396</v>
      </c>
      <c r="N351" s="11" t="s">
        <v>903</v>
      </c>
      <c r="O351" s="11" t="s">
        <v>41</v>
      </c>
      <c r="P351" s="11" t="s">
        <v>48</v>
      </c>
      <c r="Q351" s="13" t="str">
        <f>IFERROR(VLOOKUP(E351,'SF Churn Data'!E:R,14,0),"")</f>
        <v/>
      </c>
    </row>
    <row r="352" hidden="1">
      <c r="A352" s="11" t="s">
        <v>210</v>
      </c>
      <c r="B352" s="11" t="s">
        <v>44</v>
      </c>
      <c r="C352" s="11" t="s">
        <v>180</v>
      </c>
      <c r="D352" s="11" t="s">
        <v>1397</v>
      </c>
      <c r="E352" s="11" t="s">
        <v>1398</v>
      </c>
      <c r="F352" s="11" t="s">
        <v>228</v>
      </c>
      <c r="G352" s="11">
        <v>21.94</v>
      </c>
      <c r="H352" s="11" t="s">
        <v>168</v>
      </c>
      <c r="I352" s="12">
        <v>6700.0</v>
      </c>
      <c r="J352" s="12">
        <v>8750.0</v>
      </c>
      <c r="K352" s="12">
        <v>8050.0</v>
      </c>
      <c r="L352" s="11" t="s">
        <v>1399</v>
      </c>
      <c r="M352" s="11" t="s">
        <v>1400</v>
      </c>
      <c r="N352" s="11" t="s">
        <v>903</v>
      </c>
      <c r="O352" s="11" t="s">
        <v>83</v>
      </c>
      <c r="P352" s="11" t="s">
        <v>63</v>
      </c>
      <c r="Q352" s="13" t="str">
        <f>IFERROR(VLOOKUP(E352,'SF Churn Data'!E:R,14,0),"")</f>
        <v/>
      </c>
    </row>
    <row r="353" hidden="1">
      <c r="A353" s="11" t="s">
        <v>210</v>
      </c>
      <c r="B353" s="11" t="s">
        <v>44</v>
      </c>
      <c r="C353" s="11" t="s">
        <v>64</v>
      </c>
      <c r="D353" s="11" t="s">
        <v>1401</v>
      </c>
      <c r="E353" s="11" t="s">
        <v>1402</v>
      </c>
      <c r="F353" s="11" t="s">
        <v>228</v>
      </c>
      <c r="G353" s="11">
        <v>18.91</v>
      </c>
      <c r="H353" s="11" t="s">
        <v>120</v>
      </c>
      <c r="I353" s="12">
        <v>6250.0</v>
      </c>
      <c r="J353" s="12">
        <v>8150.0</v>
      </c>
      <c r="K353" s="12">
        <v>7500.0</v>
      </c>
      <c r="L353" s="11" t="s">
        <v>1403</v>
      </c>
      <c r="M353" s="11" t="s">
        <v>1404</v>
      </c>
      <c r="N353" s="11" t="s">
        <v>903</v>
      </c>
      <c r="O353" s="11" t="s">
        <v>213</v>
      </c>
      <c r="P353" s="11" t="s">
        <v>63</v>
      </c>
      <c r="Q353" s="13" t="str">
        <f>IFERROR(VLOOKUP(E353,'SF Churn Data'!E:R,14,0),"")</f>
        <v/>
      </c>
    </row>
    <row r="354" hidden="1">
      <c r="A354" s="11" t="s">
        <v>154</v>
      </c>
      <c r="B354" s="11" t="s">
        <v>44</v>
      </c>
      <c r="C354" s="11" t="s">
        <v>64</v>
      </c>
      <c r="D354" s="11" t="s">
        <v>1405</v>
      </c>
      <c r="E354" s="11" t="s">
        <v>1406</v>
      </c>
      <c r="F354" s="11" t="s">
        <v>228</v>
      </c>
      <c r="G354" s="11">
        <v>18.3</v>
      </c>
      <c r="H354" s="11" t="s">
        <v>56</v>
      </c>
      <c r="I354" s="12">
        <v>5731.0</v>
      </c>
      <c r="J354" s="12">
        <v>8050.0</v>
      </c>
      <c r="K354" s="12">
        <v>6900.0</v>
      </c>
      <c r="L354" s="11" t="s">
        <v>1407</v>
      </c>
      <c r="M354" s="11" t="s">
        <v>1408</v>
      </c>
      <c r="N354" s="11" t="s">
        <v>903</v>
      </c>
      <c r="O354" s="11" t="s">
        <v>57</v>
      </c>
      <c r="P354" s="11" t="s">
        <v>157</v>
      </c>
      <c r="Q354" s="13" t="str">
        <f>IFERROR(VLOOKUP(E354,'SF Churn Data'!E:R,14,0),"")</f>
        <v/>
      </c>
    </row>
    <row r="355" hidden="1">
      <c r="A355" s="11" t="s">
        <v>154</v>
      </c>
      <c r="B355" s="11" t="s">
        <v>44</v>
      </c>
      <c r="C355" s="11" t="s">
        <v>53</v>
      </c>
      <c r="D355" s="11" t="s">
        <v>1409</v>
      </c>
      <c r="E355" s="11" t="s">
        <v>1410</v>
      </c>
      <c r="F355" s="11" t="s">
        <v>228</v>
      </c>
      <c r="G355" s="11">
        <v>15.4</v>
      </c>
      <c r="H355" s="11" t="s">
        <v>56</v>
      </c>
      <c r="I355" s="12">
        <v>4799.0</v>
      </c>
      <c r="J355" s="12">
        <v>6750.0</v>
      </c>
      <c r="K355" s="11">
        <v>5800.0</v>
      </c>
      <c r="L355" s="11" t="s">
        <v>1411</v>
      </c>
      <c r="M355" s="11" t="s">
        <v>1412</v>
      </c>
      <c r="N355" s="11" t="s">
        <v>903</v>
      </c>
      <c r="O355" s="11" t="s">
        <v>57</v>
      </c>
      <c r="P355" s="11" t="s">
        <v>157</v>
      </c>
      <c r="Q355" s="13" t="str">
        <f>IFERROR(VLOOKUP(E355,'SF Churn Data'!E:R,14,0),"")</f>
        <v/>
      </c>
    </row>
    <row r="356" hidden="1">
      <c r="A356" s="11" t="s">
        <v>154</v>
      </c>
      <c r="B356" s="11" t="s">
        <v>44</v>
      </c>
      <c r="C356" s="11" t="s">
        <v>53</v>
      </c>
      <c r="D356" s="11" t="s">
        <v>1413</v>
      </c>
      <c r="E356" s="11" t="s">
        <v>1414</v>
      </c>
      <c r="F356" s="11" t="s">
        <v>228</v>
      </c>
      <c r="G356" s="11">
        <v>15.1</v>
      </c>
      <c r="H356" s="11" t="s">
        <v>56</v>
      </c>
      <c r="I356" s="12">
        <v>4799.0</v>
      </c>
      <c r="J356" s="12">
        <v>6750.0</v>
      </c>
      <c r="K356" s="12">
        <v>5800.0</v>
      </c>
      <c r="L356" s="11" t="s">
        <v>1415</v>
      </c>
      <c r="M356" s="11" t="s">
        <v>1416</v>
      </c>
      <c r="N356" s="11" t="s">
        <v>903</v>
      </c>
      <c r="O356" s="11" t="s">
        <v>57</v>
      </c>
      <c r="P356" s="11" t="s">
        <v>157</v>
      </c>
      <c r="Q356" s="13" t="str">
        <f>IFERROR(VLOOKUP(E356,'SF Churn Data'!E:R,14,0),"")</f>
        <v/>
      </c>
    </row>
    <row r="357" hidden="1">
      <c r="A357" s="11" t="s">
        <v>154</v>
      </c>
      <c r="B357" s="11" t="s">
        <v>44</v>
      </c>
      <c r="C357" s="11" t="s">
        <v>64</v>
      </c>
      <c r="D357" s="11" t="s">
        <v>1417</v>
      </c>
      <c r="E357" s="11" t="s">
        <v>1418</v>
      </c>
      <c r="F357" s="11" t="s">
        <v>228</v>
      </c>
      <c r="G357" s="11">
        <v>18.3</v>
      </c>
      <c r="H357" s="11" t="s">
        <v>56</v>
      </c>
      <c r="I357" s="12">
        <v>5731.0</v>
      </c>
      <c r="J357" s="12">
        <v>8050.0</v>
      </c>
      <c r="K357" s="12">
        <v>6900.0</v>
      </c>
      <c r="L357" s="11" t="s">
        <v>1419</v>
      </c>
      <c r="M357" s="11" t="s">
        <v>1420</v>
      </c>
      <c r="N357" s="11" t="s">
        <v>903</v>
      </c>
      <c r="O357" s="11" t="s">
        <v>57</v>
      </c>
      <c r="P357" s="11" t="s">
        <v>157</v>
      </c>
      <c r="Q357" s="13" t="str">
        <f>IFERROR(VLOOKUP(E357,'SF Churn Data'!E:R,14,0),"")</f>
        <v/>
      </c>
    </row>
    <row r="358" hidden="1">
      <c r="A358" s="11" t="s">
        <v>154</v>
      </c>
      <c r="B358" s="11" t="s">
        <v>44</v>
      </c>
      <c r="C358" s="11" t="s">
        <v>64</v>
      </c>
      <c r="D358" s="11" t="s">
        <v>1421</v>
      </c>
      <c r="E358" s="11" t="s">
        <v>1422</v>
      </c>
      <c r="F358" s="11" t="s">
        <v>228</v>
      </c>
      <c r="G358" s="11">
        <v>18.0</v>
      </c>
      <c r="H358" s="11" t="s">
        <v>56</v>
      </c>
      <c r="I358" s="12">
        <v>5731.0</v>
      </c>
      <c r="J358" s="12">
        <v>8050.0</v>
      </c>
      <c r="K358" s="11">
        <v>6900.0</v>
      </c>
      <c r="L358" s="11" t="s">
        <v>1423</v>
      </c>
      <c r="M358" s="11" t="s">
        <v>1424</v>
      </c>
      <c r="N358" s="11" t="s">
        <v>903</v>
      </c>
      <c r="O358" s="11" t="s">
        <v>57</v>
      </c>
      <c r="P358" s="11" t="s">
        <v>157</v>
      </c>
      <c r="Q358" s="13" t="str">
        <f>IFERROR(VLOOKUP(E358,'SF Churn Data'!E:R,14,0),"")</f>
        <v/>
      </c>
    </row>
    <row r="359" hidden="1">
      <c r="A359" s="11" t="s">
        <v>154</v>
      </c>
      <c r="B359" s="11" t="s">
        <v>44</v>
      </c>
      <c r="C359" s="11" t="s">
        <v>64</v>
      </c>
      <c r="D359" s="11" t="s">
        <v>1425</v>
      </c>
      <c r="E359" s="11" t="s">
        <v>1426</v>
      </c>
      <c r="F359" s="11" t="s">
        <v>228</v>
      </c>
      <c r="G359" s="11">
        <v>18.0</v>
      </c>
      <c r="H359" s="11" t="s">
        <v>56</v>
      </c>
      <c r="I359" s="12">
        <v>5731.0</v>
      </c>
      <c r="J359" s="12">
        <v>8050.0</v>
      </c>
      <c r="K359" s="11">
        <v>6900.0</v>
      </c>
      <c r="L359" s="11" t="s">
        <v>1427</v>
      </c>
      <c r="M359" s="11" t="s">
        <v>1428</v>
      </c>
      <c r="N359" s="11" t="s">
        <v>903</v>
      </c>
      <c r="O359" s="11" t="s">
        <v>57</v>
      </c>
      <c r="P359" s="11" t="s">
        <v>157</v>
      </c>
      <c r="Q359" s="13" t="str">
        <f>IFERROR(VLOOKUP(E359,'SF Churn Data'!E:R,14,0),"")</f>
        <v/>
      </c>
    </row>
    <row r="360" hidden="1">
      <c r="A360" s="11" t="s">
        <v>154</v>
      </c>
      <c r="B360" s="11" t="s">
        <v>44</v>
      </c>
      <c r="C360" s="11" t="s">
        <v>64</v>
      </c>
      <c r="D360" s="11" t="s">
        <v>1429</v>
      </c>
      <c r="E360" s="11" t="s">
        <v>1430</v>
      </c>
      <c r="F360" s="11" t="s">
        <v>228</v>
      </c>
      <c r="G360" s="11">
        <v>18.1</v>
      </c>
      <c r="H360" s="11" t="s">
        <v>56</v>
      </c>
      <c r="I360" s="12">
        <v>5731.0</v>
      </c>
      <c r="J360" s="12">
        <v>8050.0</v>
      </c>
      <c r="K360" s="11">
        <v>6900.0</v>
      </c>
      <c r="L360" s="11" t="s">
        <v>1431</v>
      </c>
      <c r="M360" s="11" t="s">
        <v>1432</v>
      </c>
      <c r="N360" s="11" t="s">
        <v>903</v>
      </c>
      <c r="O360" s="11" t="s">
        <v>57</v>
      </c>
      <c r="P360" s="11" t="s">
        <v>157</v>
      </c>
      <c r="Q360" s="13" t="str">
        <f>IFERROR(VLOOKUP(E360,'SF Churn Data'!E:R,14,0),"")</f>
        <v/>
      </c>
    </row>
    <row r="361" hidden="1">
      <c r="A361" s="11" t="s">
        <v>154</v>
      </c>
      <c r="B361" s="11" t="s">
        <v>44</v>
      </c>
      <c r="C361" s="11" t="s">
        <v>64</v>
      </c>
      <c r="D361" s="11" t="s">
        <v>1433</v>
      </c>
      <c r="E361" s="11" t="s">
        <v>1434</v>
      </c>
      <c r="F361" s="11" t="s">
        <v>228</v>
      </c>
      <c r="G361" s="11">
        <v>18.1</v>
      </c>
      <c r="H361" s="11" t="s">
        <v>56</v>
      </c>
      <c r="I361" s="12">
        <v>5731.0</v>
      </c>
      <c r="J361" s="12">
        <v>8050.0</v>
      </c>
      <c r="K361" s="11">
        <v>6900.0</v>
      </c>
      <c r="L361" s="11" t="s">
        <v>1435</v>
      </c>
      <c r="M361" s="11" t="s">
        <v>1436</v>
      </c>
      <c r="N361" s="11" t="s">
        <v>903</v>
      </c>
      <c r="O361" s="11" t="s">
        <v>57</v>
      </c>
      <c r="P361" s="11" t="s">
        <v>157</v>
      </c>
      <c r="Q361" s="13" t="str">
        <f>IFERROR(VLOOKUP(E361,'SF Churn Data'!E:R,14,0),"")</f>
        <v/>
      </c>
    </row>
    <row r="362" hidden="1">
      <c r="A362" s="11" t="s">
        <v>154</v>
      </c>
      <c r="B362" s="11" t="s">
        <v>44</v>
      </c>
      <c r="C362" s="11" t="s">
        <v>64</v>
      </c>
      <c r="D362" s="11" t="s">
        <v>1437</v>
      </c>
      <c r="E362" s="11" t="s">
        <v>1438</v>
      </c>
      <c r="F362" s="11" t="s">
        <v>228</v>
      </c>
      <c r="G362" s="11">
        <v>18.0</v>
      </c>
      <c r="H362" s="11" t="s">
        <v>56</v>
      </c>
      <c r="I362" s="12">
        <v>5731.0</v>
      </c>
      <c r="J362" s="12">
        <v>8050.0</v>
      </c>
      <c r="K362" s="12">
        <v>6900.0</v>
      </c>
      <c r="L362" s="11" t="s">
        <v>1439</v>
      </c>
      <c r="M362" s="11" t="s">
        <v>1440</v>
      </c>
      <c r="N362" s="11" t="s">
        <v>903</v>
      </c>
      <c r="O362" s="11" t="s">
        <v>57</v>
      </c>
      <c r="P362" s="11" t="s">
        <v>157</v>
      </c>
      <c r="Q362" s="13" t="str">
        <f>IFERROR(VLOOKUP(E362,'SF Churn Data'!E:R,14,0),"")</f>
        <v/>
      </c>
    </row>
    <row r="363" hidden="1">
      <c r="A363" s="11" t="s">
        <v>154</v>
      </c>
      <c r="B363" s="11" t="s">
        <v>44</v>
      </c>
      <c r="C363" s="11" t="s">
        <v>64</v>
      </c>
      <c r="D363" s="11" t="s">
        <v>1441</v>
      </c>
      <c r="E363" s="11" t="s">
        <v>1442</v>
      </c>
      <c r="F363" s="11" t="s">
        <v>228</v>
      </c>
      <c r="G363" s="11">
        <v>18.0</v>
      </c>
      <c r="H363" s="11" t="s">
        <v>56</v>
      </c>
      <c r="I363" s="12">
        <v>5731.0</v>
      </c>
      <c r="J363" s="12">
        <v>8050.0</v>
      </c>
      <c r="K363" s="12">
        <v>6900.0</v>
      </c>
      <c r="L363" s="11" t="s">
        <v>1443</v>
      </c>
      <c r="M363" s="11" t="s">
        <v>1444</v>
      </c>
      <c r="N363" s="11" t="s">
        <v>903</v>
      </c>
      <c r="O363" s="11" t="s">
        <v>57</v>
      </c>
      <c r="P363" s="11" t="s">
        <v>157</v>
      </c>
      <c r="Q363" s="13" t="str">
        <f>IFERROR(VLOOKUP(E363,'SF Churn Data'!E:R,14,0),"")</f>
        <v/>
      </c>
    </row>
    <row r="364" hidden="1">
      <c r="A364" s="11" t="s">
        <v>154</v>
      </c>
      <c r="B364" s="11" t="s">
        <v>44</v>
      </c>
      <c r="C364" s="11" t="s">
        <v>64</v>
      </c>
      <c r="D364" s="11" t="s">
        <v>1445</v>
      </c>
      <c r="E364" s="11" t="s">
        <v>1446</v>
      </c>
      <c r="F364" s="11" t="s">
        <v>228</v>
      </c>
      <c r="G364" s="11">
        <v>18.0</v>
      </c>
      <c r="H364" s="11" t="s">
        <v>56</v>
      </c>
      <c r="I364" s="12">
        <v>5731.0</v>
      </c>
      <c r="J364" s="12">
        <v>8050.0</v>
      </c>
      <c r="K364" s="12">
        <v>6900.0</v>
      </c>
      <c r="L364" s="11" t="s">
        <v>1447</v>
      </c>
      <c r="M364" s="11" t="s">
        <v>1448</v>
      </c>
      <c r="N364" s="11" t="s">
        <v>903</v>
      </c>
      <c r="O364" s="11" t="s">
        <v>57</v>
      </c>
      <c r="P364" s="11" t="s">
        <v>157</v>
      </c>
      <c r="Q364" s="13" t="str">
        <f>IFERROR(VLOOKUP(E364,'SF Churn Data'!E:R,14,0),"")</f>
        <v/>
      </c>
    </row>
    <row r="365" hidden="1">
      <c r="A365" s="11" t="s">
        <v>282</v>
      </c>
      <c r="B365" s="11" t="s">
        <v>44</v>
      </c>
      <c r="C365" s="11" t="s">
        <v>64</v>
      </c>
      <c r="D365" s="11" t="s">
        <v>1449</v>
      </c>
      <c r="E365" s="11" t="s">
        <v>1450</v>
      </c>
      <c r="F365" s="11" t="s">
        <v>228</v>
      </c>
      <c r="G365" s="11">
        <v>18.91</v>
      </c>
      <c r="H365" s="11" t="s">
        <v>168</v>
      </c>
      <c r="I365" s="12">
        <v>6499.0</v>
      </c>
      <c r="J365" s="12">
        <v>7800.0</v>
      </c>
      <c r="K365" s="11">
        <v>7800.0</v>
      </c>
      <c r="L365" s="11" t="s">
        <v>1451</v>
      </c>
      <c r="M365" s="11" t="s">
        <v>1452</v>
      </c>
      <c r="N365" s="11" t="s">
        <v>131</v>
      </c>
      <c r="O365" s="11" t="s">
        <v>57</v>
      </c>
      <c r="P365" s="11" t="s">
        <v>63</v>
      </c>
      <c r="Q365" s="13" t="str">
        <f>IFERROR(VLOOKUP(E365,'SF Churn Data'!E:R,14,0),"")</f>
        <v/>
      </c>
    </row>
    <row r="366" hidden="1">
      <c r="A366" s="11" t="s">
        <v>154</v>
      </c>
      <c r="B366" s="11" t="s">
        <v>44</v>
      </c>
      <c r="C366" s="11" t="s">
        <v>64</v>
      </c>
      <c r="D366" s="11" t="s">
        <v>1453</v>
      </c>
      <c r="E366" s="11" t="s">
        <v>1454</v>
      </c>
      <c r="F366" s="11" t="s">
        <v>228</v>
      </c>
      <c r="G366" s="11">
        <v>18.0</v>
      </c>
      <c r="H366" s="11" t="s">
        <v>56</v>
      </c>
      <c r="I366" s="12">
        <v>5731.0</v>
      </c>
      <c r="J366" s="12">
        <v>8050.0</v>
      </c>
      <c r="K366" s="11">
        <v>6900.0</v>
      </c>
      <c r="L366" s="11" t="s">
        <v>1455</v>
      </c>
      <c r="M366" s="11" t="s">
        <v>1456</v>
      </c>
      <c r="N366" s="11" t="s">
        <v>903</v>
      </c>
      <c r="O366" s="11" t="s">
        <v>57</v>
      </c>
      <c r="P366" s="11" t="s">
        <v>157</v>
      </c>
      <c r="Q366" s="13" t="str">
        <f>IFERROR(VLOOKUP(E366,'SF Churn Data'!E:R,14,0),"")</f>
        <v/>
      </c>
    </row>
    <row r="367" hidden="1">
      <c r="A367" s="11" t="s">
        <v>148</v>
      </c>
      <c r="B367" s="11" t="s">
        <v>44</v>
      </c>
      <c r="C367" s="11" t="s">
        <v>64</v>
      </c>
      <c r="D367" s="11" t="s">
        <v>1457</v>
      </c>
      <c r="E367" s="11" t="s">
        <v>1458</v>
      </c>
      <c r="F367" s="11" t="s">
        <v>228</v>
      </c>
      <c r="G367" s="11">
        <v>17.8</v>
      </c>
      <c r="H367" s="11" t="s">
        <v>56</v>
      </c>
      <c r="I367" s="12">
        <v>7096.0</v>
      </c>
      <c r="J367" s="12">
        <v>7100.0</v>
      </c>
      <c r="K367" s="12">
        <v>8550.0</v>
      </c>
      <c r="L367" s="11" t="s">
        <v>1459</v>
      </c>
      <c r="M367" s="11" t="s">
        <v>1460</v>
      </c>
      <c r="N367" s="11" t="s">
        <v>343</v>
      </c>
      <c r="O367" s="11" t="s">
        <v>57</v>
      </c>
      <c r="P367" s="11" t="s">
        <v>48</v>
      </c>
      <c r="Q367" s="13" t="str">
        <f>IFERROR(VLOOKUP(E367,'SF Churn Data'!E:R,14,0),"")</f>
        <v/>
      </c>
    </row>
    <row r="368" hidden="1">
      <c r="A368" s="11" t="s">
        <v>191</v>
      </c>
      <c r="B368" s="11" t="s">
        <v>44</v>
      </c>
      <c r="C368" s="11" t="s">
        <v>64</v>
      </c>
      <c r="D368" s="11" t="s">
        <v>1461</v>
      </c>
      <c r="E368" s="11" t="s">
        <v>1462</v>
      </c>
      <c r="F368" s="11" t="s">
        <v>228</v>
      </c>
      <c r="G368" s="11">
        <v>18.96</v>
      </c>
      <c r="H368" s="11" t="s">
        <v>168</v>
      </c>
      <c r="I368" s="12">
        <v>6200.0</v>
      </c>
      <c r="J368" s="12">
        <v>8100.0</v>
      </c>
      <c r="K368" s="12"/>
      <c r="L368" s="11" t="s">
        <v>1463</v>
      </c>
      <c r="M368" s="11" t="s">
        <v>1464</v>
      </c>
      <c r="N368" s="11" t="s">
        <v>403</v>
      </c>
      <c r="O368" s="11" t="s">
        <v>57</v>
      </c>
      <c r="P368" s="11" t="s">
        <v>48</v>
      </c>
      <c r="Q368" s="13" t="str">
        <f>IFERROR(VLOOKUP(E368,'SF Churn Data'!E:R,14,0),"")</f>
        <v/>
      </c>
    </row>
    <row r="369" hidden="1">
      <c r="A369" s="11" t="s">
        <v>154</v>
      </c>
      <c r="B369" s="11" t="s">
        <v>44</v>
      </c>
      <c r="C369" s="11" t="s">
        <v>64</v>
      </c>
      <c r="D369" s="11" t="s">
        <v>1465</v>
      </c>
      <c r="E369" s="11" t="s">
        <v>1466</v>
      </c>
      <c r="F369" s="11" t="s">
        <v>228</v>
      </c>
      <c r="G369" s="11">
        <v>18.3</v>
      </c>
      <c r="H369" s="11" t="s">
        <v>56</v>
      </c>
      <c r="I369" s="12">
        <v>5731.0</v>
      </c>
      <c r="J369" s="12">
        <v>8050.0</v>
      </c>
      <c r="K369" s="11">
        <v>6900.0</v>
      </c>
      <c r="L369" s="11" t="s">
        <v>1467</v>
      </c>
      <c r="M369" s="11" t="s">
        <v>1468</v>
      </c>
      <c r="N369" s="11" t="s">
        <v>903</v>
      </c>
      <c r="O369" s="11" t="s">
        <v>57</v>
      </c>
      <c r="P369" s="11" t="s">
        <v>157</v>
      </c>
      <c r="Q369" s="13" t="str">
        <f>IFERROR(VLOOKUP(E369,'SF Churn Data'!E:R,14,0),"")</f>
        <v/>
      </c>
    </row>
    <row r="370" hidden="1">
      <c r="A370" s="11" t="s">
        <v>154</v>
      </c>
      <c r="B370" s="11" t="s">
        <v>44</v>
      </c>
      <c r="C370" s="11" t="s">
        <v>64</v>
      </c>
      <c r="D370" s="11" t="s">
        <v>1469</v>
      </c>
      <c r="E370" s="11" t="s">
        <v>1470</v>
      </c>
      <c r="F370" s="11" t="s">
        <v>228</v>
      </c>
      <c r="G370" s="11">
        <v>18.0</v>
      </c>
      <c r="H370" s="11" t="s">
        <v>56</v>
      </c>
      <c r="I370" s="12">
        <v>5731.0</v>
      </c>
      <c r="J370" s="12">
        <v>8050.0</v>
      </c>
      <c r="K370" s="11">
        <v>6900.0</v>
      </c>
      <c r="L370" s="11" t="s">
        <v>1471</v>
      </c>
      <c r="M370" s="11" t="s">
        <v>1472</v>
      </c>
      <c r="N370" s="11" t="s">
        <v>903</v>
      </c>
      <c r="O370" s="11" t="s">
        <v>57</v>
      </c>
      <c r="P370" s="11" t="s">
        <v>157</v>
      </c>
      <c r="Q370" s="13" t="str">
        <f>IFERROR(VLOOKUP(E370,'SF Churn Data'!E:R,14,0),"")</f>
        <v/>
      </c>
    </row>
    <row r="371" hidden="1">
      <c r="A371" s="11" t="s">
        <v>154</v>
      </c>
      <c r="B371" s="11" t="s">
        <v>44</v>
      </c>
      <c r="C371" s="11" t="s">
        <v>53</v>
      </c>
      <c r="D371" s="11" t="s">
        <v>1473</v>
      </c>
      <c r="E371" s="11" t="s">
        <v>1474</v>
      </c>
      <c r="F371" s="11" t="s">
        <v>228</v>
      </c>
      <c r="G371" s="11">
        <v>15.3</v>
      </c>
      <c r="H371" s="11" t="s">
        <v>56</v>
      </c>
      <c r="I371" s="12">
        <v>4799.0</v>
      </c>
      <c r="J371" s="12">
        <v>6750.0</v>
      </c>
      <c r="K371" s="11">
        <v>5800.0</v>
      </c>
      <c r="L371" s="11" t="s">
        <v>1475</v>
      </c>
      <c r="M371" s="11" t="s">
        <v>1476</v>
      </c>
      <c r="N371" s="11" t="s">
        <v>903</v>
      </c>
      <c r="O371" s="11" t="s">
        <v>57</v>
      </c>
      <c r="P371" s="11" t="s">
        <v>157</v>
      </c>
      <c r="Q371" s="13" t="str">
        <f>IFERROR(VLOOKUP(E371,'SF Churn Data'!E:R,14,0),"")</f>
        <v/>
      </c>
    </row>
    <row r="372" hidden="1">
      <c r="A372" s="11" t="s">
        <v>154</v>
      </c>
      <c r="B372" s="11" t="s">
        <v>36</v>
      </c>
      <c r="C372" s="11" t="s">
        <v>37</v>
      </c>
      <c r="D372" s="11" t="s">
        <v>1477</v>
      </c>
      <c r="E372" s="11" t="s">
        <v>1478</v>
      </c>
      <c r="F372" s="11" t="s">
        <v>228</v>
      </c>
      <c r="G372" s="11">
        <v>37.4</v>
      </c>
      <c r="H372" s="11" t="s">
        <v>40</v>
      </c>
      <c r="I372" s="12">
        <v>4988.0</v>
      </c>
      <c r="J372" s="12">
        <v>7000.0</v>
      </c>
      <c r="K372" s="12"/>
      <c r="L372" s="11" t="s">
        <v>1479</v>
      </c>
      <c r="M372" s="11" t="s">
        <v>1480</v>
      </c>
      <c r="N372" s="11" t="s">
        <v>903</v>
      </c>
      <c r="O372" s="11" t="s">
        <v>41</v>
      </c>
      <c r="P372" s="11" t="s">
        <v>157</v>
      </c>
      <c r="Q372" s="13" t="str">
        <f>IFERROR(VLOOKUP(E372,'SF Churn Data'!E:R,14,0),"")</f>
        <v/>
      </c>
    </row>
    <row r="373" hidden="1">
      <c r="A373" s="11" t="s">
        <v>154</v>
      </c>
      <c r="B373" s="11" t="s">
        <v>45</v>
      </c>
      <c r="C373" s="11" t="s">
        <v>45</v>
      </c>
      <c r="D373" s="11" t="s">
        <v>1481</v>
      </c>
      <c r="E373" s="11" t="s">
        <v>1482</v>
      </c>
      <c r="F373" s="11" t="s">
        <v>228</v>
      </c>
      <c r="G373" s="11">
        <v>13.0</v>
      </c>
      <c r="H373" s="11" t="s">
        <v>45</v>
      </c>
      <c r="I373" s="12">
        <v>3580.0</v>
      </c>
      <c r="J373" s="12">
        <v>5050.0</v>
      </c>
      <c r="K373" s="11">
        <v>4350.0</v>
      </c>
      <c r="L373" s="11" t="s">
        <v>1483</v>
      </c>
      <c r="M373" s="11" t="s">
        <v>1484</v>
      </c>
      <c r="N373" s="11" t="s">
        <v>903</v>
      </c>
      <c r="O373" s="11" t="s">
        <v>57</v>
      </c>
      <c r="P373" s="11" t="s">
        <v>157</v>
      </c>
      <c r="Q373" s="13" t="str">
        <f>IFERROR(VLOOKUP(E373,'SF Churn Data'!E:R,14,0),"")</f>
        <v/>
      </c>
    </row>
    <row r="374" hidden="1">
      <c r="A374" s="11" t="s">
        <v>154</v>
      </c>
      <c r="B374" s="11" t="s">
        <v>44</v>
      </c>
      <c r="C374" s="11" t="s">
        <v>64</v>
      </c>
      <c r="D374" s="11" t="s">
        <v>1485</v>
      </c>
      <c r="E374" s="11" t="s">
        <v>1486</v>
      </c>
      <c r="F374" s="11" t="s">
        <v>228</v>
      </c>
      <c r="G374" s="11">
        <v>18.0</v>
      </c>
      <c r="H374" s="11" t="s">
        <v>56</v>
      </c>
      <c r="I374" s="12">
        <v>5731.0</v>
      </c>
      <c r="J374" s="12">
        <v>8050.0</v>
      </c>
      <c r="K374" s="12">
        <v>6900.0</v>
      </c>
      <c r="L374" s="11" t="s">
        <v>1487</v>
      </c>
      <c r="M374" s="11" t="s">
        <v>1488</v>
      </c>
      <c r="N374" s="11" t="s">
        <v>903</v>
      </c>
      <c r="O374" s="11" t="s">
        <v>57</v>
      </c>
      <c r="P374" s="11" t="s">
        <v>157</v>
      </c>
      <c r="Q374" s="13" t="str">
        <f>IFERROR(VLOOKUP(E374,'SF Churn Data'!E:R,14,0),"")</f>
        <v/>
      </c>
    </row>
    <row r="375" hidden="1">
      <c r="A375" s="11" t="s">
        <v>154</v>
      </c>
      <c r="B375" s="11" t="s">
        <v>44</v>
      </c>
      <c r="C375" s="11" t="s">
        <v>53</v>
      </c>
      <c r="D375" s="11" t="s">
        <v>1489</v>
      </c>
      <c r="E375" s="11" t="s">
        <v>1490</v>
      </c>
      <c r="F375" s="11" t="s">
        <v>228</v>
      </c>
      <c r="G375" s="11">
        <v>16.0</v>
      </c>
      <c r="H375" s="11" t="s">
        <v>56</v>
      </c>
      <c r="I375" s="12">
        <v>4799.0</v>
      </c>
      <c r="J375" s="12">
        <v>6750.0</v>
      </c>
      <c r="K375" s="11">
        <v>5800.0</v>
      </c>
      <c r="L375" s="11" t="s">
        <v>1491</v>
      </c>
      <c r="M375" s="11" t="s">
        <v>1492</v>
      </c>
      <c r="N375" s="11" t="s">
        <v>250</v>
      </c>
      <c r="O375" s="11" t="s">
        <v>151</v>
      </c>
      <c r="P375" s="11" t="s">
        <v>157</v>
      </c>
      <c r="Q375" s="13" t="str">
        <f>IFERROR(VLOOKUP(E375,'SF Churn Data'!E:R,14,0),"")</f>
        <v/>
      </c>
    </row>
    <row r="376" hidden="1">
      <c r="A376" s="11" t="s">
        <v>1238</v>
      </c>
      <c r="B376" s="11" t="s">
        <v>44</v>
      </c>
      <c r="C376" s="11" t="s">
        <v>76</v>
      </c>
      <c r="D376" s="11" t="s">
        <v>1493</v>
      </c>
      <c r="E376" s="11" t="s">
        <v>1494</v>
      </c>
      <c r="F376" s="11" t="s">
        <v>228</v>
      </c>
      <c r="G376" s="11">
        <v>19.26</v>
      </c>
      <c r="H376" s="11" t="s">
        <v>1495</v>
      </c>
      <c r="I376" s="12">
        <v>4489.0</v>
      </c>
      <c r="J376" s="12">
        <v>5850.0</v>
      </c>
      <c r="K376" s="11"/>
      <c r="L376" s="11" t="s">
        <v>1496</v>
      </c>
      <c r="M376" s="11" t="s">
        <v>1497</v>
      </c>
      <c r="N376" s="11" t="s">
        <v>403</v>
      </c>
      <c r="O376" s="11" t="s">
        <v>41</v>
      </c>
      <c r="P376" s="11" t="s">
        <v>144</v>
      </c>
      <c r="Q376" s="13" t="str">
        <f>IFERROR(VLOOKUP(E376,'SF Churn Data'!E:R,14,0),"")</f>
        <v/>
      </c>
    </row>
    <row r="377" hidden="1">
      <c r="A377" s="11" t="s">
        <v>154</v>
      </c>
      <c r="B377" s="11" t="s">
        <v>44</v>
      </c>
      <c r="C377" s="11" t="s">
        <v>53</v>
      </c>
      <c r="D377" s="11" t="s">
        <v>1498</v>
      </c>
      <c r="E377" s="11" t="s">
        <v>1499</v>
      </c>
      <c r="F377" s="11" t="s">
        <v>228</v>
      </c>
      <c r="G377" s="11">
        <v>15.3</v>
      </c>
      <c r="H377" s="11" t="s">
        <v>56</v>
      </c>
      <c r="I377" s="12">
        <v>4799.0</v>
      </c>
      <c r="J377" s="12">
        <v>6750.0</v>
      </c>
      <c r="K377" s="11">
        <v>5800.0</v>
      </c>
      <c r="L377" s="11" t="s">
        <v>1500</v>
      </c>
      <c r="M377" s="11" t="s">
        <v>1501</v>
      </c>
      <c r="N377" s="11" t="s">
        <v>903</v>
      </c>
      <c r="O377" s="11" t="s">
        <v>57</v>
      </c>
      <c r="P377" s="11" t="s">
        <v>157</v>
      </c>
      <c r="Q377" s="13" t="str">
        <f>IFERROR(VLOOKUP(E377,'SF Churn Data'!E:R,14,0),"")</f>
        <v/>
      </c>
    </row>
    <row r="378" hidden="1">
      <c r="A378" s="11" t="s">
        <v>154</v>
      </c>
      <c r="B378" s="11" t="s">
        <v>44</v>
      </c>
      <c r="C378" s="11" t="s">
        <v>64</v>
      </c>
      <c r="D378" s="11" t="s">
        <v>1502</v>
      </c>
      <c r="E378" s="11" t="s">
        <v>1503</v>
      </c>
      <c r="F378" s="11" t="s">
        <v>228</v>
      </c>
      <c r="G378" s="11">
        <v>18.3</v>
      </c>
      <c r="H378" s="11" t="s">
        <v>56</v>
      </c>
      <c r="I378" s="12">
        <v>5731.0</v>
      </c>
      <c r="J378" s="12">
        <v>8050.0</v>
      </c>
      <c r="K378" s="11">
        <v>6900.0</v>
      </c>
      <c r="L378" s="11" t="s">
        <v>1504</v>
      </c>
      <c r="M378" s="11" t="s">
        <v>1505</v>
      </c>
      <c r="N378" s="11" t="s">
        <v>903</v>
      </c>
      <c r="O378" s="11" t="s">
        <v>57</v>
      </c>
      <c r="P378" s="11" t="s">
        <v>157</v>
      </c>
      <c r="Q378" s="13" t="str">
        <f>IFERROR(VLOOKUP(E378,'SF Churn Data'!E:R,14,0),"")</f>
        <v/>
      </c>
    </row>
    <row r="379" hidden="1">
      <c r="A379" s="11" t="s">
        <v>364</v>
      </c>
      <c r="B379" s="11" t="s">
        <v>45</v>
      </c>
      <c r="C379" s="11" t="s">
        <v>45</v>
      </c>
      <c r="D379" s="11" t="s">
        <v>1506</v>
      </c>
      <c r="E379" s="11" t="s">
        <v>1507</v>
      </c>
      <c r="F379" s="11" t="s">
        <v>228</v>
      </c>
      <c r="G379" s="11">
        <v>10.15</v>
      </c>
      <c r="H379" s="11" t="s">
        <v>45</v>
      </c>
      <c r="I379" s="12">
        <v>1999.0</v>
      </c>
      <c r="J379" s="12">
        <v>2000.0</v>
      </c>
      <c r="K379" s="11">
        <v>2400.0</v>
      </c>
      <c r="L379" s="11" t="s">
        <v>1508</v>
      </c>
      <c r="M379" s="11" t="s">
        <v>1509</v>
      </c>
      <c r="N379" s="11" t="s">
        <v>316</v>
      </c>
      <c r="O379" s="11" t="s">
        <v>41</v>
      </c>
      <c r="P379" s="11" t="s">
        <v>369</v>
      </c>
      <c r="Q379" s="13" t="str">
        <f>IFERROR(VLOOKUP(E379,'SF Churn Data'!E:R,14,0),"")</f>
        <v/>
      </c>
    </row>
    <row r="380" hidden="1">
      <c r="A380" s="11" t="s">
        <v>148</v>
      </c>
      <c r="B380" s="11" t="s">
        <v>44</v>
      </c>
      <c r="C380" s="11" t="s">
        <v>53</v>
      </c>
      <c r="D380" s="11" t="s">
        <v>1510</v>
      </c>
      <c r="E380" s="11" t="s">
        <v>1511</v>
      </c>
      <c r="F380" s="11" t="s">
        <v>228</v>
      </c>
      <c r="G380" s="11">
        <v>16.0</v>
      </c>
      <c r="H380" s="11" t="s">
        <v>56</v>
      </c>
      <c r="I380" s="12">
        <v>6678.0</v>
      </c>
      <c r="J380" s="12">
        <v>6700.0</v>
      </c>
      <c r="K380" s="11">
        <v>8050.0</v>
      </c>
      <c r="L380" s="11" t="s">
        <v>1512</v>
      </c>
      <c r="M380" s="11" t="s">
        <v>1513</v>
      </c>
      <c r="N380" s="11" t="s">
        <v>131</v>
      </c>
      <c r="O380" s="11" t="s">
        <v>151</v>
      </c>
      <c r="P380" s="11" t="s">
        <v>48</v>
      </c>
      <c r="Q380" s="13" t="str">
        <f>IFERROR(VLOOKUP(E380,'SF Churn Data'!E:R,14,0),"")</f>
        <v/>
      </c>
    </row>
    <row r="381" hidden="1">
      <c r="A381" s="11" t="s">
        <v>201</v>
      </c>
      <c r="B381" s="11" t="s">
        <v>44</v>
      </c>
      <c r="C381" s="11" t="s">
        <v>133</v>
      </c>
      <c r="D381" s="11" t="s">
        <v>1514</v>
      </c>
      <c r="E381" s="11" t="s">
        <v>1515</v>
      </c>
      <c r="F381" s="11" t="s">
        <v>228</v>
      </c>
      <c r="G381" s="11">
        <v>13.56</v>
      </c>
      <c r="H381" s="11" t="s">
        <v>56</v>
      </c>
      <c r="I381" s="12">
        <v>2800.0</v>
      </c>
      <c r="J381" s="12">
        <v>3400.0</v>
      </c>
      <c r="K381" s="11">
        <v>3250.0</v>
      </c>
      <c r="L381" s="11" t="s">
        <v>1516</v>
      </c>
      <c r="M381" s="11" t="s">
        <v>1517</v>
      </c>
      <c r="N381" s="11" t="s">
        <v>403</v>
      </c>
      <c r="O381" s="11" t="s">
        <v>57</v>
      </c>
      <c r="P381" s="11"/>
      <c r="Q381" s="13" t="str">
        <f>IFERROR(VLOOKUP(E381,'SF Churn Data'!E:R,14,0),"")</f>
        <v/>
      </c>
    </row>
    <row r="382" hidden="1">
      <c r="A382" s="11" t="s">
        <v>148</v>
      </c>
      <c r="B382" s="11" t="s">
        <v>44</v>
      </c>
      <c r="C382" s="11" t="s">
        <v>180</v>
      </c>
      <c r="D382" s="11" t="s">
        <v>1518</v>
      </c>
      <c r="E382" s="11" t="s">
        <v>1519</v>
      </c>
      <c r="F382" s="11" t="s">
        <v>228</v>
      </c>
      <c r="G382" s="11">
        <v>22.1</v>
      </c>
      <c r="H382" s="11" t="s">
        <v>56</v>
      </c>
      <c r="I382" s="12">
        <v>8349.0</v>
      </c>
      <c r="J382" s="12">
        <v>8350.0</v>
      </c>
      <c r="K382" s="11">
        <v>10050.0</v>
      </c>
      <c r="L382" s="11" t="s">
        <v>1520</v>
      </c>
      <c r="M382" s="11" t="s">
        <v>1521</v>
      </c>
      <c r="N382" s="11" t="s">
        <v>403</v>
      </c>
      <c r="O382" s="11" t="s">
        <v>151</v>
      </c>
      <c r="P382" s="11" t="s">
        <v>48</v>
      </c>
      <c r="Q382" s="13" t="str">
        <f>IFERROR(VLOOKUP(E382,'SF Churn Data'!E:R,14,0),"")</f>
        <v/>
      </c>
    </row>
    <row r="383" hidden="1">
      <c r="A383" s="11" t="s">
        <v>148</v>
      </c>
      <c r="B383" s="11" t="s">
        <v>45</v>
      </c>
      <c r="C383" s="11" t="s">
        <v>45</v>
      </c>
      <c r="D383" s="11" t="s">
        <v>1522</v>
      </c>
      <c r="E383" s="11" t="s">
        <v>1523</v>
      </c>
      <c r="F383" s="11" t="s">
        <v>228</v>
      </c>
      <c r="G383" s="11">
        <v>8.8</v>
      </c>
      <c r="H383" s="11" t="s">
        <v>45</v>
      </c>
      <c r="I383" s="12">
        <v>4171.0</v>
      </c>
      <c r="J383" s="12">
        <v>4200.0</v>
      </c>
      <c r="K383" s="12">
        <v>5050.0</v>
      </c>
      <c r="L383" s="11" t="s">
        <v>1524</v>
      </c>
      <c r="M383" s="11" t="s">
        <v>1525</v>
      </c>
      <c r="N383" s="11" t="s">
        <v>143</v>
      </c>
      <c r="O383" s="11" t="s">
        <v>57</v>
      </c>
      <c r="P383" s="11" t="s">
        <v>48</v>
      </c>
      <c r="Q383" s="13" t="str">
        <f>IFERROR(VLOOKUP(E383,'SF Churn Data'!E:R,14,0),"")</f>
        <v/>
      </c>
    </row>
    <row r="384" hidden="1">
      <c r="A384" s="11" t="s">
        <v>148</v>
      </c>
      <c r="B384" s="11" t="s">
        <v>45</v>
      </c>
      <c r="C384" s="11" t="s">
        <v>45</v>
      </c>
      <c r="D384" s="11" t="s">
        <v>1526</v>
      </c>
      <c r="E384" s="11" t="s">
        <v>1527</v>
      </c>
      <c r="F384" s="11" t="s">
        <v>228</v>
      </c>
      <c r="G384" s="11">
        <v>13.7</v>
      </c>
      <c r="H384" s="11"/>
      <c r="I384" s="12">
        <v>4171.0</v>
      </c>
      <c r="J384" s="12">
        <v>4200.0</v>
      </c>
      <c r="K384" s="12"/>
      <c r="L384" s="11" t="s">
        <v>1528</v>
      </c>
      <c r="M384" s="11" t="s">
        <v>1529</v>
      </c>
      <c r="N384" s="11" t="s">
        <v>903</v>
      </c>
      <c r="O384" s="11" t="s">
        <v>151</v>
      </c>
      <c r="P384" s="11" t="s">
        <v>48</v>
      </c>
      <c r="Q384" s="13" t="str">
        <f>IFERROR(VLOOKUP(E384,'SF Churn Data'!E:R,14,0),"")</f>
        <v/>
      </c>
    </row>
    <row r="385" hidden="1">
      <c r="A385" s="11" t="s">
        <v>158</v>
      </c>
      <c r="B385" s="11" t="s">
        <v>44</v>
      </c>
      <c r="C385" s="11" t="s">
        <v>64</v>
      </c>
      <c r="D385" s="11" t="s">
        <v>1530</v>
      </c>
      <c r="E385" s="11" t="s">
        <v>1531</v>
      </c>
      <c r="F385" s="11" t="s">
        <v>228</v>
      </c>
      <c r="G385" s="11">
        <v>17.93</v>
      </c>
      <c r="H385" s="11" t="s">
        <v>120</v>
      </c>
      <c r="I385" s="12">
        <v>5516.0</v>
      </c>
      <c r="J385" s="12">
        <v>5550.0</v>
      </c>
      <c r="K385" s="12">
        <v>6700.0</v>
      </c>
      <c r="L385" s="11" t="s">
        <v>1532</v>
      </c>
      <c r="M385" s="11" t="s">
        <v>1533</v>
      </c>
      <c r="N385" s="11" t="s">
        <v>316</v>
      </c>
      <c r="O385" s="11" t="s">
        <v>41</v>
      </c>
      <c r="P385" s="11" t="s">
        <v>162</v>
      </c>
      <c r="Q385" s="13" t="str">
        <f>IFERROR(VLOOKUP(E385,'SF Churn Data'!E:R,14,0),"")</f>
        <v/>
      </c>
    </row>
    <row r="386" hidden="1">
      <c r="A386" s="11" t="s">
        <v>1029</v>
      </c>
      <c r="B386" s="11" t="s">
        <v>44</v>
      </c>
      <c r="C386" s="11" t="s">
        <v>53</v>
      </c>
      <c r="D386" s="11" t="s">
        <v>1534</v>
      </c>
      <c r="E386" s="11" t="s">
        <v>1535</v>
      </c>
      <c r="F386" s="11" t="s">
        <v>228</v>
      </c>
      <c r="G386" s="11">
        <v>15.35</v>
      </c>
      <c r="H386" s="11" t="s">
        <v>56</v>
      </c>
      <c r="I386" s="12">
        <v>450.0</v>
      </c>
      <c r="J386" s="12">
        <v>360.0</v>
      </c>
      <c r="K386" s="12"/>
      <c r="L386" s="11" t="s">
        <v>1536</v>
      </c>
      <c r="M386" s="11" t="s">
        <v>1537</v>
      </c>
      <c r="N386" s="11" t="s">
        <v>1034</v>
      </c>
      <c r="O386" s="11" t="s">
        <v>57</v>
      </c>
      <c r="P386" s="11"/>
      <c r="Q386" s="13" t="str">
        <f>IFERROR(VLOOKUP(E386,'SF Churn Data'!E:R,14,0),"")</f>
        <v/>
      </c>
    </row>
    <row r="387" hidden="1">
      <c r="A387" s="11" t="s">
        <v>148</v>
      </c>
      <c r="B387" s="11" t="s">
        <v>45</v>
      </c>
      <c r="C387" s="11" t="s">
        <v>45</v>
      </c>
      <c r="D387" s="11" t="s">
        <v>1538</v>
      </c>
      <c r="E387" s="11" t="s">
        <v>1539</v>
      </c>
      <c r="F387" s="11" t="s">
        <v>228</v>
      </c>
      <c r="G387" s="11">
        <v>10.0</v>
      </c>
      <c r="H387" s="11" t="s">
        <v>45</v>
      </c>
      <c r="I387" s="12">
        <v>4171.0</v>
      </c>
      <c r="J387" s="12">
        <v>4200.0</v>
      </c>
      <c r="K387" s="12">
        <v>5050.0</v>
      </c>
      <c r="L387" s="11" t="s">
        <v>1540</v>
      </c>
      <c r="M387" s="11" t="s">
        <v>1541</v>
      </c>
      <c r="N387" s="11" t="s">
        <v>343</v>
      </c>
      <c r="O387" s="11" t="s">
        <v>57</v>
      </c>
      <c r="P387" s="11" t="s">
        <v>48</v>
      </c>
      <c r="Q387" s="13" t="str">
        <f>IFERROR(VLOOKUP(E387,'SF Churn Data'!E:R,14,0),"")</f>
        <v/>
      </c>
    </row>
    <row r="388" hidden="1">
      <c r="A388" s="11" t="s">
        <v>191</v>
      </c>
      <c r="B388" s="11" t="s">
        <v>45</v>
      </c>
      <c r="C388" s="11" t="s">
        <v>45</v>
      </c>
      <c r="D388" s="11" t="s">
        <v>1542</v>
      </c>
      <c r="E388" s="11" t="s">
        <v>1543</v>
      </c>
      <c r="F388" s="11" t="s">
        <v>228</v>
      </c>
      <c r="G388" s="11">
        <v>11.26</v>
      </c>
      <c r="H388" s="11" t="s">
        <v>45</v>
      </c>
      <c r="I388" s="12">
        <v>3900.0</v>
      </c>
      <c r="J388" s="12">
        <v>5100.0</v>
      </c>
      <c r="K388" s="11"/>
      <c r="L388" s="11" t="s">
        <v>1544</v>
      </c>
      <c r="M388" s="11" t="s">
        <v>1545</v>
      </c>
      <c r="N388" s="11" t="s">
        <v>903</v>
      </c>
      <c r="O388" s="11" t="s">
        <v>57</v>
      </c>
      <c r="P388" s="11" t="s">
        <v>48</v>
      </c>
      <c r="Q388" s="13" t="str">
        <f>IFERROR(VLOOKUP(E388,'SF Churn Data'!E:R,14,0),"")</f>
        <v/>
      </c>
    </row>
    <row r="389" hidden="1">
      <c r="A389" s="11" t="s">
        <v>154</v>
      </c>
      <c r="B389" s="11" t="s">
        <v>45</v>
      </c>
      <c r="C389" s="11" t="s">
        <v>45</v>
      </c>
      <c r="D389" s="11" t="s">
        <v>1546</v>
      </c>
      <c r="E389" s="11" t="s">
        <v>1547</v>
      </c>
      <c r="F389" s="11" t="s">
        <v>228</v>
      </c>
      <c r="G389" s="11">
        <v>11.0</v>
      </c>
      <c r="H389" s="11" t="s">
        <v>45</v>
      </c>
      <c r="I389" s="12">
        <v>3580.0</v>
      </c>
      <c r="J389" s="12">
        <v>5050.0</v>
      </c>
      <c r="K389" s="12">
        <v>4350.0</v>
      </c>
      <c r="L389" s="11" t="s">
        <v>1548</v>
      </c>
      <c r="M389" s="11" t="s">
        <v>1549</v>
      </c>
      <c r="N389" s="11" t="s">
        <v>1146</v>
      </c>
      <c r="O389" s="11" t="s">
        <v>151</v>
      </c>
      <c r="P389" s="11" t="s">
        <v>157</v>
      </c>
      <c r="Q389" s="13" t="str">
        <f>IFERROR(VLOOKUP(E389,'SF Churn Data'!E:R,14,0),"")</f>
        <v/>
      </c>
    </row>
    <row r="390" hidden="1">
      <c r="A390" s="11" t="s">
        <v>49</v>
      </c>
      <c r="B390" s="11" t="s">
        <v>44</v>
      </c>
      <c r="C390" s="11" t="s">
        <v>76</v>
      </c>
      <c r="D390" s="11" t="s">
        <v>1550</v>
      </c>
      <c r="E390" s="11" t="s">
        <v>1551</v>
      </c>
      <c r="F390" s="11" t="s">
        <v>228</v>
      </c>
      <c r="G390" s="11">
        <v>19.08</v>
      </c>
      <c r="H390" s="11" t="s">
        <v>120</v>
      </c>
      <c r="I390" s="12">
        <v>7320.0</v>
      </c>
      <c r="J390" s="12">
        <v>8450.0</v>
      </c>
      <c r="K390" s="12">
        <v>8850.0</v>
      </c>
      <c r="L390" s="11" t="s">
        <v>1552</v>
      </c>
      <c r="M390" s="11" t="s">
        <v>1553</v>
      </c>
      <c r="N390" s="11" t="s">
        <v>903</v>
      </c>
      <c r="O390" s="11" t="s">
        <v>57</v>
      </c>
      <c r="P390" s="11" t="s">
        <v>48</v>
      </c>
      <c r="Q390" s="13" t="str">
        <f>IFERROR(VLOOKUP(E390,'SF Churn Data'!E:R,14,0),"")</f>
        <v/>
      </c>
    </row>
    <row r="391" hidden="1">
      <c r="A391" s="11" t="s">
        <v>216</v>
      </c>
      <c r="B391" s="11" t="s">
        <v>45</v>
      </c>
      <c r="C391" s="11" t="s">
        <v>45</v>
      </c>
      <c r="D391" s="11" t="s">
        <v>1554</v>
      </c>
      <c r="E391" s="11" t="s">
        <v>1555</v>
      </c>
      <c r="F391" s="11" t="s">
        <v>228</v>
      </c>
      <c r="G391" s="11">
        <v>8.47</v>
      </c>
      <c r="H391" s="11" t="s">
        <v>45</v>
      </c>
      <c r="I391" s="12">
        <v>3194.0</v>
      </c>
      <c r="J391" s="12">
        <v>4500.0</v>
      </c>
      <c r="K391" s="12">
        <v>3850.0</v>
      </c>
      <c r="L391" s="11" t="s">
        <v>1556</v>
      </c>
      <c r="M391" s="11" t="s">
        <v>1557</v>
      </c>
      <c r="N391" s="11" t="s">
        <v>343</v>
      </c>
      <c r="O391" s="11" t="s">
        <v>83</v>
      </c>
      <c r="P391" s="11" t="s">
        <v>42</v>
      </c>
      <c r="Q391" s="13" t="str">
        <f>IFERROR(VLOOKUP(E391,'SF Churn Data'!E:R,14,0),"")</f>
        <v/>
      </c>
    </row>
    <row r="392" hidden="1">
      <c r="A392" s="11" t="s">
        <v>282</v>
      </c>
      <c r="B392" s="11" t="s">
        <v>44</v>
      </c>
      <c r="C392" s="11" t="s">
        <v>64</v>
      </c>
      <c r="D392" s="11" t="s">
        <v>1558</v>
      </c>
      <c r="E392" s="11" t="s">
        <v>1559</v>
      </c>
      <c r="F392" s="11" t="s">
        <v>228</v>
      </c>
      <c r="G392" s="11">
        <v>17.44</v>
      </c>
      <c r="H392" s="11" t="s">
        <v>120</v>
      </c>
      <c r="I392" s="12">
        <v>5767.0</v>
      </c>
      <c r="J392" s="12">
        <v>6950.0</v>
      </c>
      <c r="K392" s="12">
        <v>7000.0</v>
      </c>
      <c r="L392" s="11" t="s">
        <v>1560</v>
      </c>
      <c r="M392" s="11" t="s">
        <v>977</v>
      </c>
      <c r="N392" s="11" t="s">
        <v>403</v>
      </c>
      <c r="O392" s="11" t="s">
        <v>41</v>
      </c>
      <c r="P392" s="11" t="s">
        <v>63</v>
      </c>
      <c r="Q392" s="13" t="str">
        <f>IFERROR(VLOOKUP(E392,'SF Churn Data'!E:R,14,0),"")</f>
        <v/>
      </c>
    </row>
    <row r="393" hidden="1">
      <c r="A393" s="11" t="s">
        <v>148</v>
      </c>
      <c r="B393" s="11" t="s">
        <v>44</v>
      </c>
      <c r="C393" s="11" t="s">
        <v>180</v>
      </c>
      <c r="D393" s="11" t="s">
        <v>1561</v>
      </c>
      <c r="E393" s="11" t="s">
        <v>1562</v>
      </c>
      <c r="F393" s="11" t="s">
        <v>228</v>
      </c>
      <c r="G393" s="11">
        <v>22.2</v>
      </c>
      <c r="H393" s="11" t="s">
        <v>56</v>
      </c>
      <c r="I393" s="12">
        <v>8349.0</v>
      </c>
      <c r="J393" s="12">
        <v>8350.0</v>
      </c>
      <c r="K393" s="11">
        <v>10050.0</v>
      </c>
      <c r="L393" s="11" t="s">
        <v>1563</v>
      </c>
      <c r="M393" s="11" t="s">
        <v>1564</v>
      </c>
      <c r="N393" s="11" t="s">
        <v>240</v>
      </c>
      <c r="O393" s="11" t="s">
        <v>151</v>
      </c>
      <c r="P393" s="11" t="s">
        <v>48</v>
      </c>
      <c r="Q393" s="13" t="str">
        <f>IFERROR(VLOOKUP(E393,'SF Churn Data'!E:R,14,0),"")</f>
        <v/>
      </c>
    </row>
    <row r="394" hidden="1">
      <c r="A394" s="11" t="s">
        <v>112</v>
      </c>
      <c r="B394" s="11" t="s">
        <v>45</v>
      </c>
      <c r="C394" s="11" t="s">
        <v>45</v>
      </c>
      <c r="D394" s="11" t="s">
        <v>1565</v>
      </c>
      <c r="E394" s="11" t="s">
        <v>1566</v>
      </c>
      <c r="F394" s="11" t="s">
        <v>228</v>
      </c>
      <c r="G394" s="11">
        <v>10.6</v>
      </c>
      <c r="H394" s="11" t="s">
        <v>45</v>
      </c>
      <c r="I394" s="12">
        <v>3257.0</v>
      </c>
      <c r="J394" s="12">
        <v>4600.0</v>
      </c>
      <c r="K394" s="11">
        <v>4000.0</v>
      </c>
      <c r="L394" s="11" t="s">
        <v>1567</v>
      </c>
      <c r="M394" s="11" t="s">
        <v>1568</v>
      </c>
      <c r="N394" s="11" t="s">
        <v>403</v>
      </c>
      <c r="O394" s="11" t="s">
        <v>198</v>
      </c>
      <c r="P394" s="11" t="s">
        <v>42</v>
      </c>
      <c r="Q394" s="13" t="str">
        <f>IFERROR(VLOOKUP(E394,'SF Churn Data'!E:R,14,0),"")</f>
        <v/>
      </c>
    </row>
    <row r="395" hidden="1">
      <c r="A395" s="11" t="s">
        <v>171</v>
      </c>
      <c r="B395" s="11" t="s">
        <v>45</v>
      </c>
      <c r="C395" s="11" t="s">
        <v>45</v>
      </c>
      <c r="D395" s="11" t="s">
        <v>1569</v>
      </c>
      <c r="E395" s="11" t="s">
        <v>1570</v>
      </c>
      <c r="F395" s="11" t="s">
        <v>228</v>
      </c>
      <c r="G395" s="11">
        <v>10.41</v>
      </c>
      <c r="H395" s="11" t="s">
        <v>45</v>
      </c>
      <c r="I395" s="12">
        <v>1990.0</v>
      </c>
      <c r="J395" s="12">
        <v>2300.0</v>
      </c>
      <c r="K395" s="12">
        <v>3000.0</v>
      </c>
      <c r="L395" s="11" t="s">
        <v>1571</v>
      </c>
      <c r="M395" s="11" t="s">
        <v>1572</v>
      </c>
      <c r="N395" s="11" t="s">
        <v>403</v>
      </c>
      <c r="O395" s="11" t="s">
        <v>198</v>
      </c>
      <c r="P395" s="11"/>
      <c r="Q395" s="13" t="str">
        <f>IFERROR(VLOOKUP(E395,'SF Churn Data'!E:R,14,0),"")</f>
        <v/>
      </c>
    </row>
    <row r="396" hidden="1">
      <c r="A396" s="11" t="s">
        <v>132</v>
      </c>
      <c r="B396" s="11" t="s">
        <v>45</v>
      </c>
      <c r="C396" s="11" t="s">
        <v>45</v>
      </c>
      <c r="D396" s="11" t="s">
        <v>1573</v>
      </c>
      <c r="E396" s="11" t="s">
        <v>1574</v>
      </c>
      <c r="F396" s="11" t="s">
        <v>228</v>
      </c>
      <c r="G396" s="11">
        <v>10.46</v>
      </c>
      <c r="H396" s="11" t="s">
        <v>400</v>
      </c>
      <c r="I396" s="12">
        <v>1822.08</v>
      </c>
      <c r="J396" s="12">
        <v>1500.0</v>
      </c>
      <c r="K396" s="11">
        <v>5050.0</v>
      </c>
      <c r="L396" s="11" t="s">
        <v>1575</v>
      </c>
      <c r="M396" s="11" t="s">
        <v>1576</v>
      </c>
      <c r="N396" s="11" t="s">
        <v>403</v>
      </c>
      <c r="O396" s="11" t="s">
        <v>41</v>
      </c>
      <c r="P396" s="11"/>
      <c r="Q396" s="13" t="str">
        <f>IFERROR(VLOOKUP(E396,'SF Churn Data'!E:R,14,0),"")</f>
        <v/>
      </c>
    </row>
    <row r="397" hidden="1">
      <c r="A397" s="11" t="s">
        <v>148</v>
      </c>
      <c r="B397" s="11" t="s">
        <v>45</v>
      </c>
      <c r="C397" s="11" t="s">
        <v>45</v>
      </c>
      <c r="D397" s="11" t="s">
        <v>1577</v>
      </c>
      <c r="E397" s="11" t="s">
        <v>1578</v>
      </c>
      <c r="F397" s="11" t="s">
        <v>228</v>
      </c>
      <c r="G397" s="11">
        <v>8.8</v>
      </c>
      <c r="H397" s="11" t="s">
        <v>45</v>
      </c>
      <c r="I397" s="12">
        <v>4171.0</v>
      </c>
      <c r="J397" s="12">
        <v>4200.0</v>
      </c>
      <c r="K397" s="11">
        <v>5050.0</v>
      </c>
      <c r="L397" s="11" t="s">
        <v>1579</v>
      </c>
      <c r="M397" s="11" t="s">
        <v>1580</v>
      </c>
      <c r="N397" s="11" t="s">
        <v>403</v>
      </c>
      <c r="O397" s="11" t="s">
        <v>57</v>
      </c>
      <c r="P397" s="11" t="s">
        <v>48</v>
      </c>
      <c r="Q397" s="13" t="str">
        <f>IFERROR(VLOOKUP(E397,'SF Churn Data'!E:R,14,0),"")</f>
        <v/>
      </c>
    </row>
    <row r="398" hidden="1">
      <c r="A398" s="11" t="s">
        <v>225</v>
      </c>
      <c r="B398" s="11" t="s">
        <v>45</v>
      </c>
      <c r="C398" s="11" t="s">
        <v>45</v>
      </c>
      <c r="D398" s="11" t="s">
        <v>1581</v>
      </c>
      <c r="E398" s="11" t="s">
        <v>1582</v>
      </c>
      <c r="F398" s="11" t="s">
        <v>228</v>
      </c>
      <c r="G398" s="11">
        <v>9.0</v>
      </c>
      <c r="H398" s="11" t="s">
        <v>45</v>
      </c>
      <c r="I398" s="12">
        <v>3100.0</v>
      </c>
      <c r="J398" s="12">
        <v>4050.0</v>
      </c>
      <c r="K398" s="12">
        <v>3600.0</v>
      </c>
      <c r="L398" s="11" t="s">
        <v>1583</v>
      </c>
      <c r="M398" s="11" t="s">
        <v>1584</v>
      </c>
      <c r="N398" s="11" t="s">
        <v>403</v>
      </c>
      <c r="O398" s="11" t="s">
        <v>161</v>
      </c>
      <c r="P398" s="11" t="s">
        <v>162</v>
      </c>
      <c r="Q398" s="13" t="str">
        <f>IFERROR(VLOOKUP(E398,'SF Churn Data'!E:R,14,0),"")</f>
        <v/>
      </c>
    </row>
    <row r="399" hidden="1">
      <c r="A399" s="11" t="s">
        <v>132</v>
      </c>
      <c r="B399" s="11" t="s">
        <v>44</v>
      </c>
      <c r="C399" s="11" t="s">
        <v>151</v>
      </c>
      <c r="D399" s="11" t="s">
        <v>1585</v>
      </c>
      <c r="E399" s="11" t="s">
        <v>1586</v>
      </c>
      <c r="F399" s="11" t="s">
        <v>228</v>
      </c>
      <c r="G399" s="11">
        <v>24.65</v>
      </c>
      <c r="H399" s="11" t="s">
        <v>574</v>
      </c>
      <c r="I399" s="12">
        <v>4563.0</v>
      </c>
      <c r="J399" s="12">
        <v>3700.0</v>
      </c>
      <c r="K399" s="11">
        <v>3500.0</v>
      </c>
      <c r="L399" s="11" t="s">
        <v>1587</v>
      </c>
      <c r="M399" s="11" t="s">
        <v>1533</v>
      </c>
      <c r="N399" s="11" t="s">
        <v>240</v>
      </c>
      <c r="O399" s="11" t="s">
        <v>41</v>
      </c>
      <c r="P399" s="11"/>
      <c r="Q399" s="13" t="str">
        <f>IFERROR(VLOOKUP(E399,'SF Churn Data'!E:R,14,0),"")</f>
        <v/>
      </c>
    </row>
    <row r="400" hidden="1">
      <c r="A400" s="11" t="s">
        <v>364</v>
      </c>
      <c r="B400" s="11" t="s">
        <v>44</v>
      </c>
      <c r="C400" s="11" t="s">
        <v>64</v>
      </c>
      <c r="D400" s="11" t="s">
        <v>1588</v>
      </c>
      <c r="E400" s="11" t="s">
        <v>1589</v>
      </c>
      <c r="F400" s="11" t="s">
        <v>228</v>
      </c>
      <c r="G400" s="11">
        <v>17.92</v>
      </c>
      <c r="H400" s="11" t="s">
        <v>120</v>
      </c>
      <c r="I400" s="12">
        <v>4500.0</v>
      </c>
      <c r="J400" s="12">
        <v>4500.0</v>
      </c>
      <c r="K400" s="12">
        <v>5400.0</v>
      </c>
      <c r="L400" s="11" t="s">
        <v>1590</v>
      </c>
      <c r="M400" s="11" t="s">
        <v>1591</v>
      </c>
      <c r="N400" s="11" t="s">
        <v>491</v>
      </c>
      <c r="O400" s="11" t="s">
        <v>41</v>
      </c>
      <c r="P400" s="11" t="s">
        <v>369</v>
      </c>
      <c r="Q400" s="13" t="str">
        <f>IFERROR(VLOOKUP(E400,'SF Churn Data'!E:R,14,0),"")</f>
        <v/>
      </c>
    </row>
    <row r="401" hidden="1">
      <c r="A401" s="11" t="s">
        <v>1238</v>
      </c>
      <c r="B401" s="11" t="s">
        <v>44</v>
      </c>
      <c r="C401" s="11" t="s">
        <v>53</v>
      </c>
      <c r="D401" s="11" t="s">
        <v>1592</v>
      </c>
      <c r="E401" s="11" t="s">
        <v>1593</v>
      </c>
      <c r="F401" s="11" t="s">
        <v>228</v>
      </c>
      <c r="G401" s="11">
        <v>15.59</v>
      </c>
      <c r="H401" s="11" t="s">
        <v>1242</v>
      </c>
      <c r="I401" s="12">
        <v>3600.0</v>
      </c>
      <c r="J401" s="12">
        <v>4700.0</v>
      </c>
      <c r="K401" s="11"/>
      <c r="L401" s="11" t="s">
        <v>1594</v>
      </c>
      <c r="M401" s="11" t="s">
        <v>1595</v>
      </c>
      <c r="N401" s="11" t="s">
        <v>240</v>
      </c>
      <c r="O401" s="11" t="s">
        <v>41</v>
      </c>
      <c r="P401" s="11" t="s">
        <v>144</v>
      </c>
      <c r="Q401" s="13" t="str">
        <f>IFERROR(VLOOKUP(E401,'SF Churn Data'!E:R,14,0),"")</f>
        <v/>
      </c>
    </row>
    <row r="402" hidden="1">
      <c r="A402" s="11" t="s">
        <v>1596</v>
      </c>
      <c r="B402" s="11" t="s">
        <v>44</v>
      </c>
      <c r="C402" s="11" t="s">
        <v>151</v>
      </c>
      <c r="D402" s="11" t="s">
        <v>1597</v>
      </c>
      <c r="E402" s="11" t="s">
        <v>1598</v>
      </c>
      <c r="F402" s="11" t="s">
        <v>228</v>
      </c>
      <c r="G402" s="11">
        <v>26.91</v>
      </c>
      <c r="H402" s="11" t="s">
        <v>168</v>
      </c>
      <c r="I402" s="12">
        <v>5096.0</v>
      </c>
      <c r="J402" s="12">
        <v>5400.0</v>
      </c>
      <c r="K402" s="12"/>
      <c r="L402" s="11" t="s">
        <v>1599</v>
      </c>
      <c r="M402" s="11" t="s">
        <v>1600</v>
      </c>
      <c r="N402" s="11" t="s">
        <v>131</v>
      </c>
      <c r="O402" s="11" t="s">
        <v>41</v>
      </c>
      <c r="P402" s="11" t="s">
        <v>162</v>
      </c>
      <c r="Q402" s="13" t="str">
        <f>IFERROR(VLOOKUP(E402,'SF Churn Data'!E:R,14,0),"")</f>
        <v/>
      </c>
    </row>
    <row r="403" hidden="1">
      <c r="A403" s="11" t="s">
        <v>138</v>
      </c>
      <c r="B403" s="11" t="s">
        <v>44</v>
      </c>
      <c r="C403" s="11" t="s">
        <v>53</v>
      </c>
      <c r="D403" s="11" t="s">
        <v>1601</v>
      </c>
      <c r="E403" s="11" t="s">
        <v>1602</v>
      </c>
      <c r="F403" s="11" t="s">
        <v>228</v>
      </c>
      <c r="G403" s="11">
        <v>15.88</v>
      </c>
      <c r="H403" s="11" t="s">
        <v>56</v>
      </c>
      <c r="I403" s="12">
        <v>3529.0</v>
      </c>
      <c r="J403" s="12">
        <v>5150.0</v>
      </c>
      <c r="K403" s="11">
        <v>4300.0</v>
      </c>
      <c r="L403" s="11" t="s">
        <v>1603</v>
      </c>
      <c r="M403" s="11" t="s">
        <v>1604</v>
      </c>
      <c r="N403" s="11" t="s">
        <v>763</v>
      </c>
      <c r="O403" s="11" t="s">
        <v>41</v>
      </c>
      <c r="P403" s="11" t="s">
        <v>144</v>
      </c>
      <c r="Q403" s="13" t="str">
        <f>IFERROR(VLOOKUP(E403,'SF Churn Data'!E:R,14,0),"")</f>
        <v/>
      </c>
    </row>
    <row r="404" hidden="1">
      <c r="A404" s="11" t="s">
        <v>158</v>
      </c>
      <c r="B404" s="11" t="s">
        <v>44</v>
      </c>
      <c r="C404" s="11" t="s">
        <v>53</v>
      </c>
      <c r="D404" s="11" t="s">
        <v>1605</v>
      </c>
      <c r="E404" s="11" t="s">
        <v>1606</v>
      </c>
      <c r="F404" s="11" t="s">
        <v>228</v>
      </c>
      <c r="G404" s="11">
        <v>15.64</v>
      </c>
      <c r="H404" s="11" t="s">
        <v>120</v>
      </c>
      <c r="I404" s="12">
        <v>5091.0</v>
      </c>
      <c r="J404" s="12">
        <v>5100.0</v>
      </c>
      <c r="K404" s="12">
        <v>6150.0</v>
      </c>
      <c r="L404" s="11" t="s">
        <v>1607</v>
      </c>
      <c r="M404" s="11" t="s">
        <v>1608</v>
      </c>
      <c r="N404" s="11" t="s">
        <v>403</v>
      </c>
      <c r="O404" s="11" t="s">
        <v>161</v>
      </c>
      <c r="P404" s="11" t="s">
        <v>162</v>
      </c>
      <c r="Q404" s="13" t="str">
        <f>IFERROR(VLOOKUP(E404,'SF Churn Data'!E:R,14,0),"")</f>
        <v/>
      </c>
    </row>
    <row r="405" hidden="1">
      <c r="A405" s="11" t="s">
        <v>158</v>
      </c>
      <c r="B405" s="11" t="s">
        <v>44</v>
      </c>
      <c r="C405" s="11" t="s">
        <v>53</v>
      </c>
      <c r="D405" s="11" t="s">
        <v>1609</v>
      </c>
      <c r="E405" s="11" t="s">
        <v>1610</v>
      </c>
      <c r="F405" s="11" t="s">
        <v>228</v>
      </c>
      <c r="G405" s="11">
        <v>15.19</v>
      </c>
      <c r="H405" s="11" t="s">
        <v>120</v>
      </c>
      <c r="I405" s="12">
        <v>5091.0</v>
      </c>
      <c r="J405" s="12">
        <v>5100.0</v>
      </c>
      <c r="K405" s="11">
        <v>6150.0</v>
      </c>
      <c r="L405" s="11" t="s">
        <v>1611</v>
      </c>
      <c r="M405" s="11" t="s">
        <v>1608</v>
      </c>
      <c r="N405" s="11" t="s">
        <v>403</v>
      </c>
      <c r="O405" s="11" t="s">
        <v>161</v>
      </c>
      <c r="P405" s="11" t="s">
        <v>162</v>
      </c>
      <c r="Q405" s="13" t="str">
        <f>IFERROR(VLOOKUP(E405,'SF Churn Data'!E:R,14,0),"")</f>
        <v/>
      </c>
    </row>
    <row r="406" hidden="1">
      <c r="A406" s="11" t="s">
        <v>912</v>
      </c>
      <c r="B406" s="11" t="s">
        <v>45</v>
      </c>
      <c r="C406" s="11" t="s">
        <v>45</v>
      </c>
      <c r="D406" s="11" t="s">
        <v>1612</v>
      </c>
      <c r="E406" s="11" t="s">
        <v>1613</v>
      </c>
      <c r="F406" s="11" t="s">
        <v>228</v>
      </c>
      <c r="G406" s="11">
        <v>11.21</v>
      </c>
      <c r="H406" s="11" t="s">
        <v>45</v>
      </c>
      <c r="I406" s="12">
        <v>2600.0</v>
      </c>
      <c r="J406" s="12">
        <v>3250.0</v>
      </c>
      <c r="K406" s="12">
        <v>3000.0</v>
      </c>
      <c r="L406" s="11" t="s">
        <v>1614</v>
      </c>
      <c r="M406" s="11" t="s">
        <v>1615</v>
      </c>
      <c r="N406" s="11" t="s">
        <v>143</v>
      </c>
      <c r="O406" s="11" t="s">
        <v>41</v>
      </c>
      <c r="P406" s="11" t="s">
        <v>917</v>
      </c>
      <c r="Q406" s="13" t="str">
        <f>IFERROR(VLOOKUP(E406,'SF Churn Data'!E:R,14,0),"")</f>
        <v/>
      </c>
    </row>
    <row r="407" hidden="1">
      <c r="A407" s="11" t="s">
        <v>201</v>
      </c>
      <c r="B407" s="11" t="s">
        <v>44</v>
      </c>
      <c r="C407" s="11" t="s">
        <v>53</v>
      </c>
      <c r="D407" s="11" t="s">
        <v>1616</v>
      </c>
      <c r="E407" s="11" t="s">
        <v>1617</v>
      </c>
      <c r="F407" s="11" t="s">
        <v>228</v>
      </c>
      <c r="G407" s="11">
        <v>16.36</v>
      </c>
      <c r="H407" s="11" t="s">
        <v>56</v>
      </c>
      <c r="I407" s="12">
        <v>3150.0</v>
      </c>
      <c r="J407" s="12">
        <v>3800.0</v>
      </c>
      <c r="K407" s="11">
        <v>3700.0</v>
      </c>
      <c r="L407" s="11" t="s">
        <v>1618</v>
      </c>
      <c r="M407" s="11" t="s">
        <v>1619</v>
      </c>
      <c r="N407" s="11" t="s">
        <v>240</v>
      </c>
      <c r="O407" s="11" t="s">
        <v>41</v>
      </c>
      <c r="P407" s="11"/>
      <c r="Q407" s="13" t="str">
        <f>IFERROR(VLOOKUP(E407,'SF Churn Data'!E:R,14,0),"")</f>
        <v/>
      </c>
    </row>
    <row r="408" hidden="1">
      <c r="A408" s="11" t="s">
        <v>171</v>
      </c>
      <c r="B408" s="11" t="s">
        <v>44</v>
      </c>
      <c r="C408" s="11" t="s">
        <v>53</v>
      </c>
      <c r="D408" s="11" t="s">
        <v>1620</v>
      </c>
      <c r="E408" s="11" t="s">
        <v>1621</v>
      </c>
      <c r="F408" s="11" t="s">
        <v>228</v>
      </c>
      <c r="G408" s="11">
        <v>15.97</v>
      </c>
      <c r="H408" s="11" t="s">
        <v>56</v>
      </c>
      <c r="I408" s="12">
        <v>4250.0</v>
      </c>
      <c r="J408" s="12">
        <v>4900.0</v>
      </c>
      <c r="K408" s="11">
        <v>5100.0</v>
      </c>
      <c r="L408" s="11" t="s">
        <v>1622</v>
      </c>
      <c r="M408" s="11" t="s">
        <v>600</v>
      </c>
      <c r="N408" s="11" t="s">
        <v>240</v>
      </c>
      <c r="O408" s="11" t="s">
        <v>41</v>
      </c>
      <c r="P408" s="11"/>
      <c r="Q408" s="13" t="str">
        <f>IFERROR(VLOOKUP(E408,'SF Churn Data'!E:R,14,0),"")</f>
        <v/>
      </c>
    </row>
    <row r="409" hidden="1">
      <c r="A409" s="11" t="s">
        <v>43</v>
      </c>
      <c r="B409" s="11" t="s">
        <v>44</v>
      </c>
      <c r="C409" s="11" t="s">
        <v>180</v>
      </c>
      <c r="D409" s="11" t="s">
        <v>1623</v>
      </c>
      <c r="E409" s="11" t="s">
        <v>1624</v>
      </c>
      <c r="F409" s="11" t="s">
        <v>228</v>
      </c>
      <c r="G409" s="11">
        <v>22.1</v>
      </c>
      <c r="H409" s="11" t="s">
        <v>168</v>
      </c>
      <c r="I409" s="12">
        <v>7700.0</v>
      </c>
      <c r="J409" s="12">
        <v>9250.0</v>
      </c>
      <c r="K409" s="12"/>
      <c r="L409" s="11" t="s">
        <v>1625</v>
      </c>
      <c r="M409" s="11" t="s">
        <v>1626</v>
      </c>
      <c r="N409" s="11" t="s">
        <v>240</v>
      </c>
      <c r="O409" s="11" t="s">
        <v>57</v>
      </c>
      <c r="P409" s="11" t="s">
        <v>48</v>
      </c>
      <c r="Q409" s="13" t="str">
        <f>IFERROR(VLOOKUP(E409,'SF Churn Data'!E:R,14,0),"")</f>
        <v/>
      </c>
    </row>
    <row r="410" hidden="1">
      <c r="A410" s="11" t="s">
        <v>171</v>
      </c>
      <c r="B410" s="11" t="s">
        <v>45</v>
      </c>
      <c r="C410" s="11" t="s">
        <v>45</v>
      </c>
      <c r="D410" s="11" t="s">
        <v>1627</v>
      </c>
      <c r="E410" s="11" t="s">
        <v>1628</v>
      </c>
      <c r="F410" s="11" t="s">
        <v>228</v>
      </c>
      <c r="G410" s="11">
        <v>10.28</v>
      </c>
      <c r="H410" s="11" t="s">
        <v>45</v>
      </c>
      <c r="I410" s="12">
        <v>1990.0</v>
      </c>
      <c r="J410" s="12">
        <v>2300.0</v>
      </c>
      <c r="K410" s="12">
        <v>2400.0</v>
      </c>
      <c r="L410" s="11" t="s">
        <v>1629</v>
      </c>
      <c r="M410" s="11" t="s">
        <v>1630</v>
      </c>
      <c r="N410" s="11" t="s">
        <v>143</v>
      </c>
      <c r="O410" s="11" t="s">
        <v>41</v>
      </c>
      <c r="P410" s="11"/>
      <c r="Q410" s="13" t="str">
        <f>IFERROR(VLOOKUP(E410,'SF Churn Data'!E:R,14,0),"")</f>
        <v/>
      </c>
    </row>
    <row r="411" hidden="1">
      <c r="A411" s="11" t="s">
        <v>210</v>
      </c>
      <c r="B411" s="11" t="s">
        <v>44</v>
      </c>
      <c r="C411" s="11" t="s">
        <v>151</v>
      </c>
      <c r="D411" s="11" t="s">
        <v>1631</v>
      </c>
      <c r="E411" s="11" t="s">
        <v>1632</v>
      </c>
      <c r="F411" s="11" t="s">
        <v>228</v>
      </c>
      <c r="G411" s="11">
        <v>26.07</v>
      </c>
      <c r="H411" s="11" t="s">
        <v>168</v>
      </c>
      <c r="I411" s="12">
        <v>7250.0</v>
      </c>
      <c r="J411" s="12">
        <v>9450.0</v>
      </c>
      <c r="K411" s="11">
        <v>8700.0</v>
      </c>
      <c r="L411" s="11" t="s">
        <v>1633</v>
      </c>
      <c r="M411" s="11" t="s">
        <v>1634</v>
      </c>
      <c r="N411" s="11" t="s">
        <v>403</v>
      </c>
      <c r="O411" s="11" t="s">
        <v>57</v>
      </c>
      <c r="P411" s="11" t="s">
        <v>63</v>
      </c>
      <c r="Q411" s="13" t="str">
        <f>IFERROR(VLOOKUP(E411,'SF Churn Data'!E:R,14,0),"")</f>
        <v/>
      </c>
    </row>
    <row r="412" hidden="1">
      <c r="A412" s="11" t="s">
        <v>35</v>
      </c>
      <c r="B412" s="11" t="s">
        <v>44</v>
      </c>
      <c r="C412" s="11" t="s">
        <v>53</v>
      </c>
      <c r="D412" s="11" t="s">
        <v>1635</v>
      </c>
      <c r="E412" s="11" t="s">
        <v>1636</v>
      </c>
      <c r="F412" s="11" t="s">
        <v>228</v>
      </c>
      <c r="G412" s="11">
        <v>16.08</v>
      </c>
      <c r="H412" s="11" t="s">
        <v>120</v>
      </c>
      <c r="I412" s="12">
        <v>6230.0</v>
      </c>
      <c r="J412" s="12">
        <v>8450.0</v>
      </c>
      <c r="K412" s="11">
        <v>7500.0</v>
      </c>
      <c r="L412" s="11" t="s">
        <v>1637</v>
      </c>
      <c r="M412" s="11" t="s">
        <v>1638</v>
      </c>
      <c r="N412" s="11" t="s">
        <v>131</v>
      </c>
      <c r="O412" s="11" t="s">
        <v>41</v>
      </c>
      <c r="P412" s="11" t="s">
        <v>42</v>
      </c>
      <c r="Q412" s="13" t="str">
        <f>IFERROR(VLOOKUP(E412,'SF Churn Data'!E:R,14,0),"")</f>
        <v/>
      </c>
    </row>
    <row r="413" hidden="1">
      <c r="A413" s="11" t="s">
        <v>43</v>
      </c>
      <c r="B413" s="11" t="s">
        <v>44</v>
      </c>
      <c r="C413" s="11" t="s">
        <v>37</v>
      </c>
      <c r="D413" s="11" t="s">
        <v>1639</v>
      </c>
      <c r="E413" s="11" t="s">
        <v>1640</v>
      </c>
      <c r="F413" s="11" t="s">
        <v>228</v>
      </c>
      <c r="G413" s="11">
        <v>42.41</v>
      </c>
      <c r="H413" s="11" t="s">
        <v>168</v>
      </c>
      <c r="I413" s="12">
        <v>10800.0</v>
      </c>
      <c r="J413" s="12">
        <v>13000.0</v>
      </c>
      <c r="K413" s="11"/>
      <c r="L413" s="11" t="s">
        <v>1641</v>
      </c>
      <c r="M413" s="11" t="s">
        <v>1634</v>
      </c>
      <c r="N413" s="11" t="s">
        <v>403</v>
      </c>
      <c r="O413" s="11" t="s">
        <v>83</v>
      </c>
      <c r="P413" s="11" t="s">
        <v>48</v>
      </c>
      <c r="Q413" s="13" t="str">
        <f>IFERROR(VLOOKUP(E413,'SF Churn Data'!E:R,14,0),"")</f>
        <v/>
      </c>
    </row>
    <row r="414" hidden="1">
      <c r="A414" s="11" t="s">
        <v>43</v>
      </c>
      <c r="B414" s="11" t="s">
        <v>44</v>
      </c>
      <c r="C414" s="11" t="s">
        <v>76</v>
      </c>
      <c r="D414" s="11" t="s">
        <v>1642</v>
      </c>
      <c r="E414" s="11" t="s">
        <v>1643</v>
      </c>
      <c r="F414" s="11" t="s">
        <v>228</v>
      </c>
      <c r="G414" s="11">
        <v>19.18</v>
      </c>
      <c r="H414" s="11" t="s">
        <v>120</v>
      </c>
      <c r="I414" s="12">
        <v>7200.0</v>
      </c>
      <c r="J414" s="12">
        <v>8650.0</v>
      </c>
      <c r="K414" s="11"/>
      <c r="L414" s="11" t="s">
        <v>1644</v>
      </c>
      <c r="M414" s="11" t="s">
        <v>447</v>
      </c>
      <c r="N414" s="11" t="s">
        <v>240</v>
      </c>
      <c r="O414" s="11" t="s">
        <v>41</v>
      </c>
      <c r="P414" s="11" t="s">
        <v>48</v>
      </c>
      <c r="Q414" s="13" t="str">
        <f>IFERROR(VLOOKUP(E414,'SF Churn Data'!E:R,14,0),"")</f>
        <v/>
      </c>
    </row>
    <row r="415" hidden="1">
      <c r="A415" s="11" t="s">
        <v>138</v>
      </c>
      <c r="B415" s="11" t="s">
        <v>45</v>
      </c>
      <c r="C415" s="11" t="s">
        <v>45</v>
      </c>
      <c r="D415" s="11" t="s">
        <v>1645</v>
      </c>
      <c r="E415" s="11" t="s">
        <v>1646</v>
      </c>
      <c r="F415" s="11" t="s">
        <v>228</v>
      </c>
      <c r="G415" s="11">
        <v>9.99</v>
      </c>
      <c r="H415" s="11" t="s">
        <v>45</v>
      </c>
      <c r="I415" s="12">
        <v>1652.0</v>
      </c>
      <c r="J415" s="12">
        <v>2400.0</v>
      </c>
      <c r="K415" s="11">
        <v>2050.0</v>
      </c>
      <c r="L415" s="11" t="s">
        <v>1647</v>
      </c>
      <c r="M415" s="11" t="s">
        <v>1648</v>
      </c>
      <c r="N415" s="11" t="s">
        <v>131</v>
      </c>
      <c r="O415" s="11" t="s">
        <v>57</v>
      </c>
      <c r="P415" s="11" t="s">
        <v>144</v>
      </c>
      <c r="Q415" s="13" t="str">
        <f>IFERROR(VLOOKUP(E415,'SF Churn Data'!E:R,14,0),"")</f>
        <v/>
      </c>
    </row>
    <row r="416" hidden="1">
      <c r="A416" s="11" t="s">
        <v>148</v>
      </c>
      <c r="B416" s="11" t="s">
        <v>44</v>
      </c>
      <c r="C416" s="11" t="s">
        <v>64</v>
      </c>
      <c r="D416" s="11" t="s">
        <v>1649</v>
      </c>
      <c r="E416" s="11" t="s">
        <v>1650</v>
      </c>
      <c r="F416" s="11" t="s">
        <v>228</v>
      </c>
      <c r="G416" s="11">
        <v>18.1</v>
      </c>
      <c r="H416" s="11" t="s">
        <v>56</v>
      </c>
      <c r="I416" s="12">
        <v>7096.0</v>
      </c>
      <c r="J416" s="12">
        <v>7100.0</v>
      </c>
      <c r="K416" s="12">
        <v>8550.0</v>
      </c>
      <c r="L416" s="11" t="s">
        <v>1651</v>
      </c>
      <c r="M416" s="11" t="s">
        <v>1652</v>
      </c>
      <c r="N416" s="11" t="s">
        <v>131</v>
      </c>
      <c r="O416" s="11" t="s">
        <v>151</v>
      </c>
      <c r="P416" s="11" t="s">
        <v>48</v>
      </c>
      <c r="Q416" s="13" t="str">
        <f>IFERROR(VLOOKUP(E416,'SF Churn Data'!E:R,14,0),"")</f>
        <v/>
      </c>
    </row>
    <row r="417" hidden="1">
      <c r="A417" s="11" t="s">
        <v>171</v>
      </c>
      <c r="B417" s="11" t="s">
        <v>45</v>
      </c>
      <c r="C417" s="11" t="s">
        <v>45</v>
      </c>
      <c r="D417" s="11" t="s">
        <v>1653</v>
      </c>
      <c r="E417" s="11" t="s">
        <v>1654</v>
      </c>
      <c r="F417" s="11" t="s">
        <v>228</v>
      </c>
      <c r="G417" s="11">
        <v>9.33</v>
      </c>
      <c r="H417" s="11" t="s">
        <v>45</v>
      </c>
      <c r="I417" s="12">
        <v>1990.0</v>
      </c>
      <c r="J417" s="12">
        <v>2300.0</v>
      </c>
      <c r="K417" s="11">
        <v>2400.0</v>
      </c>
      <c r="L417" s="11" t="s">
        <v>1655</v>
      </c>
      <c r="M417" s="11" t="s">
        <v>1656</v>
      </c>
      <c r="N417" s="11" t="s">
        <v>1657</v>
      </c>
      <c r="O417" s="11" t="s">
        <v>117</v>
      </c>
      <c r="P417" s="11"/>
      <c r="Q417" s="13" t="str">
        <f>IFERROR(VLOOKUP(E417,'SF Churn Data'!E:R,14,0),"")</f>
        <v/>
      </c>
    </row>
    <row r="418" hidden="1">
      <c r="A418" s="11" t="s">
        <v>210</v>
      </c>
      <c r="B418" s="11" t="s">
        <v>44</v>
      </c>
      <c r="C418" s="11" t="s">
        <v>53</v>
      </c>
      <c r="D418" s="11" t="s">
        <v>1658</v>
      </c>
      <c r="E418" s="11" t="s">
        <v>1659</v>
      </c>
      <c r="F418" s="11" t="s">
        <v>228</v>
      </c>
      <c r="G418" s="11">
        <v>16.7</v>
      </c>
      <c r="H418" s="11" t="s">
        <v>56</v>
      </c>
      <c r="I418" s="12">
        <v>5900.0</v>
      </c>
      <c r="J418" s="12">
        <v>7700.0</v>
      </c>
      <c r="K418" s="12">
        <v>7100.0</v>
      </c>
      <c r="L418" s="11" t="s">
        <v>1660</v>
      </c>
      <c r="M418" s="11" t="s">
        <v>1661</v>
      </c>
      <c r="N418" s="11" t="s">
        <v>131</v>
      </c>
      <c r="O418" s="11" t="s">
        <v>57</v>
      </c>
      <c r="P418" s="11" t="s">
        <v>63</v>
      </c>
      <c r="Q418" s="13" t="str">
        <f>IFERROR(VLOOKUP(E418,'SF Churn Data'!E:R,14,0),"")</f>
        <v/>
      </c>
    </row>
    <row r="419" hidden="1">
      <c r="A419" s="11" t="s">
        <v>216</v>
      </c>
      <c r="B419" s="11" t="s">
        <v>44</v>
      </c>
      <c r="C419" s="11" t="s">
        <v>76</v>
      </c>
      <c r="D419" s="11" t="s">
        <v>1662</v>
      </c>
      <c r="E419" s="11" t="s">
        <v>1663</v>
      </c>
      <c r="F419" s="11" t="s">
        <v>228</v>
      </c>
      <c r="G419" s="11">
        <v>18.68</v>
      </c>
      <c r="H419" s="11" t="s">
        <v>168</v>
      </c>
      <c r="I419" s="12">
        <v>6601.0</v>
      </c>
      <c r="J419" s="12">
        <v>9250.0</v>
      </c>
      <c r="K419" s="12">
        <v>8000.0</v>
      </c>
      <c r="L419" s="11" t="s">
        <v>1664</v>
      </c>
      <c r="M419" s="11" t="s">
        <v>1665</v>
      </c>
      <c r="N419" s="11" t="s">
        <v>903</v>
      </c>
      <c r="O419" s="11" t="s">
        <v>41</v>
      </c>
      <c r="P419" s="11" t="s">
        <v>42</v>
      </c>
      <c r="Q419" s="13" t="str">
        <f>IFERROR(VLOOKUP(E419,'SF Churn Data'!E:R,14,0),"")</f>
        <v/>
      </c>
    </row>
    <row r="420" hidden="1">
      <c r="A420" s="11" t="s">
        <v>138</v>
      </c>
      <c r="B420" s="11" t="s">
        <v>44</v>
      </c>
      <c r="C420" s="11" t="s">
        <v>53</v>
      </c>
      <c r="D420" s="11" t="s">
        <v>1666</v>
      </c>
      <c r="E420" s="11" t="s">
        <v>1667</v>
      </c>
      <c r="F420" s="11" t="s">
        <v>228</v>
      </c>
      <c r="G420" s="11">
        <v>15.59</v>
      </c>
      <c r="H420" s="11" t="s">
        <v>56</v>
      </c>
      <c r="I420" s="12">
        <v>3529.0</v>
      </c>
      <c r="J420" s="12">
        <v>5150.0</v>
      </c>
      <c r="K420" s="11">
        <v>4300.0</v>
      </c>
      <c r="L420" s="11" t="s">
        <v>1668</v>
      </c>
      <c r="M420" s="11" t="s">
        <v>1669</v>
      </c>
      <c r="N420" s="11" t="s">
        <v>131</v>
      </c>
      <c r="O420" s="11" t="s">
        <v>57</v>
      </c>
      <c r="P420" s="11" t="s">
        <v>144</v>
      </c>
      <c r="Q420" s="13" t="str">
        <f>IFERROR(VLOOKUP(E420,'SF Churn Data'!E:R,14,0),"")</f>
        <v/>
      </c>
    </row>
    <row r="421" hidden="1">
      <c r="A421" s="11" t="s">
        <v>225</v>
      </c>
      <c r="B421" s="11" t="s">
        <v>44</v>
      </c>
      <c r="C421" s="11" t="s">
        <v>53</v>
      </c>
      <c r="D421" s="11" t="s">
        <v>1670</v>
      </c>
      <c r="E421" s="11" t="s">
        <v>1671</v>
      </c>
      <c r="F421" s="11" t="s">
        <v>228</v>
      </c>
      <c r="G421" s="11">
        <v>16.4</v>
      </c>
      <c r="H421" s="11" t="s">
        <v>120</v>
      </c>
      <c r="I421" s="12">
        <v>5700.0</v>
      </c>
      <c r="J421" s="12">
        <v>7450.0</v>
      </c>
      <c r="K421" s="11">
        <v>6600.0</v>
      </c>
      <c r="L421" s="11" t="s">
        <v>1672</v>
      </c>
      <c r="M421" s="11" t="s">
        <v>1673</v>
      </c>
      <c r="N421" s="11" t="s">
        <v>131</v>
      </c>
      <c r="O421" s="11" t="s">
        <v>41</v>
      </c>
      <c r="P421" s="11" t="s">
        <v>162</v>
      </c>
      <c r="Q421" s="13" t="str">
        <f>IFERROR(VLOOKUP(E421,'SF Churn Data'!E:R,14,0),"")</f>
        <v/>
      </c>
    </row>
    <row r="422" hidden="1">
      <c r="A422" s="11" t="s">
        <v>282</v>
      </c>
      <c r="B422" s="11" t="s">
        <v>45</v>
      </c>
      <c r="C422" s="11" t="s">
        <v>45</v>
      </c>
      <c r="D422" s="11" t="s">
        <v>1674</v>
      </c>
      <c r="E422" s="11" t="s">
        <v>1675</v>
      </c>
      <c r="F422" s="11" t="s">
        <v>228</v>
      </c>
      <c r="G422" s="11">
        <v>11.81</v>
      </c>
      <c r="H422" s="11" t="s">
        <v>45</v>
      </c>
      <c r="I422" s="12">
        <v>2838.0</v>
      </c>
      <c r="J422" s="12">
        <v>3450.0</v>
      </c>
      <c r="K422" s="11">
        <v>3450.0</v>
      </c>
      <c r="L422" s="11" t="s">
        <v>1676</v>
      </c>
      <c r="M422" s="11" t="s">
        <v>1677</v>
      </c>
      <c r="N422" s="11" t="s">
        <v>1657</v>
      </c>
      <c r="O422" s="11" t="s">
        <v>57</v>
      </c>
      <c r="P422" s="11" t="s">
        <v>63</v>
      </c>
      <c r="Q422" s="13" t="str">
        <f>IFERROR(VLOOKUP(E422,'SF Churn Data'!E:R,14,0),"")</f>
        <v/>
      </c>
    </row>
    <row r="423" hidden="1">
      <c r="A423" s="11" t="s">
        <v>1238</v>
      </c>
      <c r="B423" s="11" t="s">
        <v>44</v>
      </c>
      <c r="C423" s="11" t="s">
        <v>133</v>
      </c>
      <c r="D423" s="11" t="s">
        <v>1678</v>
      </c>
      <c r="E423" s="11" t="s">
        <v>1679</v>
      </c>
      <c r="F423" s="11" t="s">
        <v>228</v>
      </c>
      <c r="G423" s="11">
        <v>13.72</v>
      </c>
      <c r="H423" s="11" t="s">
        <v>1242</v>
      </c>
      <c r="I423" s="12">
        <v>3199.0</v>
      </c>
      <c r="J423" s="12">
        <v>4200.0</v>
      </c>
      <c r="K423" s="11"/>
      <c r="L423" s="11" t="s">
        <v>1680</v>
      </c>
      <c r="M423" s="11" t="s">
        <v>1681</v>
      </c>
      <c r="N423" s="11" t="s">
        <v>1657</v>
      </c>
      <c r="O423" s="11" t="s">
        <v>41</v>
      </c>
      <c r="P423" s="11" t="s">
        <v>144</v>
      </c>
      <c r="Q423" s="13" t="str">
        <f>IFERROR(VLOOKUP(E423,'SF Churn Data'!E:R,14,0),"")</f>
        <v/>
      </c>
    </row>
    <row r="424" hidden="1">
      <c r="A424" s="11" t="s">
        <v>364</v>
      </c>
      <c r="B424" s="11" t="s">
        <v>44</v>
      </c>
      <c r="C424" s="11" t="s">
        <v>133</v>
      </c>
      <c r="D424" s="11" t="s">
        <v>1682</v>
      </c>
      <c r="E424" s="11" t="s">
        <v>1683</v>
      </c>
      <c r="F424" s="11" t="s">
        <v>228</v>
      </c>
      <c r="G424" s="11">
        <v>14.38</v>
      </c>
      <c r="H424" s="11" t="s">
        <v>56</v>
      </c>
      <c r="I424" s="12">
        <v>3900.0</v>
      </c>
      <c r="J424" s="12">
        <v>3900.0</v>
      </c>
      <c r="K424" s="11">
        <v>4500.0</v>
      </c>
      <c r="L424" s="11" t="s">
        <v>1684</v>
      </c>
      <c r="M424" s="11" t="s">
        <v>1685</v>
      </c>
      <c r="N424" s="11" t="s">
        <v>1657</v>
      </c>
      <c r="O424" s="11" t="s">
        <v>117</v>
      </c>
      <c r="P424" s="11" t="s">
        <v>369</v>
      </c>
      <c r="Q424" s="13" t="str">
        <f>IFERROR(VLOOKUP(E424,'SF Churn Data'!E:R,14,0),"")</f>
        <v/>
      </c>
    </row>
    <row r="425" hidden="1">
      <c r="A425" s="11" t="s">
        <v>43</v>
      </c>
      <c r="B425" s="11" t="s">
        <v>44</v>
      </c>
      <c r="C425" s="11" t="s">
        <v>76</v>
      </c>
      <c r="D425" s="11" t="s">
        <v>1686</v>
      </c>
      <c r="E425" s="11" t="s">
        <v>1687</v>
      </c>
      <c r="F425" s="11" t="s">
        <v>228</v>
      </c>
      <c r="G425" s="11">
        <v>19.92</v>
      </c>
      <c r="H425" s="11" t="s">
        <v>120</v>
      </c>
      <c r="I425" s="12">
        <v>7200.0</v>
      </c>
      <c r="J425" s="12">
        <v>8650.0</v>
      </c>
      <c r="K425" s="12"/>
      <c r="L425" s="11" t="s">
        <v>1688</v>
      </c>
      <c r="M425" s="11" t="s">
        <v>1689</v>
      </c>
      <c r="N425" s="11" t="s">
        <v>903</v>
      </c>
      <c r="O425" s="11" t="s">
        <v>57</v>
      </c>
      <c r="P425" s="11" t="s">
        <v>48</v>
      </c>
      <c r="Q425" s="13" t="str">
        <f>IFERROR(VLOOKUP(E425,'SF Churn Data'!E:R,14,0),"")</f>
        <v/>
      </c>
    </row>
    <row r="426" hidden="1">
      <c r="A426" s="11" t="s">
        <v>171</v>
      </c>
      <c r="B426" s="11" t="s">
        <v>44</v>
      </c>
      <c r="C426" s="11" t="s">
        <v>53</v>
      </c>
      <c r="D426" s="11" t="s">
        <v>1690</v>
      </c>
      <c r="E426" s="11" t="s">
        <v>1691</v>
      </c>
      <c r="F426" s="11" t="s">
        <v>228</v>
      </c>
      <c r="G426" s="11">
        <v>15.62</v>
      </c>
      <c r="H426" s="11" t="s">
        <v>56</v>
      </c>
      <c r="I426" s="12">
        <v>4250.0</v>
      </c>
      <c r="J426" s="12">
        <v>4900.0</v>
      </c>
      <c r="K426" s="11">
        <v>5100.0</v>
      </c>
      <c r="L426" s="11" t="s">
        <v>1692</v>
      </c>
      <c r="M426" s="11" t="s">
        <v>1693</v>
      </c>
      <c r="N426" s="11" t="s">
        <v>903</v>
      </c>
      <c r="O426" s="11" t="s">
        <v>41</v>
      </c>
      <c r="P426" s="11"/>
      <c r="Q426" s="13" t="str">
        <f>IFERROR(VLOOKUP(E426,'SF Churn Data'!E:R,14,0),"")</f>
        <v/>
      </c>
    </row>
    <row r="427" hidden="1">
      <c r="A427" s="11" t="s">
        <v>138</v>
      </c>
      <c r="B427" s="11" t="s">
        <v>44</v>
      </c>
      <c r="C427" s="11" t="s">
        <v>151</v>
      </c>
      <c r="D427" s="11" t="s">
        <v>1694</v>
      </c>
      <c r="E427" s="11" t="s">
        <v>1695</v>
      </c>
      <c r="F427" s="11" t="s">
        <v>228</v>
      </c>
      <c r="G427" s="11">
        <v>25.87</v>
      </c>
      <c r="H427" s="11" t="s">
        <v>168</v>
      </c>
      <c r="I427" s="12">
        <v>4973.0</v>
      </c>
      <c r="J427" s="12">
        <v>7250.0</v>
      </c>
      <c r="K427" s="12">
        <v>6000.0</v>
      </c>
      <c r="L427" s="11" t="s">
        <v>1696</v>
      </c>
      <c r="M427" s="11" t="s">
        <v>1697</v>
      </c>
      <c r="N427" s="11" t="s">
        <v>1146</v>
      </c>
      <c r="O427" s="11" t="s">
        <v>57</v>
      </c>
      <c r="P427" s="11" t="s">
        <v>144</v>
      </c>
      <c r="Q427" s="13" t="str">
        <f>IFERROR(VLOOKUP(E427,'SF Churn Data'!E:R,14,0),"")</f>
        <v/>
      </c>
    </row>
    <row r="428" hidden="1">
      <c r="A428" s="11" t="s">
        <v>154</v>
      </c>
      <c r="B428" s="11" t="s">
        <v>44</v>
      </c>
      <c r="C428" s="11" t="s">
        <v>76</v>
      </c>
      <c r="D428" s="11" t="s">
        <v>1698</v>
      </c>
      <c r="E428" s="11" t="s">
        <v>1699</v>
      </c>
      <c r="F428" s="11" t="s">
        <v>228</v>
      </c>
      <c r="G428" s="11">
        <v>21.0</v>
      </c>
      <c r="H428" s="11" t="s">
        <v>56</v>
      </c>
      <c r="I428" s="12">
        <v>6090.0</v>
      </c>
      <c r="J428" s="12">
        <v>8550.0</v>
      </c>
      <c r="K428" s="12">
        <v>7350.0</v>
      </c>
      <c r="L428" s="11" t="s">
        <v>1700</v>
      </c>
      <c r="M428" s="11" t="s">
        <v>1701</v>
      </c>
      <c r="N428" s="11" t="s">
        <v>240</v>
      </c>
      <c r="O428" s="11" t="s">
        <v>151</v>
      </c>
      <c r="P428" s="11" t="s">
        <v>157</v>
      </c>
      <c r="Q428" s="13" t="str">
        <f>IFERROR(VLOOKUP(E428,'SF Churn Data'!E:R,14,0),"")</f>
        <v/>
      </c>
    </row>
    <row r="429" hidden="1">
      <c r="A429" s="11" t="s">
        <v>225</v>
      </c>
      <c r="B429" s="11" t="s">
        <v>45</v>
      </c>
      <c r="C429" s="11" t="s">
        <v>45</v>
      </c>
      <c r="D429" s="11" t="s">
        <v>1702</v>
      </c>
      <c r="E429" s="11" t="s">
        <v>1703</v>
      </c>
      <c r="F429" s="11" t="s">
        <v>228</v>
      </c>
      <c r="G429" s="11">
        <v>9.0</v>
      </c>
      <c r="H429" s="11" t="s">
        <v>45</v>
      </c>
      <c r="I429" s="12">
        <v>3100.0</v>
      </c>
      <c r="J429" s="12">
        <v>4050.0</v>
      </c>
      <c r="K429" s="12">
        <v>3600.0</v>
      </c>
      <c r="L429" s="11" t="s">
        <v>1704</v>
      </c>
      <c r="M429" s="11" t="s">
        <v>1705</v>
      </c>
      <c r="N429" s="11" t="s">
        <v>143</v>
      </c>
      <c r="O429" s="11" t="s">
        <v>161</v>
      </c>
      <c r="P429" s="11" t="s">
        <v>162</v>
      </c>
      <c r="Q429" s="13" t="str">
        <f>IFERROR(VLOOKUP(E429,'SF Churn Data'!E:R,14,0),"")</f>
        <v/>
      </c>
    </row>
    <row r="430" hidden="1">
      <c r="A430" s="11" t="s">
        <v>210</v>
      </c>
      <c r="B430" s="11" t="s">
        <v>44</v>
      </c>
      <c r="C430" s="11" t="s">
        <v>180</v>
      </c>
      <c r="D430" s="11" t="s">
        <v>1706</v>
      </c>
      <c r="E430" s="11" t="s">
        <v>1707</v>
      </c>
      <c r="F430" s="11" t="s">
        <v>228</v>
      </c>
      <c r="G430" s="11">
        <v>23.22</v>
      </c>
      <c r="H430" s="11" t="s">
        <v>168</v>
      </c>
      <c r="I430" s="12">
        <v>6700.0</v>
      </c>
      <c r="J430" s="12">
        <v>8750.0</v>
      </c>
      <c r="K430" s="12">
        <v>8050.0</v>
      </c>
      <c r="L430" s="11" t="s">
        <v>1708</v>
      </c>
      <c r="M430" s="11" t="s">
        <v>1709</v>
      </c>
      <c r="N430" s="11" t="s">
        <v>903</v>
      </c>
      <c r="O430" s="11" t="s">
        <v>57</v>
      </c>
      <c r="P430" s="11" t="s">
        <v>63</v>
      </c>
      <c r="Q430" s="13" t="str">
        <f>IFERROR(VLOOKUP(E430,'SF Churn Data'!E:R,14,0),"")</f>
        <v/>
      </c>
    </row>
    <row r="431" hidden="1">
      <c r="A431" s="11" t="s">
        <v>191</v>
      </c>
      <c r="B431" s="11" t="s">
        <v>44</v>
      </c>
      <c r="C431" s="11" t="s">
        <v>180</v>
      </c>
      <c r="D431" s="11" t="s">
        <v>1710</v>
      </c>
      <c r="E431" s="11" t="s">
        <v>1711</v>
      </c>
      <c r="F431" s="11" t="s">
        <v>228</v>
      </c>
      <c r="G431" s="11">
        <v>23.01</v>
      </c>
      <c r="H431" s="11" t="s">
        <v>168</v>
      </c>
      <c r="I431" s="12">
        <v>6900.0</v>
      </c>
      <c r="J431" s="12">
        <v>9000.0</v>
      </c>
      <c r="K431" s="11"/>
      <c r="L431" s="11" t="s">
        <v>1712</v>
      </c>
      <c r="M431" s="11" t="s">
        <v>1713</v>
      </c>
      <c r="N431" s="11" t="s">
        <v>240</v>
      </c>
      <c r="O431" s="11" t="s">
        <v>57</v>
      </c>
      <c r="P431" s="11" t="s">
        <v>48</v>
      </c>
      <c r="Q431" s="13" t="str">
        <f>IFERROR(VLOOKUP(E431,'SF Churn Data'!E:R,14,0),"")</f>
        <v/>
      </c>
    </row>
    <row r="432" hidden="1">
      <c r="A432" s="11" t="s">
        <v>145</v>
      </c>
      <c r="B432" s="11" t="s">
        <v>44</v>
      </c>
      <c r="C432" s="11" t="s">
        <v>64</v>
      </c>
      <c r="D432" s="11" t="s">
        <v>1714</v>
      </c>
      <c r="E432" s="11" t="s">
        <v>1715</v>
      </c>
      <c r="F432" s="11" t="s">
        <v>228</v>
      </c>
      <c r="G432" s="11">
        <v>17.0</v>
      </c>
      <c r="H432" s="11" t="s">
        <v>56</v>
      </c>
      <c r="I432" s="12">
        <v>9022.0</v>
      </c>
      <c r="J432" s="12">
        <v>9950.0</v>
      </c>
      <c r="K432" s="11">
        <v>10900.0</v>
      </c>
      <c r="L432" s="11" t="s">
        <v>1716</v>
      </c>
      <c r="M432" s="11" t="s">
        <v>1701</v>
      </c>
      <c r="N432" s="11" t="s">
        <v>240</v>
      </c>
      <c r="O432" s="11" t="s">
        <v>151</v>
      </c>
      <c r="P432" s="11" t="s">
        <v>63</v>
      </c>
      <c r="Q432" s="13" t="str">
        <f>IFERROR(VLOOKUP(E432,'SF Churn Data'!E:R,14,0),"")</f>
        <v/>
      </c>
    </row>
    <row r="433" hidden="1">
      <c r="A433" s="11" t="s">
        <v>158</v>
      </c>
      <c r="B433" s="11" t="s">
        <v>44</v>
      </c>
      <c r="C433" s="11" t="s">
        <v>133</v>
      </c>
      <c r="D433" s="11" t="s">
        <v>1717</v>
      </c>
      <c r="E433" s="11" t="s">
        <v>1718</v>
      </c>
      <c r="F433" s="11" t="s">
        <v>228</v>
      </c>
      <c r="G433" s="11">
        <v>14.49</v>
      </c>
      <c r="H433" s="11" t="s">
        <v>56</v>
      </c>
      <c r="I433" s="12">
        <v>4667.0</v>
      </c>
      <c r="J433" s="12">
        <v>4700.0</v>
      </c>
      <c r="K433" s="12">
        <v>5650.0</v>
      </c>
      <c r="L433" s="11" t="s">
        <v>1719</v>
      </c>
      <c r="M433" s="11" t="s">
        <v>1720</v>
      </c>
      <c r="N433" s="11" t="s">
        <v>131</v>
      </c>
      <c r="O433" s="11" t="s">
        <v>41</v>
      </c>
      <c r="P433" s="11" t="s">
        <v>162</v>
      </c>
      <c r="Q433" s="13" t="str">
        <f>IFERROR(VLOOKUP(E433,'SF Churn Data'!E:R,14,0),"")</f>
        <v/>
      </c>
    </row>
    <row r="434" hidden="1">
      <c r="A434" s="11" t="s">
        <v>1238</v>
      </c>
      <c r="B434" s="11" t="s">
        <v>44</v>
      </c>
      <c r="C434" s="11" t="s">
        <v>1239</v>
      </c>
      <c r="D434" s="11" t="s">
        <v>1721</v>
      </c>
      <c r="E434" s="11" t="s">
        <v>1722</v>
      </c>
      <c r="F434" s="11" t="s">
        <v>228</v>
      </c>
      <c r="G434" s="11">
        <v>52.23</v>
      </c>
      <c r="H434" s="11" t="s">
        <v>471</v>
      </c>
      <c r="I434" s="12">
        <v>6949.0</v>
      </c>
      <c r="J434" s="12">
        <v>9050.0</v>
      </c>
      <c r="K434" s="12"/>
      <c r="L434" s="11" t="s">
        <v>1723</v>
      </c>
      <c r="M434" s="11" t="s">
        <v>1724</v>
      </c>
      <c r="N434" s="11" t="s">
        <v>1146</v>
      </c>
      <c r="O434" s="11" t="s">
        <v>57</v>
      </c>
      <c r="P434" s="11" t="s">
        <v>144</v>
      </c>
      <c r="Q434" s="13" t="str">
        <f>IFERROR(VLOOKUP(E434,'SF Churn Data'!E:R,14,0),"")</f>
        <v/>
      </c>
    </row>
    <row r="435" hidden="1">
      <c r="A435" s="11" t="s">
        <v>154</v>
      </c>
      <c r="B435" s="11" t="s">
        <v>44</v>
      </c>
      <c r="C435" s="11" t="s">
        <v>53</v>
      </c>
      <c r="D435" s="11" t="s">
        <v>1725</v>
      </c>
      <c r="E435" s="11" t="s">
        <v>1726</v>
      </c>
      <c r="F435" s="11" t="s">
        <v>228</v>
      </c>
      <c r="G435" s="11">
        <v>16.0</v>
      </c>
      <c r="H435" s="11" t="s">
        <v>56</v>
      </c>
      <c r="I435" s="12">
        <v>4799.0</v>
      </c>
      <c r="J435" s="12">
        <v>6750.0</v>
      </c>
      <c r="K435" s="12">
        <v>5800.0</v>
      </c>
      <c r="L435" s="11" t="s">
        <v>1727</v>
      </c>
      <c r="M435" s="11" t="s">
        <v>265</v>
      </c>
      <c r="N435" s="11" t="s">
        <v>240</v>
      </c>
      <c r="O435" s="11" t="s">
        <v>151</v>
      </c>
      <c r="P435" s="11" t="s">
        <v>157</v>
      </c>
      <c r="Q435" s="13" t="str">
        <f>IFERROR(VLOOKUP(E435,'SF Churn Data'!E:R,14,0),"")</f>
        <v/>
      </c>
    </row>
    <row r="436" hidden="1">
      <c r="A436" s="11" t="s">
        <v>912</v>
      </c>
      <c r="B436" s="11" t="s">
        <v>44</v>
      </c>
      <c r="C436" s="11" t="s">
        <v>53</v>
      </c>
      <c r="D436" s="11" t="s">
        <v>1728</v>
      </c>
      <c r="E436" s="11" t="s">
        <v>1729</v>
      </c>
      <c r="F436" s="11" t="s">
        <v>228</v>
      </c>
      <c r="G436" s="11">
        <v>16.05</v>
      </c>
      <c r="H436" s="11" t="s">
        <v>120</v>
      </c>
      <c r="I436" s="12">
        <v>4900.0</v>
      </c>
      <c r="J436" s="12">
        <v>6150.0</v>
      </c>
      <c r="K436" s="11">
        <v>5700.0</v>
      </c>
      <c r="L436" s="11" t="s">
        <v>1730</v>
      </c>
      <c r="M436" s="11" t="s">
        <v>265</v>
      </c>
      <c r="N436" s="11" t="s">
        <v>240</v>
      </c>
      <c r="O436" s="11" t="s">
        <v>41</v>
      </c>
      <c r="P436" s="11" t="s">
        <v>917</v>
      </c>
      <c r="Q436" s="13" t="str">
        <f>IFERROR(VLOOKUP(E436,'SF Churn Data'!E:R,14,0),"")</f>
        <v/>
      </c>
    </row>
    <row r="437" hidden="1">
      <c r="A437" s="11" t="s">
        <v>1238</v>
      </c>
      <c r="B437" s="11" t="s">
        <v>44</v>
      </c>
      <c r="C437" s="11" t="s">
        <v>37</v>
      </c>
      <c r="D437" s="11" t="s">
        <v>1731</v>
      </c>
      <c r="E437" s="11" t="s">
        <v>1732</v>
      </c>
      <c r="F437" s="11" t="s">
        <v>228</v>
      </c>
      <c r="G437" s="11">
        <v>41.59</v>
      </c>
      <c r="H437" s="11" t="s">
        <v>471</v>
      </c>
      <c r="I437" s="12">
        <v>6563.0</v>
      </c>
      <c r="J437" s="12">
        <v>8550.0</v>
      </c>
      <c r="K437" s="11"/>
      <c r="L437" s="11" t="s">
        <v>1733</v>
      </c>
      <c r="M437" s="11" t="s">
        <v>1384</v>
      </c>
      <c r="N437" s="11" t="s">
        <v>240</v>
      </c>
      <c r="O437" s="11" t="s">
        <v>57</v>
      </c>
      <c r="P437" s="11" t="s">
        <v>144</v>
      </c>
      <c r="Q437" s="13" t="str">
        <f>IFERROR(VLOOKUP(E437,'SF Churn Data'!E:R,14,0),"")</f>
        <v/>
      </c>
    </row>
    <row r="438" hidden="1">
      <c r="A438" s="11" t="s">
        <v>165</v>
      </c>
      <c r="B438" s="11" t="s">
        <v>45</v>
      </c>
      <c r="C438" s="11" t="s">
        <v>45</v>
      </c>
      <c r="D438" s="11" t="s">
        <v>1734</v>
      </c>
      <c r="E438" s="11" t="s">
        <v>1735</v>
      </c>
      <c r="F438" s="11" t="s">
        <v>228</v>
      </c>
      <c r="G438" s="11">
        <v>13.53</v>
      </c>
      <c r="H438" s="11" t="s">
        <v>45</v>
      </c>
      <c r="I438" s="12">
        <v>1892.0</v>
      </c>
      <c r="J438" s="12">
        <v>2300.0</v>
      </c>
      <c r="K438" s="11">
        <v>2300.0</v>
      </c>
      <c r="L438" s="11" t="s">
        <v>1736</v>
      </c>
      <c r="M438" s="11" t="s">
        <v>1737</v>
      </c>
      <c r="N438" s="11" t="s">
        <v>240</v>
      </c>
      <c r="O438" s="11" t="s">
        <v>41</v>
      </c>
      <c r="P438" s="11"/>
      <c r="Q438" s="13" t="str">
        <f>IFERROR(VLOOKUP(E438,'SF Churn Data'!E:R,14,0),"")</f>
        <v/>
      </c>
    </row>
    <row r="439" hidden="1">
      <c r="A439" s="11" t="s">
        <v>158</v>
      </c>
      <c r="B439" s="11" t="s">
        <v>44</v>
      </c>
      <c r="C439" s="11" t="s">
        <v>64</v>
      </c>
      <c r="D439" s="11" t="s">
        <v>1738</v>
      </c>
      <c r="E439" s="11" t="s">
        <v>1739</v>
      </c>
      <c r="F439" s="11" t="s">
        <v>228</v>
      </c>
      <c r="G439" s="11">
        <v>17.93</v>
      </c>
      <c r="H439" s="11" t="s">
        <v>120</v>
      </c>
      <c r="I439" s="12">
        <v>5516.0</v>
      </c>
      <c r="J439" s="12">
        <v>5550.0</v>
      </c>
      <c r="K439" s="12">
        <v>6700.0</v>
      </c>
      <c r="L439" s="11" t="s">
        <v>1740</v>
      </c>
      <c r="M439" s="11" t="s">
        <v>1017</v>
      </c>
      <c r="N439" s="11" t="s">
        <v>403</v>
      </c>
      <c r="O439" s="11" t="s">
        <v>41</v>
      </c>
      <c r="P439" s="11" t="s">
        <v>162</v>
      </c>
      <c r="Q439" s="13" t="str">
        <f>IFERROR(VLOOKUP(E439,'SF Churn Data'!E:R,14,0),"")</f>
        <v/>
      </c>
    </row>
    <row r="440" hidden="1">
      <c r="A440" s="11" t="s">
        <v>201</v>
      </c>
      <c r="B440" s="11" t="s">
        <v>44</v>
      </c>
      <c r="C440" s="11" t="s">
        <v>113</v>
      </c>
      <c r="D440" s="11" t="s">
        <v>1741</v>
      </c>
      <c r="E440" s="11" t="s">
        <v>1742</v>
      </c>
      <c r="F440" s="11" t="s">
        <v>228</v>
      </c>
      <c r="G440" s="11">
        <v>10.23</v>
      </c>
      <c r="H440" s="11" t="s">
        <v>116</v>
      </c>
      <c r="I440" s="12">
        <v>2600.0</v>
      </c>
      <c r="J440" s="12">
        <v>3150.0</v>
      </c>
      <c r="K440" s="11">
        <v>3000.0</v>
      </c>
      <c r="L440" s="11" t="s">
        <v>1743</v>
      </c>
      <c r="M440" s="11" t="s">
        <v>1744</v>
      </c>
      <c r="N440" s="11" t="s">
        <v>363</v>
      </c>
      <c r="O440" s="11" t="s">
        <v>57</v>
      </c>
      <c r="P440" s="11"/>
      <c r="Q440" s="13" t="str">
        <f>IFERROR(VLOOKUP(E440,'SF Churn Data'!E:R,14,0),"")</f>
        <v/>
      </c>
    </row>
    <row r="441" hidden="1">
      <c r="A441" s="11" t="s">
        <v>191</v>
      </c>
      <c r="B441" s="11" t="s">
        <v>44</v>
      </c>
      <c r="C441" s="11" t="s">
        <v>64</v>
      </c>
      <c r="D441" s="11" t="s">
        <v>1745</v>
      </c>
      <c r="E441" s="11" t="s">
        <v>1746</v>
      </c>
      <c r="F441" s="11" t="s">
        <v>228</v>
      </c>
      <c r="G441" s="11">
        <v>18.79</v>
      </c>
      <c r="H441" s="11" t="s">
        <v>120</v>
      </c>
      <c r="I441" s="12">
        <v>6200.0</v>
      </c>
      <c r="J441" s="12">
        <v>8100.0</v>
      </c>
      <c r="K441" s="11"/>
      <c r="L441" s="11" t="s">
        <v>1747</v>
      </c>
      <c r="M441" s="11" t="s">
        <v>1748</v>
      </c>
      <c r="N441" s="11" t="s">
        <v>143</v>
      </c>
      <c r="O441" s="11" t="s">
        <v>57</v>
      </c>
      <c r="P441" s="11" t="s">
        <v>48</v>
      </c>
      <c r="Q441" s="13" t="str">
        <f>IFERROR(VLOOKUP(E441,'SF Churn Data'!E:R,14,0),"")</f>
        <v/>
      </c>
    </row>
    <row r="442" hidden="1">
      <c r="A442" s="11" t="s">
        <v>138</v>
      </c>
      <c r="B442" s="11" t="s">
        <v>45</v>
      </c>
      <c r="C442" s="11" t="s">
        <v>45</v>
      </c>
      <c r="D442" s="11" t="s">
        <v>1749</v>
      </c>
      <c r="E442" s="11" t="s">
        <v>1750</v>
      </c>
      <c r="F442" s="11" t="s">
        <v>228</v>
      </c>
      <c r="G442" s="11">
        <v>9.23</v>
      </c>
      <c r="H442" s="11" t="s">
        <v>45</v>
      </c>
      <c r="I442" s="12">
        <v>1652.0</v>
      </c>
      <c r="J442" s="12">
        <v>2400.0</v>
      </c>
      <c r="K442" s="12">
        <v>2050.0</v>
      </c>
      <c r="L442" s="11" t="s">
        <v>1751</v>
      </c>
      <c r="M442" s="11" t="s">
        <v>1752</v>
      </c>
      <c r="N442" s="11" t="s">
        <v>143</v>
      </c>
      <c r="O442" s="11" t="s">
        <v>41</v>
      </c>
      <c r="P442" s="11" t="s">
        <v>144</v>
      </c>
      <c r="Q442" s="13" t="str">
        <f>IFERROR(VLOOKUP(E442,'SF Churn Data'!E:R,14,0),"")</f>
        <v/>
      </c>
    </row>
    <row r="443" hidden="1">
      <c r="A443" s="11" t="s">
        <v>201</v>
      </c>
      <c r="B443" s="11" t="s">
        <v>45</v>
      </c>
      <c r="C443" s="11" t="s">
        <v>45</v>
      </c>
      <c r="D443" s="11" t="s">
        <v>1753</v>
      </c>
      <c r="E443" s="11" t="s">
        <v>1754</v>
      </c>
      <c r="F443" s="11" t="s">
        <v>228</v>
      </c>
      <c r="G443" s="11">
        <v>10.96</v>
      </c>
      <c r="H443" s="11" t="s">
        <v>45</v>
      </c>
      <c r="I443" s="12">
        <v>1900.0</v>
      </c>
      <c r="J443" s="12">
        <v>2300.0</v>
      </c>
      <c r="K443" s="12">
        <v>2300.0</v>
      </c>
      <c r="L443" s="11" t="s">
        <v>1755</v>
      </c>
      <c r="M443" s="11" t="s">
        <v>1756</v>
      </c>
      <c r="N443" s="11" t="s">
        <v>143</v>
      </c>
      <c r="O443" s="11" t="s">
        <v>41</v>
      </c>
      <c r="P443" s="11"/>
      <c r="Q443" s="13" t="str">
        <f>IFERROR(VLOOKUP(E443,'SF Churn Data'!E:R,14,0),"")</f>
        <v/>
      </c>
    </row>
    <row r="444" hidden="1">
      <c r="A444" s="11" t="s">
        <v>201</v>
      </c>
      <c r="B444" s="11" t="s">
        <v>44</v>
      </c>
      <c r="C444" s="11" t="s">
        <v>133</v>
      </c>
      <c r="D444" s="11" t="s">
        <v>1757</v>
      </c>
      <c r="E444" s="11" t="s">
        <v>1758</v>
      </c>
      <c r="F444" s="11" t="s">
        <v>228</v>
      </c>
      <c r="G444" s="11">
        <v>13.42</v>
      </c>
      <c r="H444" s="11" t="s">
        <v>56</v>
      </c>
      <c r="I444" s="12">
        <v>2800.0</v>
      </c>
      <c r="J444" s="12">
        <v>3400.0</v>
      </c>
      <c r="K444" s="12">
        <v>3250.0</v>
      </c>
      <c r="L444" s="11" t="s">
        <v>1759</v>
      </c>
      <c r="M444" s="11" t="s">
        <v>1760</v>
      </c>
      <c r="N444" s="11" t="s">
        <v>131</v>
      </c>
      <c r="O444" s="11" t="s">
        <v>57</v>
      </c>
      <c r="P444" s="11"/>
      <c r="Q444" s="13" t="str">
        <f>IFERROR(VLOOKUP(E444,'SF Churn Data'!E:R,14,0),"")</f>
        <v/>
      </c>
    </row>
    <row r="445" hidden="1">
      <c r="A445" s="11" t="s">
        <v>158</v>
      </c>
      <c r="B445" s="11" t="s">
        <v>45</v>
      </c>
      <c r="C445" s="11" t="s">
        <v>45</v>
      </c>
      <c r="D445" s="11" t="s">
        <v>1761</v>
      </c>
      <c r="E445" s="11" t="s">
        <v>1762</v>
      </c>
      <c r="F445" s="11" t="s">
        <v>228</v>
      </c>
      <c r="G445" s="11">
        <v>8.0</v>
      </c>
      <c r="H445" s="11" t="s">
        <v>45</v>
      </c>
      <c r="I445" s="12">
        <v>2542.0</v>
      </c>
      <c r="J445" s="12">
        <v>2550.0</v>
      </c>
      <c r="K445" s="12">
        <v>3100.0</v>
      </c>
      <c r="L445" s="11" t="s">
        <v>1763</v>
      </c>
      <c r="M445" s="11" t="s">
        <v>1764</v>
      </c>
      <c r="N445" s="11" t="s">
        <v>903</v>
      </c>
      <c r="O445" s="11" t="s">
        <v>41</v>
      </c>
      <c r="P445" s="11" t="s">
        <v>162</v>
      </c>
      <c r="Q445" s="13" t="str">
        <f>IFERROR(VLOOKUP(E445,'SF Churn Data'!E:R,14,0),"")</f>
        <v/>
      </c>
    </row>
    <row r="446" hidden="1">
      <c r="A446" s="11" t="s">
        <v>1238</v>
      </c>
      <c r="B446" s="11" t="s">
        <v>44</v>
      </c>
      <c r="C446" s="11" t="s">
        <v>76</v>
      </c>
      <c r="D446" s="11" t="s">
        <v>1765</v>
      </c>
      <c r="E446" s="11" t="s">
        <v>1766</v>
      </c>
      <c r="F446" s="11" t="s">
        <v>228</v>
      </c>
      <c r="G446" s="11">
        <v>19.77</v>
      </c>
      <c r="H446" s="11" t="s">
        <v>1495</v>
      </c>
      <c r="I446" s="12">
        <v>4489.0</v>
      </c>
      <c r="J446" s="12">
        <v>5850.0</v>
      </c>
      <c r="K446" s="12"/>
      <c r="L446" s="11" t="s">
        <v>1767</v>
      </c>
      <c r="M446" s="11" t="s">
        <v>1768</v>
      </c>
      <c r="N446" s="11" t="s">
        <v>131</v>
      </c>
      <c r="O446" s="11" t="s">
        <v>41</v>
      </c>
      <c r="P446" s="11" t="s">
        <v>144</v>
      </c>
      <c r="Q446" s="13" t="str">
        <f>IFERROR(VLOOKUP(E446,'SF Churn Data'!E:R,14,0),"")</f>
        <v/>
      </c>
    </row>
    <row r="447" hidden="1">
      <c r="A447" s="11" t="s">
        <v>138</v>
      </c>
      <c r="B447" s="11" t="s">
        <v>45</v>
      </c>
      <c r="C447" s="11" t="s">
        <v>45</v>
      </c>
      <c r="D447" s="11" t="s">
        <v>1769</v>
      </c>
      <c r="E447" s="11" t="s">
        <v>1770</v>
      </c>
      <c r="F447" s="11" t="s">
        <v>228</v>
      </c>
      <c r="G447" s="11">
        <v>8.65</v>
      </c>
      <c r="H447" s="11" t="s">
        <v>45</v>
      </c>
      <c r="I447" s="12">
        <v>1652.0</v>
      </c>
      <c r="J447" s="12">
        <v>2400.0</v>
      </c>
      <c r="K447" s="12">
        <v>2050.0</v>
      </c>
      <c r="L447" s="11" t="s">
        <v>1771</v>
      </c>
      <c r="M447" s="11" t="s">
        <v>1772</v>
      </c>
      <c r="N447" s="11" t="s">
        <v>363</v>
      </c>
      <c r="O447" s="11" t="s">
        <v>83</v>
      </c>
      <c r="P447" s="11" t="s">
        <v>144</v>
      </c>
      <c r="Q447" s="13" t="str">
        <f>IFERROR(VLOOKUP(E447,'SF Churn Data'!E:R,14,0),"")</f>
        <v/>
      </c>
    </row>
    <row r="448" hidden="1">
      <c r="A448" s="11" t="s">
        <v>225</v>
      </c>
      <c r="B448" s="11" t="s">
        <v>45</v>
      </c>
      <c r="C448" s="11" t="s">
        <v>45</v>
      </c>
      <c r="D448" s="11" t="s">
        <v>1773</v>
      </c>
      <c r="E448" s="11" t="s">
        <v>1774</v>
      </c>
      <c r="F448" s="11" t="s">
        <v>228</v>
      </c>
      <c r="G448" s="11">
        <v>9.0</v>
      </c>
      <c r="H448" s="11" t="s">
        <v>45</v>
      </c>
      <c r="I448" s="12">
        <v>3100.0</v>
      </c>
      <c r="J448" s="12">
        <v>4050.0</v>
      </c>
      <c r="K448" s="11">
        <v>3600.0</v>
      </c>
      <c r="L448" s="11" t="s">
        <v>1775</v>
      </c>
      <c r="M448" s="11" t="s">
        <v>1776</v>
      </c>
      <c r="N448" s="11" t="s">
        <v>363</v>
      </c>
      <c r="O448" s="11" t="s">
        <v>161</v>
      </c>
      <c r="P448" s="11" t="s">
        <v>162</v>
      </c>
      <c r="Q448" s="13" t="str">
        <f>IFERROR(VLOOKUP(E448,'SF Churn Data'!E:R,14,0),"")</f>
        <v/>
      </c>
    </row>
    <row r="449" hidden="1">
      <c r="A449" s="11" t="s">
        <v>112</v>
      </c>
      <c r="B449" s="11" t="s">
        <v>44</v>
      </c>
      <c r="C449" s="11" t="s">
        <v>133</v>
      </c>
      <c r="D449" s="11" t="s">
        <v>1777</v>
      </c>
      <c r="E449" s="11" t="s">
        <v>1778</v>
      </c>
      <c r="F449" s="11" t="s">
        <v>228</v>
      </c>
      <c r="G449" s="11">
        <v>14.5</v>
      </c>
      <c r="H449" s="11" t="s">
        <v>56</v>
      </c>
      <c r="I449" s="12">
        <v>5578.0</v>
      </c>
      <c r="J449" s="12">
        <v>7850.0</v>
      </c>
      <c r="K449" s="12">
        <v>6750.0</v>
      </c>
      <c r="L449" s="11" t="s">
        <v>1779</v>
      </c>
      <c r="M449" s="11" t="s">
        <v>1780</v>
      </c>
      <c r="N449" s="11" t="s">
        <v>363</v>
      </c>
      <c r="O449" s="11" t="s">
        <v>117</v>
      </c>
      <c r="P449" s="11" t="s">
        <v>42</v>
      </c>
      <c r="Q449" s="13" t="str">
        <f>IFERROR(VLOOKUP(E449,'SF Churn Data'!E:R,14,0),"")</f>
        <v/>
      </c>
    </row>
    <row r="450" hidden="1">
      <c r="A450" s="11" t="s">
        <v>1596</v>
      </c>
      <c r="B450" s="11" t="s">
        <v>44</v>
      </c>
      <c r="C450" s="11" t="s">
        <v>1781</v>
      </c>
      <c r="D450" s="11" t="s">
        <v>1782</v>
      </c>
      <c r="E450" s="11" t="s">
        <v>1783</v>
      </c>
      <c r="F450" s="11" t="s">
        <v>228</v>
      </c>
      <c r="G450" s="11">
        <v>34.12</v>
      </c>
      <c r="H450" s="11" t="s">
        <v>168</v>
      </c>
      <c r="I450" s="12">
        <v>6200.0</v>
      </c>
      <c r="J450" s="12">
        <v>6550.0</v>
      </c>
      <c r="K450" s="11"/>
      <c r="L450" s="11" t="s">
        <v>1784</v>
      </c>
      <c r="M450" s="11" t="s">
        <v>1785</v>
      </c>
      <c r="N450" s="11" t="s">
        <v>131</v>
      </c>
      <c r="O450" s="11" t="s">
        <v>57</v>
      </c>
      <c r="P450" s="11" t="s">
        <v>162</v>
      </c>
      <c r="Q450" s="13" t="str">
        <f>IFERROR(VLOOKUP(E450,'SF Churn Data'!E:R,14,0),"")</f>
        <v/>
      </c>
    </row>
    <row r="451" hidden="1">
      <c r="A451" s="11" t="s">
        <v>1596</v>
      </c>
      <c r="B451" s="11" t="s">
        <v>44</v>
      </c>
      <c r="C451" s="11" t="s">
        <v>151</v>
      </c>
      <c r="D451" s="11" t="s">
        <v>1786</v>
      </c>
      <c r="E451" s="11" t="s">
        <v>1787</v>
      </c>
      <c r="F451" s="11" t="s">
        <v>228</v>
      </c>
      <c r="G451" s="11">
        <v>25.48</v>
      </c>
      <c r="H451" s="11" t="s">
        <v>168</v>
      </c>
      <c r="I451" s="12">
        <v>5096.0</v>
      </c>
      <c r="J451" s="12">
        <v>5400.0</v>
      </c>
      <c r="K451" s="11"/>
      <c r="L451" s="11" t="s">
        <v>1788</v>
      </c>
      <c r="M451" s="11" t="s">
        <v>1789</v>
      </c>
      <c r="N451" s="11" t="s">
        <v>131</v>
      </c>
      <c r="O451" s="11" t="s">
        <v>41</v>
      </c>
      <c r="P451" s="11" t="s">
        <v>162</v>
      </c>
      <c r="Q451" s="13" t="str">
        <f>IFERROR(VLOOKUP(E451,'SF Churn Data'!E:R,14,0),"")</f>
        <v/>
      </c>
    </row>
    <row r="452" hidden="1">
      <c r="A452" s="11" t="s">
        <v>1596</v>
      </c>
      <c r="B452" s="11" t="s">
        <v>44</v>
      </c>
      <c r="C452" s="11" t="s">
        <v>1239</v>
      </c>
      <c r="D452" s="11" t="s">
        <v>1790</v>
      </c>
      <c r="E452" s="11" t="s">
        <v>1791</v>
      </c>
      <c r="F452" s="11" t="s">
        <v>228</v>
      </c>
      <c r="G452" s="11">
        <v>40.31</v>
      </c>
      <c r="H452" s="11" t="s">
        <v>168</v>
      </c>
      <c r="I452" s="12">
        <v>6938.0</v>
      </c>
      <c r="J452" s="12">
        <v>7300.0</v>
      </c>
      <c r="K452" s="11"/>
      <c r="L452" s="11" t="s">
        <v>1792</v>
      </c>
      <c r="M452" s="11" t="s">
        <v>1793</v>
      </c>
      <c r="N452" s="11" t="s">
        <v>131</v>
      </c>
      <c r="O452" s="11" t="s">
        <v>41</v>
      </c>
      <c r="P452" s="11" t="s">
        <v>162</v>
      </c>
      <c r="Q452" s="13" t="str">
        <f>IFERROR(VLOOKUP(E452,'SF Churn Data'!E:R,14,0),"")</f>
        <v/>
      </c>
    </row>
    <row r="453" hidden="1">
      <c r="A453" s="11" t="s">
        <v>1596</v>
      </c>
      <c r="B453" s="11" t="s">
        <v>44</v>
      </c>
      <c r="C453" s="11" t="s">
        <v>1239</v>
      </c>
      <c r="D453" s="11" t="s">
        <v>1794</v>
      </c>
      <c r="E453" s="11" t="s">
        <v>1795</v>
      </c>
      <c r="F453" s="11" t="s">
        <v>228</v>
      </c>
      <c r="G453" s="11">
        <v>40.65</v>
      </c>
      <c r="H453" s="11" t="s">
        <v>168</v>
      </c>
      <c r="I453" s="12">
        <v>6938.0</v>
      </c>
      <c r="J453" s="12">
        <v>7300.0</v>
      </c>
      <c r="K453" s="11"/>
      <c r="L453" s="11" t="s">
        <v>1796</v>
      </c>
      <c r="M453" s="11" t="s">
        <v>1797</v>
      </c>
      <c r="N453" s="11" t="s">
        <v>131</v>
      </c>
      <c r="O453" s="11" t="s">
        <v>57</v>
      </c>
      <c r="P453" s="11" t="s">
        <v>162</v>
      </c>
      <c r="Q453" s="13" t="str">
        <f>IFERROR(VLOOKUP(E453,'SF Churn Data'!E:R,14,0),"")</f>
        <v/>
      </c>
    </row>
    <row r="454" hidden="1">
      <c r="A454" s="11" t="s">
        <v>1596</v>
      </c>
      <c r="B454" s="11" t="s">
        <v>44</v>
      </c>
      <c r="C454" s="11" t="s">
        <v>1781</v>
      </c>
      <c r="D454" s="11" t="s">
        <v>1798</v>
      </c>
      <c r="E454" s="11" t="s">
        <v>1799</v>
      </c>
      <c r="F454" s="11" t="s">
        <v>228</v>
      </c>
      <c r="G454" s="11">
        <v>34.13</v>
      </c>
      <c r="H454" s="11" t="s">
        <v>168</v>
      </c>
      <c r="I454" s="12">
        <v>6200.0</v>
      </c>
      <c r="J454" s="12">
        <v>6550.0</v>
      </c>
      <c r="K454" s="11"/>
      <c r="L454" s="11" t="s">
        <v>1800</v>
      </c>
      <c r="M454" s="11" t="s">
        <v>1801</v>
      </c>
      <c r="N454" s="11" t="s">
        <v>131</v>
      </c>
      <c r="O454" s="11" t="s">
        <v>57</v>
      </c>
      <c r="P454" s="11" t="s">
        <v>162</v>
      </c>
      <c r="Q454" s="13" t="str">
        <f>IFERROR(VLOOKUP(E454,'SF Churn Data'!E:R,14,0),"")</f>
        <v/>
      </c>
    </row>
    <row r="455" hidden="1">
      <c r="A455" s="11" t="s">
        <v>1596</v>
      </c>
      <c r="B455" s="11" t="s">
        <v>44</v>
      </c>
      <c r="C455" s="11" t="s">
        <v>1239</v>
      </c>
      <c r="D455" s="11" t="s">
        <v>1802</v>
      </c>
      <c r="E455" s="11" t="s">
        <v>1803</v>
      </c>
      <c r="F455" s="11" t="s">
        <v>228</v>
      </c>
      <c r="G455" s="11">
        <v>45.93</v>
      </c>
      <c r="H455" s="11" t="s">
        <v>168</v>
      </c>
      <c r="I455" s="12">
        <v>6938.0</v>
      </c>
      <c r="J455" s="12">
        <v>7300.0</v>
      </c>
      <c r="K455" s="11"/>
      <c r="L455" s="11" t="s">
        <v>1804</v>
      </c>
      <c r="M455" s="11" t="s">
        <v>1805</v>
      </c>
      <c r="N455" s="11" t="s">
        <v>131</v>
      </c>
      <c r="O455" s="11" t="s">
        <v>57</v>
      </c>
      <c r="P455" s="11" t="s">
        <v>162</v>
      </c>
      <c r="Q455" s="13" t="str">
        <f>IFERROR(VLOOKUP(E455,'SF Churn Data'!E:R,14,0),"")</f>
        <v/>
      </c>
    </row>
    <row r="456" hidden="1">
      <c r="A456" s="11" t="s">
        <v>225</v>
      </c>
      <c r="B456" s="11" t="s">
        <v>44</v>
      </c>
      <c r="C456" s="11" t="s">
        <v>53</v>
      </c>
      <c r="D456" s="11" t="s">
        <v>1806</v>
      </c>
      <c r="E456" s="11" t="s">
        <v>1807</v>
      </c>
      <c r="F456" s="11" t="s">
        <v>228</v>
      </c>
      <c r="G456" s="11">
        <v>15.1</v>
      </c>
      <c r="H456" s="11" t="s">
        <v>120</v>
      </c>
      <c r="I456" s="12">
        <v>5150.0</v>
      </c>
      <c r="J456" s="12">
        <v>6700.0</v>
      </c>
      <c r="K456" s="12">
        <v>6000.0</v>
      </c>
      <c r="L456" s="11" t="s">
        <v>1808</v>
      </c>
      <c r="M456" s="11" t="s">
        <v>1809</v>
      </c>
      <c r="N456" s="11" t="s">
        <v>131</v>
      </c>
      <c r="O456" s="11" t="s">
        <v>161</v>
      </c>
      <c r="P456" s="11" t="s">
        <v>162</v>
      </c>
      <c r="Q456" s="13" t="str">
        <f>IFERROR(VLOOKUP(E456,'SF Churn Data'!E:R,14,0),"")</f>
        <v/>
      </c>
    </row>
    <row r="457" hidden="1">
      <c r="A457" s="11" t="s">
        <v>132</v>
      </c>
      <c r="B457" s="11" t="s">
        <v>45</v>
      </c>
      <c r="C457" s="11" t="s">
        <v>45</v>
      </c>
      <c r="D457" s="11" t="s">
        <v>1810</v>
      </c>
      <c r="E457" s="11" t="s">
        <v>1811</v>
      </c>
      <c r="F457" s="11" t="s">
        <v>228</v>
      </c>
      <c r="G457" s="11">
        <v>10.93</v>
      </c>
      <c r="H457" s="11" t="s">
        <v>400</v>
      </c>
      <c r="I457" s="12">
        <v>1822.08</v>
      </c>
      <c r="J457" s="12">
        <v>1500.0</v>
      </c>
      <c r="K457" s="11">
        <v>2200.0</v>
      </c>
      <c r="L457" s="11" t="s">
        <v>1812</v>
      </c>
      <c r="M457" s="11" t="s">
        <v>1813</v>
      </c>
      <c r="N457" s="11" t="s">
        <v>143</v>
      </c>
      <c r="O457" s="11" t="s">
        <v>57</v>
      </c>
      <c r="P457" s="11"/>
      <c r="Q457" s="13" t="str">
        <f>IFERROR(VLOOKUP(E457,'SF Churn Data'!E:R,14,0),"")</f>
        <v/>
      </c>
    </row>
    <row r="458" hidden="1">
      <c r="A458" s="11" t="s">
        <v>216</v>
      </c>
      <c r="B458" s="11" t="s">
        <v>45</v>
      </c>
      <c r="C458" s="11" t="s">
        <v>45</v>
      </c>
      <c r="D458" s="11" t="s">
        <v>1814</v>
      </c>
      <c r="E458" s="11" t="s">
        <v>1815</v>
      </c>
      <c r="F458" s="11" t="s">
        <v>228</v>
      </c>
      <c r="G458" s="11">
        <v>8.39</v>
      </c>
      <c r="H458" s="11" t="s">
        <v>45</v>
      </c>
      <c r="I458" s="12">
        <v>3194.0</v>
      </c>
      <c r="J458" s="12">
        <v>4500.0</v>
      </c>
      <c r="K458" s="11">
        <v>3850.0</v>
      </c>
      <c r="L458" s="11" t="s">
        <v>1816</v>
      </c>
      <c r="M458" s="11" t="s">
        <v>1817</v>
      </c>
      <c r="N458" s="11" t="s">
        <v>1657</v>
      </c>
      <c r="O458" s="11" t="s">
        <v>83</v>
      </c>
      <c r="P458" s="11" t="s">
        <v>42</v>
      </c>
      <c r="Q458" s="13" t="str">
        <f>IFERROR(VLOOKUP(E458,'SF Churn Data'!E:R,14,0),"")</f>
        <v/>
      </c>
    </row>
    <row r="459" hidden="1">
      <c r="A459" s="11" t="s">
        <v>282</v>
      </c>
      <c r="B459" s="11" t="s">
        <v>44</v>
      </c>
      <c r="C459" s="11" t="s">
        <v>76</v>
      </c>
      <c r="D459" s="11" t="s">
        <v>1818</v>
      </c>
      <c r="E459" s="11" t="s">
        <v>1819</v>
      </c>
      <c r="F459" s="11" t="s">
        <v>228</v>
      </c>
      <c r="G459" s="11">
        <v>20.59</v>
      </c>
      <c r="H459" s="11" t="s">
        <v>168</v>
      </c>
      <c r="I459" s="12">
        <v>6499.0</v>
      </c>
      <c r="J459" s="12">
        <v>7800.0</v>
      </c>
      <c r="K459" s="11">
        <v>7800.0</v>
      </c>
      <c r="L459" s="11" t="s">
        <v>1820</v>
      </c>
      <c r="M459" s="11" t="s">
        <v>1821</v>
      </c>
      <c r="N459" s="11" t="s">
        <v>240</v>
      </c>
      <c r="O459" s="11" t="s">
        <v>41</v>
      </c>
      <c r="P459" s="11" t="s">
        <v>63</v>
      </c>
      <c r="Q459" s="13" t="str">
        <f>IFERROR(VLOOKUP(E459,'SF Churn Data'!E:R,14,0),"")</f>
        <v/>
      </c>
    </row>
    <row r="460" hidden="1">
      <c r="A460" s="11" t="s">
        <v>1822</v>
      </c>
      <c r="B460" s="11" t="s">
        <v>44</v>
      </c>
      <c r="C460" s="11" t="s">
        <v>53</v>
      </c>
      <c r="D460" s="11" t="s">
        <v>1823</v>
      </c>
      <c r="E460" s="11" t="s">
        <v>1824</v>
      </c>
      <c r="F460" s="11" t="s">
        <v>228</v>
      </c>
      <c r="G460" s="11">
        <v>15.07</v>
      </c>
      <c r="H460" s="11" t="s">
        <v>56</v>
      </c>
      <c r="I460" s="12">
        <v>3700.0</v>
      </c>
      <c r="J460" s="12">
        <v>4100.0</v>
      </c>
      <c r="K460" s="12"/>
      <c r="L460" s="11" t="s">
        <v>1825</v>
      </c>
      <c r="M460" s="11" t="s">
        <v>1826</v>
      </c>
      <c r="N460" s="11" t="s">
        <v>363</v>
      </c>
      <c r="O460" s="11" t="s">
        <v>57</v>
      </c>
      <c r="P460" s="11"/>
      <c r="Q460" s="13" t="str">
        <f>IFERROR(VLOOKUP(E460,'SF Churn Data'!E:R,14,0),"")</f>
        <v/>
      </c>
    </row>
    <row r="461" hidden="1">
      <c r="A461" s="11" t="s">
        <v>49</v>
      </c>
      <c r="B461" s="11" t="s">
        <v>44</v>
      </c>
      <c r="C461" s="11" t="s">
        <v>180</v>
      </c>
      <c r="D461" s="11" t="s">
        <v>1827</v>
      </c>
      <c r="E461" s="11" t="s">
        <v>1828</v>
      </c>
      <c r="F461" s="11" t="s">
        <v>228</v>
      </c>
      <c r="G461" s="11">
        <v>22.86</v>
      </c>
      <c r="H461" s="11" t="s">
        <v>168</v>
      </c>
      <c r="I461" s="12">
        <v>8300.0</v>
      </c>
      <c r="J461" s="12">
        <v>9550.0</v>
      </c>
      <c r="K461" s="11">
        <v>10000.0</v>
      </c>
      <c r="L461" s="11" t="s">
        <v>1829</v>
      </c>
      <c r="M461" s="11" t="s">
        <v>1634</v>
      </c>
      <c r="N461" s="11" t="s">
        <v>403</v>
      </c>
      <c r="O461" s="11" t="s">
        <v>57</v>
      </c>
      <c r="P461" s="11" t="s">
        <v>48</v>
      </c>
      <c r="Q461" s="13" t="str">
        <f>IFERROR(VLOOKUP(E461,'SF Churn Data'!E:R,14,0),"")</f>
        <v/>
      </c>
    </row>
    <row r="462" hidden="1">
      <c r="A462" s="11" t="s">
        <v>138</v>
      </c>
      <c r="B462" s="11" t="s">
        <v>45</v>
      </c>
      <c r="C462" s="11" t="s">
        <v>45</v>
      </c>
      <c r="D462" s="11" t="s">
        <v>1830</v>
      </c>
      <c r="E462" s="11" t="s">
        <v>1831</v>
      </c>
      <c r="F462" s="11" t="s">
        <v>228</v>
      </c>
      <c r="G462" s="11">
        <v>9.21</v>
      </c>
      <c r="H462" s="11" t="s">
        <v>45</v>
      </c>
      <c r="I462" s="12">
        <v>1652.0</v>
      </c>
      <c r="J462" s="12">
        <v>2400.0</v>
      </c>
      <c r="K462" s="11">
        <v>2050.0</v>
      </c>
      <c r="L462" s="11" t="s">
        <v>1832</v>
      </c>
      <c r="M462" s="11" t="s">
        <v>1833</v>
      </c>
      <c r="N462" s="11" t="s">
        <v>403</v>
      </c>
      <c r="O462" s="11" t="s">
        <v>41</v>
      </c>
      <c r="P462" s="11" t="s">
        <v>144</v>
      </c>
      <c r="Q462" s="13" t="str">
        <f>IFERROR(VLOOKUP(E462,'SF Churn Data'!E:R,14,0),"")</f>
        <v/>
      </c>
    </row>
    <row r="463" hidden="1">
      <c r="A463" s="11" t="s">
        <v>1238</v>
      </c>
      <c r="B463" s="11" t="s">
        <v>44</v>
      </c>
      <c r="C463" s="11" t="s">
        <v>1834</v>
      </c>
      <c r="D463" s="11" t="s">
        <v>1835</v>
      </c>
      <c r="E463" s="11" t="s">
        <v>1836</v>
      </c>
      <c r="F463" s="11" t="s">
        <v>228</v>
      </c>
      <c r="G463" s="11">
        <v>58.23</v>
      </c>
      <c r="H463" s="11" t="s">
        <v>471</v>
      </c>
      <c r="I463" s="12">
        <v>7800.0</v>
      </c>
      <c r="J463" s="12">
        <v>10150.0</v>
      </c>
      <c r="K463" s="12"/>
      <c r="L463" s="11" t="s">
        <v>1837</v>
      </c>
      <c r="M463" s="11" t="s">
        <v>1838</v>
      </c>
      <c r="N463" s="11" t="s">
        <v>806</v>
      </c>
      <c r="O463" s="11" t="s">
        <v>57</v>
      </c>
      <c r="P463" s="11" t="s">
        <v>144</v>
      </c>
      <c r="Q463" s="13" t="str">
        <f>IFERROR(VLOOKUP(E463,'SF Churn Data'!E:R,14,0),"")</f>
        <v/>
      </c>
    </row>
    <row r="464" hidden="1">
      <c r="A464" s="11" t="s">
        <v>171</v>
      </c>
      <c r="B464" s="11" t="s">
        <v>44</v>
      </c>
      <c r="C464" s="11" t="s">
        <v>113</v>
      </c>
      <c r="D464" s="11" t="s">
        <v>1839</v>
      </c>
      <c r="E464" s="11" t="s">
        <v>1840</v>
      </c>
      <c r="F464" s="11" t="s">
        <v>228</v>
      </c>
      <c r="G464" s="11">
        <v>9.57</v>
      </c>
      <c r="H464" s="11" t="s">
        <v>116</v>
      </c>
      <c r="I464" s="12">
        <v>2990.0</v>
      </c>
      <c r="J464" s="12">
        <v>3450.0</v>
      </c>
      <c r="K464" s="11">
        <v>3600.0</v>
      </c>
      <c r="L464" s="11" t="s">
        <v>1841</v>
      </c>
      <c r="M464" s="11" t="s">
        <v>1842</v>
      </c>
      <c r="N464" s="11" t="s">
        <v>363</v>
      </c>
      <c r="O464" s="11" t="s">
        <v>41</v>
      </c>
      <c r="P464" s="11"/>
      <c r="Q464" s="13" t="str">
        <f>IFERROR(VLOOKUP(E464,'SF Churn Data'!E:R,14,0),"")</f>
        <v/>
      </c>
    </row>
    <row r="465" hidden="1">
      <c r="A465" s="11" t="s">
        <v>165</v>
      </c>
      <c r="B465" s="11" t="s">
        <v>44</v>
      </c>
      <c r="C465" s="11" t="s">
        <v>180</v>
      </c>
      <c r="D465" s="11" t="s">
        <v>1843</v>
      </c>
      <c r="E465" s="11" t="s">
        <v>1844</v>
      </c>
      <c r="F465" s="11" t="s">
        <v>228</v>
      </c>
      <c r="G465" s="11">
        <v>23.4</v>
      </c>
      <c r="H465" s="11" t="s">
        <v>168</v>
      </c>
      <c r="I465" s="12">
        <v>4511.0</v>
      </c>
      <c r="J465" s="12">
        <v>5450.0</v>
      </c>
      <c r="K465" s="12">
        <v>5500.0</v>
      </c>
      <c r="L465" s="11" t="s">
        <v>1845</v>
      </c>
      <c r="M465" s="11" t="s">
        <v>1846</v>
      </c>
      <c r="N465" s="11" t="s">
        <v>131</v>
      </c>
      <c r="O465" s="11" t="s">
        <v>117</v>
      </c>
      <c r="P465" s="11"/>
      <c r="Q465" s="13" t="str">
        <f>IFERROR(VLOOKUP(E465,'SF Churn Data'!E:R,14,0),"")</f>
        <v/>
      </c>
    </row>
    <row r="466" hidden="1">
      <c r="A466" s="11" t="s">
        <v>1238</v>
      </c>
      <c r="B466" s="11" t="s">
        <v>44</v>
      </c>
      <c r="C466" s="11" t="s">
        <v>133</v>
      </c>
      <c r="D466" s="11" t="s">
        <v>1847</v>
      </c>
      <c r="E466" s="11" t="s">
        <v>1848</v>
      </c>
      <c r="F466" s="11" t="s">
        <v>228</v>
      </c>
      <c r="G466" s="11">
        <v>14.58</v>
      </c>
      <c r="H466" s="11" t="s">
        <v>1242</v>
      </c>
      <c r="I466" s="12">
        <v>3199.0</v>
      </c>
      <c r="J466" s="12">
        <v>4200.0</v>
      </c>
      <c r="K466" s="11"/>
      <c r="L466" s="11" t="s">
        <v>1849</v>
      </c>
      <c r="M466" s="11" t="s">
        <v>1850</v>
      </c>
      <c r="N466" s="11" t="s">
        <v>143</v>
      </c>
      <c r="O466" s="11" t="s">
        <v>41</v>
      </c>
      <c r="P466" s="11" t="s">
        <v>144</v>
      </c>
      <c r="Q466" s="13" t="str">
        <f>IFERROR(VLOOKUP(E466,'SF Churn Data'!E:R,14,0),"")</f>
        <v/>
      </c>
    </row>
    <row r="467" hidden="1">
      <c r="A467" s="11" t="s">
        <v>201</v>
      </c>
      <c r="B467" s="11" t="s">
        <v>45</v>
      </c>
      <c r="C467" s="11" t="s">
        <v>45</v>
      </c>
      <c r="D467" s="11" t="s">
        <v>1851</v>
      </c>
      <c r="E467" s="11" t="s">
        <v>1852</v>
      </c>
      <c r="F467" s="11" t="s">
        <v>228</v>
      </c>
      <c r="G467" s="11">
        <v>11.16</v>
      </c>
      <c r="H467" s="11" t="s">
        <v>45</v>
      </c>
      <c r="I467" s="12">
        <v>1900.0</v>
      </c>
      <c r="J467" s="12">
        <v>2300.0</v>
      </c>
      <c r="K467" s="11">
        <v>2300.0</v>
      </c>
      <c r="L467" s="11" t="s">
        <v>1853</v>
      </c>
      <c r="M467" s="11" t="s">
        <v>1854</v>
      </c>
      <c r="N467" s="11" t="s">
        <v>903</v>
      </c>
      <c r="O467" s="11" t="s">
        <v>57</v>
      </c>
      <c r="P467" s="11"/>
      <c r="Q467" s="13" t="str">
        <f>IFERROR(VLOOKUP(E467,'SF Churn Data'!E:R,14,0),"")</f>
        <v/>
      </c>
    </row>
    <row r="468" hidden="1">
      <c r="A468" s="11" t="s">
        <v>1029</v>
      </c>
      <c r="B468" s="11" t="s">
        <v>44</v>
      </c>
      <c r="C468" s="11" t="s">
        <v>64</v>
      </c>
      <c r="D468" s="11" t="s">
        <v>1855</v>
      </c>
      <c r="E468" s="11" t="s">
        <v>1856</v>
      </c>
      <c r="F468" s="11" t="s">
        <v>228</v>
      </c>
      <c r="G468" s="11">
        <v>18.21</v>
      </c>
      <c r="H468" s="11" t="s">
        <v>120</v>
      </c>
      <c r="I468" s="12">
        <v>513.0</v>
      </c>
      <c r="J468" s="12">
        <v>415.0</v>
      </c>
      <c r="K468" s="11"/>
      <c r="L468" s="11" t="s">
        <v>1857</v>
      </c>
      <c r="M468" s="11" t="s">
        <v>1858</v>
      </c>
      <c r="N468" s="11" t="s">
        <v>1034</v>
      </c>
      <c r="O468" s="11" t="s">
        <v>57</v>
      </c>
      <c r="P468" s="11"/>
      <c r="Q468" s="13" t="str">
        <f>IFERROR(VLOOKUP(E468,'SF Churn Data'!E:R,14,0),"")</f>
        <v/>
      </c>
    </row>
    <row r="469" hidden="1">
      <c r="A469" s="11" t="s">
        <v>49</v>
      </c>
      <c r="B469" s="11" t="s">
        <v>45</v>
      </c>
      <c r="C469" s="11" t="s">
        <v>50</v>
      </c>
      <c r="D469" s="11" t="s">
        <v>1859</v>
      </c>
      <c r="E469" s="11" t="s">
        <v>1860</v>
      </c>
      <c r="F469" s="11" t="s">
        <v>228</v>
      </c>
      <c r="G469" s="11">
        <v>9.12</v>
      </c>
      <c r="H469" s="11" t="s">
        <v>40</v>
      </c>
      <c r="I469" s="12">
        <v>3551.0</v>
      </c>
      <c r="J469" s="12">
        <v>4100.0</v>
      </c>
      <c r="K469" s="11">
        <v>4350.0</v>
      </c>
      <c r="L469" s="11" t="s">
        <v>1861</v>
      </c>
      <c r="M469" s="11" t="s">
        <v>1862</v>
      </c>
      <c r="N469" s="11" t="s">
        <v>143</v>
      </c>
      <c r="O469" s="11" t="s">
        <v>41</v>
      </c>
      <c r="P469" s="11" t="s">
        <v>48</v>
      </c>
      <c r="Q469" s="13" t="str">
        <f>IFERROR(VLOOKUP(E469,'SF Churn Data'!E:R,14,0),"")</f>
        <v/>
      </c>
    </row>
    <row r="470" hidden="1">
      <c r="A470" s="11" t="s">
        <v>282</v>
      </c>
      <c r="B470" s="11" t="s">
        <v>44</v>
      </c>
      <c r="C470" s="11" t="s">
        <v>180</v>
      </c>
      <c r="D470" s="11" t="s">
        <v>1863</v>
      </c>
      <c r="E470" s="11" t="s">
        <v>1864</v>
      </c>
      <c r="F470" s="11" t="s">
        <v>228</v>
      </c>
      <c r="G470" s="11">
        <v>23.65</v>
      </c>
      <c r="H470" s="11" t="s">
        <v>168</v>
      </c>
      <c r="I470" s="12">
        <v>6499.0</v>
      </c>
      <c r="J470" s="12">
        <v>7800.0</v>
      </c>
      <c r="K470" s="12">
        <v>7800.0</v>
      </c>
      <c r="L470" s="11" t="s">
        <v>1865</v>
      </c>
      <c r="M470" s="11" t="s">
        <v>1866</v>
      </c>
      <c r="N470" s="11" t="s">
        <v>143</v>
      </c>
      <c r="O470" s="11" t="s">
        <v>57</v>
      </c>
      <c r="P470" s="11" t="s">
        <v>63</v>
      </c>
      <c r="Q470" s="13" t="str">
        <f>IFERROR(VLOOKUP(E470,'SF Churn Data'!E:R,14,0),"")</f>
        <v/>
      </c>
    </row>
    <row r="471" hidden="1">
      <c r="A471" s="11" t="s">
        <v>1238</v>
      </c>
      <c r="B471" s="11" t="s">
        <v>44</v>
      </c>
      <c r="C471" s="11" t="s">
        <v>76</v>
      </c>
      <c r="D471" s="11" t="s">
        <v>1867</v>
      </c>
      <c r="E471" s="11" t="s">
        <v>1868</v>
      </c>
      <c r="F471" s="11" t="s">
        <v>228</v>
      </c>
      <c r="G471" s="14">
        <v>19.18</v>
      </c>
      <c r="H471" s="11" t="s">
        <v>1495</v>
      </c>
      <c r="I471" s="12">
        <v>4489.0</v>
      </c>
      <c r="J471" s="12">
        <v>5850.0</v>
      </c>
      <c r="K471" s="11"/>
      <c r="L471" s="11" t="s">
        <v>1869</v>
      </c>
      <c r="M471" s="11" t="s">
        <v>1870</v>
      </c>
      <c r="N471" s="11" t="s">
        <v>240</v>
      </c>
      <c r="O471" s="11" t="s">
        <v>41</v>
      </c>
      <c r="P471" s="11" t="s">
        <v>144</v>
      </c>
      <c r="Q471" s="13" t="str">
        <f>IFERROR(VLOOKUP(E471,'SF Churn Data'!E:R,14,0),"")</f>
        <v/>
      </c>
    </row>
    <row r="472" hidden="1">
      <c r="A472" s="11" t="s">
        <v>158</v>
      </c>
      <c r="B472" s="11" t="s">
        <v>44</v>
      </c>
      <c r="C472" s="11" t="s">
        <v>64</v>
      </c>
      <c r="D472" s="11" t="s">
        <v>1871</v>
      </c>
      <c r="E472" s="11" t="s">
        <v>1872</v>
      </c>
      <c r="F472" s="11" t="s">
        <v>228</v>
      </c>
      <c r="G472" s="14">
        <v>18.27</v>
      </c>
      <c r="H472" s="11" t="s">
        <v>120</v>
      </c>
      <c r="I472" s="12">
        <v>5516.0</v>
      </c>
      <c r="J472" s="12">
        <v>5550.0</v>
      </c>
      <c r="K472" s="12">
        <v>6700.0</v>
      </c>
      <c r="L472" s="11" t="s">
        <v>1873</v>
      </c>
      <c r="M472" s="11" t="s">
        <v>1874</v>
      </c>
      <c r="N472" s="11" t="s">
        <v>131</v>
      </c>
      <c r="O472" s="11" t="s">
        <v>161</v>
      </c>
      <c r="P472" s="11" t="s">
        <v>162</v>
      </c>
      <c r="Q472" s="13" t="str">
        <f>IFERROR(VLOOKUP(E472,'SF Churn Data'!E:R,14,0),"")</f>
        <v/>
      </c>
    </row>
    <row r="473" hidden="1">
      <c r="A473" s="11" t="s">
        <v>1029</v>
      </c>
      <c r="B473" s="11" t="s">
        <v>44</v>
      </c>
      <c r="C473" s="11" t="s">
        <v>53</v>
      </c>
      <c r="D473" s="11" t="s">
        <v>1875</v>
      </c>
      <c r="E473" s="11" t="s">
        <v>1876</v>
      </c>
      <c r="F473" s="11" t="s">
        <v>228</v>
      </c>
      <c r="G473" s="11">
        <v>15.65</v>
      </c>
      <c r="H473" s="11" t="s">
        <v>56</v>
      </c>
      <c r="I473" s="12">
        <v>450.0</v>
      </c>
      <c r="J473" s="12">
        <v>360.0</v>
      </c>
      <c r="K473" s="11"/>
      <c r="L473" s="11" t="s">
        <v>1877</v>
      </c>
      <c r="M473" s="11" t="s">
        <v>1878</v>
      </c>
      <c r="N473" s="11" t="s">
        <v>1034</v>
      </c>
      <c r="O473" s="11" t="s">
        <v>57</v>
      </c>
      <c r="P473" s="11"/>
      <c r="Q473" s="13" t="str">
        <f>IFERROR(VLOOKUP(E473,'SF Churn Data'!E:R,14,0),"")</f>
        <v/>
      </c>
    </row>
    <row r="474" hidden="1">
      <c r="A474" s="11" t="s">
        <v>1238</v>
      </c>
      <c r="B474" s="11" t="s">
        <v>44</v>
      </c>
      <c r="C474" s="11" t="s">
        <v>64</v>
      </c>
      <c r="D474" s="11" t="s">
        <v>1879</v>
      </c>
      <c r="E474" s="11" t="s">
        <v>1880</v>
      </c>
      <c r="F474" s="11" t="s">
        <v>228</v>
      </c>
      <c r="G474" s="11">
        <v>17.05</v>
      </c>
      <c r="H474" s="11" t="s">
        <v>1495</v>
      </c>
      <c r="I474" s="12">
        <v>4125.0</v>
      </c>
      <c r="J474" s="12">
        <v>5400.0</v>
      </c>
      <c r="K474" s="11"/>
      <c r="L474" s="11" t="s">
        <v>1881</v>
      </c>
      <c r="M474" s="11" t="s">
        <v>1182</v>
      </c>
      <c r="N474" s="11" t="s">
        <v>240</v>
      </c>
      <c r="O474" s="11" t="s">
        <v>41</v>
      </c>
      <c r="P474" s="11" t="s">
        <v>144</v>
      </c>
      <c r="Q474" s="13" t="str">
        <f>IFERROR(VLOOKUP(E474,'SF Churn Data'!E:R,14,0),"")</f>
        <v/>
      </c>
    </row>
    <row r="475" hidden="1">
      <c r="A475" s="11" t="s">
        <v>364</v>
      </c>
      <c r="B475" s="11" t="s">
        <v>44</v>
      </c>
      <c r="C475" s="11" t="s">
        <v>180</v>
      </c>
      <c r="D475" s="11" t="s">
        <v>1882</v>
      </c>
      <c r="E475" s="11" t="s">
        <v>1883</v>
      </c>
      <c r="F475" s="11" t="s">
        <v>228</v>
      </c>
      <c r="G475" s="11">
        <v>22.16</v>
      </c>
      <c r="H475" s="11" t="s">
        <v>168</v>
      </c>
      <c r="I475" s="12">
        <v>5600.0</v>
      </c>
      <c r="J475" s="12">
        <v>5600.0</v>
      </c>
      <c r="K475" s="12">
        <v>6500.0</v>
      </c>
      <c r="L475" s="11" t="s">
        <v>1884</v>
      </c>
      <c r="M475" s="11" t="s">
        <v>1182</v>
      </c>
      <c r="N475" s="11" t="s">
        <v>240</v>
      </c>
      <c r="O475" s="11" t="s">
        <v>117</v>
      </c>
      <c r="P475" s="11" t="s">
        <v>369</v>
      </c>
      <c r="Q475" s="13" t="str">
        <f>IFERROR(VLOOKUP(E475,'SF Churn Data'!E:R,14,0),"")</f>
        <v/>
      </c>
    </row>
    <row r="476" hidden="1">
      <c r="A476" s="11" t="s">
        <v>364</v>
      </c>
      <c r="B476" s="11" t="s">
        <v>44</v>
      </c>
      <c r="C476" s="11" t="s">
        <v>180</v>
      </c>
      <c r="D476" s="11" t="s">
        <v>1885</v>
      </c>
      <c r="E476" s="11" t="s">
        <v>1886</v>
      </c>
      <c r="F476" s="11" t="s">
        <v>228</v>
      </c>
      <c r="G476" s="11">
        <v>22.91</v>
      </c>
      <c r="H476" s="11" t="s">
        <v>168</v>
      </c>
      <c r="I476" s="12">
        <v>5600.0</v>
      </c>
      <c r="J476" s="12">
        <v>5600.0</v>
      </c>
      <c r="K476" s="12">
        <v>6500.0</v>
      </c>
      <c r="L476" s="11" t="s">
        <v>1887</v>
      </c>
      <c r="M476" s="11" t="s">
        <v>1182</v>
      </c>
      <c r="N476" s="11" t="s">
        <v>240</v>
      </c>
      <c r="O476" s="11" t="s">
        <v>117</v>
      </c>
      <c r="P476" s="11" t="s">
        <v>369</v>
      </c>
      <c r="Q476" s="13" t="str">
        <f>IFERROR(VLOOKUP(E476,'SF Churn Data'!E:R,14,0),"")</f>
        <v/>
      </c>
    </row>
    <row r="477" hidden="1">
      <c r="A477" s="11" t="s">
        <v>1029</v>
      </c>
      <c r="B477" s="11" t="s">
        <v>44</v>
      </c>
      <c r="C477" s="11" t="s">
        <v>53</v>
      </c>
      <c r="D477" s="11" t="s">
        <v>1888</v>
      </c>
      <c r="E477" s="11" t="s">
        <v>1889</v>
      </c>
      <c r="F477" s="11" t="s">
        <v>228</v>
      </c>
      <c r="G477" s="11">
        <v>16.29</v>
      </c>
      <c r="H477" s="11" t="s">
        <v>56</v>
      </c>
      <c r="I477" s="12">
        <v>450.0</v>
      </c>
      <c r="J477" s="12">
        <v>360.0</v>
      </c>
      <c r="K477" s="12"/>
      <c r="L477" s="11" t="s">
        <v>1890</v>
      </c>
      <c r="M477" s="11" t="s">
        <v>1891</v>
      </c>
      <c r="N477" s="11" t="s">
        <v>1034</v>
      </c>
      <c r="O477" s="11" t="s">
        <v>83</v>
      </c>
      <c r="P477" s="11"/>
      <c r="Q477" s="13" t="str">
        <f>IFERROR(VLOOKUP(E477,'SF Churn Data'!E:R,14,0),"")</f>
        <v/>
      </c>
    </row>
    <row r="478" hidden="1">
      <c r="A478" s="11" t="s">
        <v>364</v>
      </c>
      <c r="B478" s="11" t="s">
        <v>44</v>
      </c>
      <c r="C478" s="11" t="s">
        <v>76</v>
      </c>
      <c r="D478" s="11" t="s">
        <v>1892</v>
      </c>
      <c r="E478" s="11" t="s">
        <v>1893</v>
      </c>
      <c r="F478" s="11" t="s">
        <v>228</v>
      </c>
      <c r="G478" s="11">
        <v>19.25</v>
      </c>
      <c r="H478" s="11" t="s">
        <v>120</v>
      </c>
      <c r="I478" s="12">
        <v>5100.0</v>
      </c>
      <c r="J478" s="12">
        <v>5100.0</v>
      </c>
      <c r="K478" s="12">
        <v>5950.0</v>
      </c>
      <c r="L478" s="11" t="s">
        <v>1894</v>
      </c>
      <c r="M478" s="11" t="s">
        <v>1626</v>
      </c>
      <c r="N478" s="11" t="s">
        <v>240</v>
      </c>
      <c r="O478" s="11" t="s">
        <v>41</v>
      </c>
      <c r="P478" s="11" t="s">
        <v>369</v>
      </c>
      <c r="Q478" s="13" t="str">
        <f>IFERROR(VLOOKUP(E478,'SF Churn Data'!E:R,14,0),"")</f>
        <v/>
      </c>
    </row>
    <row r="479" hidden="1">
      <c r="A479" s="11" t="s">
        <v>225</v>
      </c>
      <c r="B479" s="11" t="s">
        <v>44</v>
      </c>
      <c r="C479" s="11" t="s">
        <v>64</v>
      </c>
      <c r="D479" s="11" t="s">
        <v>1895</v>
      </c>
      <c r="E479" s="11" t="s">
        <v>1896</v>
      </c>
      <c r="F479" s="11" t="s">
        <v>228</v>
      </c>
      <c r="G479" s="11">
        <v>17.9</v>
      </c>
      <c r="H479" s="11" t="s">
        <v>120</v>
      </c>
      <c r="I479" s="12">
        <v>6200.0</v>
      </c>
      <c r="J479" s="12">
        <v>8100.0</v>
      </c>
      <c r="K479" s="12">
        <v>7200.0</v>
      </c>
      <c r="L479" s="11" t="s">
        <v>1897</v>
      </c>
      <c r="M479" s="11" t="s">
        <v>1898</v>
      </c>
      <c r="N479" s="11" t="s">
        <v>403</v>
      </c>
      <c r="O479" s="11" t="s">
        <v>41</v>
      </c>
      <c r="P479" s="11" t="s">
        <v>162</v>
      </c>
      <c r="Q479" s="13" t="str">
        <f>IFERROR(VLOOKUP(E479,'SF Churn Data'!E:R,14,0),"")</f>
        <v/>
      </c>
    </row>
    <row r="480" hidden="1">
      <c r="A480" s="11" t="s">
        <v>1899</v>
      </c>
      <c r="B480" s="11" t="s">
        <v>44</v>
      </c>
      <c r="C480" s="11" t="s">
        <v>180</v>
      </c>
      <c r="D480" s="11" t="s">
        <v>1900</v>
      </c>
      <c r="E480" s="11" t="s">
        <v>1901</v>
      </c>
      <c r="F480" s="11" t="s">
        <v>228</v>
      </c>
      <c r="G480" s="11">
        <v>22.02</v>
      </c>
      <c r="H480" s="11" t="s">
        <v>168</v>
      </c>
      <c r="I480" s="12">
        <v>4001.0</v>
      </c>
      <c r="J480" s="12"/>
      <c r="K480" s="11"/>
      <c r="L480" s="11" t="s">
        <v>1902</v>
      </c>
      <c r="M480" s="11" t="s">
        <v>1903</v>
      </c>
      <c r="N480" s="11" t="s">
        <v>363</v>
      </c>
      <c r="O480" s="11" t="s">
        <v>41</v>
      </c>
      <c r="P480" s="11"/>
      <c r="Q480" s="13" t="str">
        <f>IFERROR(VLOOKUP(E480,'SF Churn Data'!E:R,14,0),"")</f>
        <v/>
      </c>
    </row>
    <row r="481" hidden="1">
      <c r="A481" s="11" t="s">
        <v>145</v>
      </c>
      <c r="B481" s="11" t="s">
        <v>44</v>
      </c>
      <c r="C481" s="11" t="s">
        <v>53</v>
      </c>
      <c r="D481" s="11" t="s">
        <v>1904</v>
      </c>
      <c r="E481" s="11" t="s">
        <v>1905</v>
      </c>
      <c r="F481" s="11" t="s">
        <v>228</v>
      </c>
      <c r="G481" s="11">
        <v>16.5</v>
      </c>
      <c r="H481" s="11" t="s">
        <v>56</v>
      </c>
      <c r="I481" s="12">
        <v>8592.0</v>
      </c>
      <c r="J481" s="12">
        <v>9500.0</v>
      </c>
      <c r="K481" s="11">
        <v>10350.0</v>
      </c>
      <c r="L481" s="11" t="s">
        <v>1906</v>
      </c>
      <c r="M481" s="11" t="s">
        <v>1907</v>
      </c>
      <c r="N481" s="11" t="s">
        <v>131</v>
      </c>
      <c r="O481" s="11" t="s">
        <v>151</v>
      </c>
      <c r="P481" s="11" t="s">
        <v>63</v>
      </c>
      <c r="Q481" s="13" t="str">
        <f>IFERROR(VLOOKUP(E481,'SF Churn Data'!E:R,14,0),"")</f>
        <v/>
      </c>
    </row>
    <row r="482" hidden="1">
      <c r="A482" s="11" t="s">
        <v>191</v>
      </c>
      <c r="B482" s="11" t="s">
        <v>45</v>
      </c>
      <c r="C482" s="11" t="s">
        <v>45</v>
      </c>
      <c r="D482" s="11" t="s">
        <v>1908</v>
      </c>
      <c r="E482" s="11" t="s">
        <v>1909</v>
      </c>
      <c r="F482" s="11" t="s">
        <v>228</v>
      </c>
      <c r="G482" s="11">
        <v>12.51</v>
      </c>
      <c r="H482" s="11" t="s">
        <v>45</v>
      </c>
      <c r="I482" s="12">
        <v>3900.0</v>
      </c>
      <c r="J482" s="12">
        <v>5100.0</v>
      </c>
      <c r="K482" s="12"/>
      <c r="L482" s="11" t="s">
        <v>1910</v>
      </c>
      <c r="M482" s="11" t="s">
        <v>1911</v>
      </c>
      <c r="N482" s="11" t="s">
        <v>903</v>
      </c>
      <c r="O482" s="11" t="s">
        <v>57</v>
      </c>
      <c r="P482" s="11" t="s">
        <v>48</v>
      </c>
      <c r="Q482" s="13" t="str">
        <f>IFERROR(VLOOKUP(E482,'SF Churn Data'!E:R,14,0),"")</f>
        <v/>
      </c>
    </row>
    <row r="483" hidden="1">
      <c r="A483" s="11" t="s">
        <v>148</v>
      </c>
      <c r="B483" s="11" t="s">
        <v>44</v>
      </c>
      <c r="C483" s="11" t="s">
        <v>423</v>
      </c>
      <c r="D483" s="11" t="s">
        <v>1912</v>
      </c>
      <c r="E483" s="11" t="s">
        <v>1913</v>
      </c>
      <c r="F483" s="11" t="s">
        <v>228</v>
      </c>
      <c r="G483" s="11">
        <v>29.4</v>
      </c>
      <c r="H483" s="11" t="s">
        <v>168</v>
      </c>
      <c r="I483" s="12">
        <v>10857.0</v>
      </c>
      <c r="J483" s="12">
        <v>10900.0</v>
      </c>
      <c r="K483" s="11">
        <v>13100.0</v>
      </c>
      <c r="L483" s="11" t="s">
        <v>1914</v>
      </c>
      <c r="M483" s="11" t="s">
        <v>1915</v>
      </c>
      <c r="N483" s="11" t="s">
        <v>143</v>
      </c>
      <c r="O483" s="11" t="s">
        <v>151</v>
      </c>
      <c r="P483" s="11" t="s">
        <v>48</v>
      </c>
      <c r="Q483" s="13" t="str">
        <f>IFERROR(VLOOKUP(E483,'SF Churn Data'!E:R,14,0),"")</f>
        <v/>
      </c>
    </row>
    <row r="484" hidden="1">
      <c r="A484" s="11" t="s">
        <v>138</v>
      </c>
      <c r="B484" s="11" t="s">
        <v>44</v>
      </c>
      <c r="C484" s="11" t="s">
        <v>133</v>
      </c>
      <c r="D484" s="11" t="s">
        <v>1916</v>
      </c>
      <c r="E484" s="11" t="s">
        <v>1917</v>
      </c>
      <c r="F484" s="11" t="s">
        <v>228</v>
      </c>
      <c r="G484" s="11">
        <v>13.88</v>
      </c>
      <c r="H484" s="11" t="s">
        <v>56</v>
      </c>
      <c r="I484" s="12">
        <v>3113.0</v>
      </c>
      <c r="J484" s="12">
        <v>4550.0</v>
      </c>
      <c r="K484" s="12">
        <v>3800.0</v>
      </c>
      <c r="L484" s="11" t="s">
        <v>1918</v>
      </c>
      <c r="M484" s="11" t="s">
        <v>1919</v>
      </c>
      <c r="N484" s="11" t="s">
        <v>403</v>
      </c>
      <c r="O484" s="11" t="s">
        <v>57</v>
      </c>
      <c r="P484" s="11" t="s">
        <v>144</v>
      </c>
      <c r="Q484" s="13" t="str">
        <f>IFERROR(VLOOKUP(E484,'SF Churn Data'!E:R,14,0),"")</f>
        <v/>
      </c>
    </row>
    <row r="485" hidden="1">
      <c r="A485" s="11" t="s">
        <v>158</v>
      </c>
      <c r="B485" s="11" t="s">
        <v>44</v>
      </c>
      <c r="C485" s="11" t="s">
        <v>64</v>
      </c>
      <c r="D485" s="11" t="s">
        <v>1920</v>
      </c>
      <c r="E485" s="11" t="s">
        <v>1921</v>
      </c>
      <c r="F485" s="11" t="s">
        <v>228</v>
      </c>
      <c r="G485" s="11">
        <v>18.27</v>
      </c>
      <c r="H485" s="11" t="s">
        <v>120</v>
      </c>
      <c r="I485" s="12">
        <v>5516.0</v>
      </c>
      <c r="J485" s="12">
        <v>5550.0</v>
      </c>
      <c r="K485" s="11">
        <v>6700.0</v>
      </c>
      <c r="L485" s="11" t="s">
        <v>1922</v>
      </c>
      <c r="M485" s="11" t="s">
        <v>1923</v>
      </c>
      <c r="N485" s="11" t="s">
        <v>131</v>
      </c>
      <c r="O485" s="11" t="s">
        <v>161</v>
      </c>
      <c r="P485" s="11" t="s">
        <v>162</v>
      </c>
      <c r="Q485" s="13" t="str">
        <f>IFERROR(VLOOKUP(E485,'SF Churn Data'!E:R,14,0),"")</f>
        <v/>
      </c>
    </row>
    <row r="486" hidden="1">
      <c r="A486" s="11" t="s">
        <v>43</v>
      </c>
      <c r="B486" s="11" t="s">
        <v>44</v>
      </c>
      <c r="C486" s="11" t="s">
        <v>37</v>
      </c>
      <c r="D486" s="11" t="s">
        <v>1924</v>
      </c>
      <c r="E486" s="11" t="s">
        <v>1925</v>
      </c>
      <c r="F486" s="11" t="s">
        <v>228</v>
      </c>
      <c r="G486" s="11">
        <v>43.9</v>
      </c>
      <c r="H486" s="11" t="s">
        <v>168</v>
      </c>
      <c r="I486" s="12">
        <v>10800.0</v>
      </c>
      <c r="J486" s="12">
        <v>13000.0</v>
      </c>
      <c r="K486" s="11"/>
      <c r="L486" s="11" t="s">
        <v>1926</v>
      </c>
      <c r="M486" s="11" t="s">
        <v>1259</v>
      </c>
      <c r="N486" s="11" t="s">
        <v>1927</v>
      </c>
      <c r="O486" s="11" t="s">
        <v>83</v>
      </c>
      <c r="P486" s="11" t="s">
        <v>48</v>
      </c>
      <c r="Q486" s="13" t="str">
        <f>IFERROR(VLOOKUP(E486,'SF Churn Data'!E:R,14,0),"")</f>
        <v/>
      </c>
    </row>
    <row r="487" hidden="1">
      <c r="A487" s="11" t="s">
        <v>1029</v>
      </c>
      <c r="B487" s="11" t="s">
        <v>44</v>
      </c>
      <c r="C487" s="11" t="s">
        <v>133</v>
      </c>
      <c r="D487" s="11" t="s">
        <v>1928</v>
      </c>
      <c r="E487" s="11" t="s">
        <v>1929</v>
      </c>
      <c r="F487" s="11" t="s">
        <v>228</v>
      </c>
      <c r="G487" s="11">
        <v>14.74</v>
      </c>
      <c r="H487" s="11" t="s">
        <v>56</v>
      </c>
      <c r="I487" s="12">
        <v>433.0</v>
      </c>
      <c r="J487" s="12">
        <v>350.0</v>
      </c>
      <c r="K487" s="11"/>
      <c r="L487" s="11" t="s">
        <v>1930</v>
      </c>
      <c r="M487" s="11" t="s">
        <v>1931</v>
      </c>
      <c r="N487" s="11" t="s">
        <v>1034</v>
      </c>
      <c r="O487" s="11" t="s">
        <v>57</v>
      </c>
      <c r="P487" s="11"/>
      <c r="Q487" s="13" t="str">
        <f>IFERROR(VLOOKUP(E487,'SF Churn Data'!E:R,14,0),"")</f>
        <v/>
      </c>
    </row>
    <row r="488" hidden="1">
      <c r="A488" s="11" t="s">
        <v>158</v>
      </c>
      <c r="B488" s="11" t="s">
        <v>44</v>
      </c>
      <c r="C488" s="11" t="s">
        <v>53</v>
      </c>
      <c r="D488" s="11" t="s">
        <v>1932</v>
      </c>
      <c r="E488" s="11" t="s">
        <v>1933</v>
      </c>
      <c r="F488" s="11" t="s">
        <v>228</v>
      </c>
      <c r="G488" s="11">
        <v>16.75</v>
      </c>
      <c r="H488" s="11" t="s">
        <v>120</v>
      </c>
      <c r="I488" s="12">
        <v>5091.0</v>
      </c>
      <c r="J488" s="12">
        <v>5100.0</v>
      </c>
      <c r="K488" s="12">
        <v>6150.0</v>
      </c>
      <c r="L488" s="11" t="s">
        <v>1934</v>
      </c>
      <c r="M488" s="11" t="s">
        <v>1935</v>
      </c>
      <c r="N488" s="11" t="s">
        <v>903</v>
      </c>
      <c r="O488" s="11" t="s">
        <v>41</v>
      </c>
      <c r="P488" s="11" t="s">
        <v>162</v>
      </c>
      <c r="Q488" s="13" t="str">
        <f>IFERROR(VLOOKUP(E488,'SF Churn Data'!E:R,14,0),"")</f>
        <v/>
      </c>
    </row>
    <row r="489" hidden="1">
      <c r="A489" s="11" t="s">
        <v>132</v>
      </c>
      <c r="B489" s="11" t="s">
        <v>44</v>
      </c>
      <c r="C489" s="11" t="s">
        <v>76</v>
      </c>
      <c r="D489" s="11" t="s">
        <v>1936</v>
      </c>
      <c r="E489" s="11" t="s">
        <v>1937</v>
      </c>
      <c r="F489" s="11" t="s">
        <v>228</v>
      </c>
      <c r="G489" s="11">
        <v>19.38</v>
      </c>
      <c r="H489" s="11" t="s">
        <v>67</v>
      </c>
      <c r="I489" s="12">
        <v>4118.4</v>
      </c>
      <c r="J489" s="12">
        <v>3300.0</v>
      </c>
      <c r="K489" s="11">
        <v>4500.0</v>
      </c>
      <c r="L489" s="11" t="s">
        <v>1938</v>
      </c>
      <c r="M489" s="11" t="s">
        <v>1939</v>
      </c>
      <c r="N489" s="11" t="s">
        <v>403</v>
      </c>
      <c r="O489" s="11" t="s">
        <v>41</v>
      </c>
      <c r="P489" s="11"/>
      <c r="Q489" s="13" t="str">
        <f>IFERROR(VLOOKUP(E489,'SF Churn Data'!E:R,14,0),"")</f>
        <v/>
      </c>
    </row>
    <row r="490" hidden="1">
      <c r="A490" s="11" t="s">
        <v>43</v>
      </c>
      <c r="B490" s="11" t="s">
        <v>44</v>
      </c>
      <c r="C490" s="11" t="s">
        <v>53</v>
      </c>
      <c r="D490" s="11" t="s">
        <v>1940</v>
      </c>
      <c r="E490" s="11" t="s">
        <v>1941</v>
      </c>
      <c r="F490" s="11" t="s">
        <v>228</v>
      </c>
      <c r="G490" s="11">
        <v>15.05</v>
      </c>
      <c r="H490" s="11" t="s">
        <v>56</v>
      </c>
      <c r="I490" s="12">
        <v>6400.0</v>
      </c>
      <c r="J490" s="12">
        <v>7700.0</v>
      </c>
      <c r="K490" s="12"/>
      <c r="L490" s="11" t="s">
        <v>1942</v>
      </c>
      <c r="M490" s="11" t="s">
        <v>1943</v>
      </c>
      <c r="N490" s="11" t="s">
        <v>143</v>
      </c>
      <c r="O490" s="11" t="s">
        <v>57</v>
      </c>
      <c r="P490" s="11" t="s">
        <v>48</v>
      </c>
      <c r="Q490" s="13" t="str">
        <f>IFERROR(VLOOKUP(E490,'SF Churn Data'!E:R,14,0),"")</f>
        <v/>
      </c>
    </row>
    <row r="491" hidden="1">
      <c r="A491" s="11" t="s">
        <v>912</v>
      </c>
      <c r="B491" s="11" t="s">
        <v>44</v>
      </c>
      <c r="C491" s="11" t="s">
        <v>53</v>
      </c>
      <c r="D491" s="11" t="s">
        <v>1944</v>
      </c>
      <c r="E491" s="11" t="s">
        <v>1945</v>
      </c>
      <c r="F491" s="11" t="s">
        <v>228</v>
      </c>
      <c r="G491" s="11">
        <v>16.05</v>
      </c>
      <c r="H491" s="11" t="s">
        <v>120</v>
      </c>
      <c r="I491" s="12">
        <v>4900.0</v>
      </c>
      <c r="J491" s="12">
        <v>6150.0</v>
      </c>
      <c r="K491" s="11">
        <v>5700.0</v>
      </c>
      <c r="L491" s="11" t="s">
        <v>1946</v>
      </c>
      <c r="M491" s="11" t="s">
        <v>1947</v>
      </c>
      <c r="N491" s="11" t="s">
        <v>403</v>
      </c>
      <c r="O491" s="11" t="s">
        <v>41</v>
      </c>
      <c r="P491" s="11" t="s">
        <v>917</v>
      </c>
      <c r="Q491" s="13" t="str">
        <f>IFERROR(VLOOKUP(E491,'SF Churn Data'!E:R,14,0),"")</f>
        <v/>
      </c>
    </row>
    <row r="492" hidden="1">
      <c r="A492" s="11" t="s">
        <v>148</v>
      </c>
      <c r="B492" s="11" t="s">
        <v>44</v>
      </c>
      <c r="C492" s="11" t="s">
        <v>64</v>
      </c>
      <c r="D492" s="11" t="s">
        <v>1948</v>
      </c>
      <c r="E492" s="11" t="s">
        <v>1949</v>
      </c>
      <c r="F492" s="11" t="s">
        <v>228</v>
      </c>
      <c r="G492" s="11">
        <v>18.1</v>
      </c>
      <c r="H492" s="11" t="s">
        <v>56</v>
      </c>
      <c r="I492" s="12">
        <v>7096.0</v>
      </c>
      <c r="J492" s="12">
        <v>7100.0</v>
      </c>
      <c r="K492" s="12">
        <v>8550.0</v>
      </c>
      <c r="L492" s="11" t="s">
        <v>1950</v>
      </c>
      <c r="M492" s="11" t="s">
        <v>1951</v>
      </c>
      <c r="N492" s="11" t="s">
        <v>903</v>
      </c>
      <c r="O492" s="11" t="s">
        <v>151</v>
      </c>
      <c r="P492" s="11" t="s">
        <v>48</v>
      </c>
      <c r="Q492" s="13" t="str">
        <f>IFERROR(VLOOKUP(E492,'SF Churn Data'!E:R,14,0),"")</f>
        <v/>
      </c>
    </row>
    <row r="493" hidden="1">
      <c r="A493" s="11" t="s">
        <v>171</v>
      </c>
      <c r="B493" s="11" t="s">
        <v>45</v>
      </c>
      <c r="C493" s="11" t="s">
        <v>45</v>
      </c>
      <c r="D493" s="11" t="s">
        <v>1952</v>
      </c>
      <c r="E493" s="11" t="s">
        <v>1953</v>
      </c>
      <c r="F493" s="11" t="s">
        <v>228</v>
      </c>
      <c r="G493" s="11">
        <v>13.64</v>
      </c>
      <c r="H493" s="11" t="s">
        <v>45</v>
      </c>
      <c r="I493" s="12">
        <v>1990.0</v>
      </c>
      <c r="J493" s="12">
        <v>2300.0</v>
      </c>
      <c r="K493" s="11">
        <v>2400.0</v>
      </c>
      <c r="L493" s="11" t="s">
        <v>1954</v>
      </c>
      <c r="M493" s="11" t="s">
        <v>1955</v>
      </c>
      <c r="N493" s="11" t="s">
        <v>403</v>
      </c>
      <c r="O493" s="11" t="s">
        <v>198</v>
      </c>
      <c r="P493" s="11"/>
      <c r="Q493" s="13" t="str">
        <f>IFERROR(VLOOKUP(E493,'SF Churn Data'!E:R,14,0),"")</f>
        <v/>
      </c>
    </row>
    <row r="494" hidden="1">
      <c r="A494" s="11" t="s">
        <v>210</v>
      </c>
      <c r="B494" s="11" t="s">
        <v>44</v>
      </c>
      <c r="C494" s="11" t="s">
        <v>133</v>
      </c>
      <c r="D494" s="11" t="s">
        <v>1956</v>
      </c>
      <c r="E494" s="11" t="s">
        <v>1957</v>
      </c>
      <c r="F494" s="11" t="s">
        <v>228</v>
      </c>
      <c r="G494" s="11">
        <v>14.91</v>
      </c>
      <c r="H494" s="11" t="s">
        <v>56</v>
      </c>
      <c r="I494" s="12">
        <v>5250.0</v>
      </c>
      <c r="J494" s="12">
        <v>6850.0</v>
      </c>
      <c r="K494" s="12">
        <v>6300.0</v>
      </c>
      <c r="L494" s="11" t="s">
        <v>1958</v>
      </c>
      <c r="M494" s="11" t="s">
        <v>1959</v>
      </c>
      <c r="N494" s="11" t="s">
        <v>903</v>
      </c>
      <c r="O494" s="11" t="s">
        <v>213</v>
      </c>
      <c r="P494" s="11" t="s">
        <v>63</v>
      </c>
      <c r="Q494" s="13" t="str">
        <f>IFERROR(VLOOKUP(E494,'SF Churn Data'!E:R,14,0),"")</f>
        <v/>
      </c>
    </row>
    <row r="495" hidden="1">
      <c r="A495" s="11" t="s">
        <v>210</v>
      </c>
      <c r="B495" s="11" t="s">
        <v>45</v>
      </c>
      <c r="C495" s="11" t="s">
        <v>45</v>
      </c>
      <c r="D495" s="11" t="s">
        <v>1960</v>
      </c>
      <c r="E495" s="11" t="s">
        <v>1961</v>
      </c>
      <c r="F495" s="11" t="s">
        <v>228</v>
      </c>
      <c r="G495" s="11">
        <v>11.04</v>
      </c>
      <c r="H495" s="11" t="s">
        <v>40</v>
      </c>
      <c r="I495" s="12">
        <v>3100.0</v>
      </c>
      <c r="J495" s="12">
        <v>4050.0</v>
      </c>
      <c r="K495" s="12">
        <v>3750.0</v>
      </c>
      <c r="L495" s="11" t="s">
        <v>1962</v>
      </c>
      <c r="M495" s="11" t="s">
        <v>1963</v>
      </c>
      <c r="N495" s="11" t="s">
        <v>903</v>
      </c>
      <c r="O495" s="11" t="s">
        <v>213</v>
      </c>
      <c r="P495" s="11" t="s">
        <v>63</v>
      </c>
      <c r="Q495" s="13" t="str">
        <f>IFERROR(VLOOKUP(E495,'SF Churn Data'!E:R,14,0),"")</f>
        <v/>
      </c>
    </row>
    <row r="496" hidden="1">
      <c r="A496" s="11" t="s">
        <v>210</v>
      </c>
      <c r="B496" s="11" t="s">
        <v>44</v>
      </c>
      <c r="C496" s="11" t="s">
        <v>133</v>
      </c>
      <c r="D496" s="11" t="s">
        <v>1964</v>
      </c>
      <c r="E496" s="11" t="s">
        <v>1965</v>
      </c>
      <c r="F496" s="11" t="s">
        <v>228</v>
      </c>
      <c r="G496" s="11">
        <v>13.02</v>
      </c>
      <c r="H496" s="11" t="s">
        <v>56</v>
      </c>
      <c r="I496" s="12">
        <v>5250.0</v>
      </c>
      <c r="J496" s="12">
        <v>6850.0</v>
      </c>
      <c r="K496" s="11">
        <v>6300.0</v>
      </c>
      <c r="L496" s="11" t="s">
        <v>1966</v>
      </c>
      <c r="M496" s="11" t="s">
        <v>1967</v>
      </c>
      <c r="N496" s="11" t="s">
        <v>903</v>
      </c>
      <c r="O496" s="11" t="s">
        <v>213</v>
      </c>
      <c r="P496" s="11" t="s">
        <v>63</v>
      </c>
      <c r="Q496" s="13" t="str">
        <f>IFERROR(VLOOKUP(E496,'SF Churn Data'!E:R,14,0),"")</f>
        <v/>
      </c>
    </row>
    <row r="497" hidden="1">
      <c r="A497" s="11" t="s">
        <v>225</v>
      </c>
      <c r="B497" s="11" t="s">
        <v>44</v>
      </c>
      <c r="C497" s="11" t="s">
        <v>53</v>
      </c>
      <c r="D497" s="11" t="s">
        <v>1968</v>
      </c>
      <c r="E497" s="11" t="s">
        <v>1969</v>
      </c>
      <c r="F497" s="11" t="s">
        <v>228</v>
      </c>
      <c r="G497" s="11">
        <v>16.6</v>
      </c>
      <c r="H497" s="11" t="s">
        <v>120</v>
      </c>
      <c r="I497" s="12">
        <v>5700.0</v>
      </c>
      <c r="J497" s="12">
        <v>7450.0</v>
      </c>
      <c r="K497" s="12">
        <v>6600.0</v>
      </c>
      <c r="L497" s="11" t="s">
        <v>1970</v>
      </c>
      <c r="M497" s="11" t="s">
        <v>1971</v>
      </c>
      <c r="N497" s="11" t="s">
        <v>903</v>
      </c>
      <c r="O497" s="11" t="s">
        <v>161</v>
      </c>
      <c r="P497" s="11" t="s">
        <v>162</v>
      </c>
      <c r="Q497" s="13" t="str">
        <f>IFERROR(VLOOKUP(E497,'SF Churn Data'!E:R,14,0),"")</f>
        <v/>
      </c>
    </row>
    <row r="498" hidden="1">
      <c r="A498" s="11" t="s">
        <v>35</v>
      </c>
      <c r="B498" s="11" t="s">
        <v>44</v>
      </c>
      <c r="C498" s="11" t="s">
        <v>53</v>
      </c>
      <c r="D498" s="11" t="s">
        <v>1972</v>
      </c>
      <c r="E498" s="11" t="s">
        <v>1973</v>
      </c>
      <c r="F498" s="11" t="s">
        <v>228</v>
      </c>
      <c r="G498" s="11">
        <v>17.91</v>
      </c>
      <c r="H498" s="11" t="s">
        <v>120</v>
      </c>
      <c r="I498" s="12">
        <v>6230.0</v>
      </c>
      <c r="J498" s="12">
        <v>8450.0</v>
      </c>
      <c r="K498" s="11">
        <v>7500.0</v>
      </c>
      <c r="L498" s="11" t="s">
        <v>1974</v>
      </c>
      <c r="M498" s="11" t="s">
        <v>1975</v>
      </c>
      <c r="N498" s="11" t="s">
        <v>240</v>
      </c>
      <c r="O498" s="11" t="s">
        <v>41</v>
      </c>
      <c r="P498" s="11" t="s">
        <v>42</v>
      </c>
      <c r="Q498" s="13" t="str">
        <f>IFERROR(VLOOKUP(E498,'SF Churn Data'!E:R,14,0),"")</f>
        <v/>
      </c>
    </row>
    <row r="499" hidden="1">
      <c r="A499" s="11" t="s">
        <v>364</v>
      </c>
      <c r="B499" s="11" t="s">
        <v>44</v>
      </c>
      <c r="C499" s="11" t="s">
        <v>151</v>
      </c>
      <c r="D499" s="11" t="s">
        <v>1976</v>
      </c>
      <c r="E499" s="11" t="s">
        <v>1977</v>
      </c>
      <c r="F499" s="11" t="s">
        <v>228</v>
      </c>
      <c r="G499" s="11">
        <v>26.17</v>
      </c>
      <c r="H499" s="11" t="s">
        <v>168</v>
      </c>
      <c r="I499" s="12">
        <v>5850.0</v>
      </c>
      <c r="J499" s="12">
        <v>5850.0</v>
      </c>
      <c r="K499" s="11">
        <v>7050.0</v>
      </c>
      <c r="L499" s="11" t="s">
        <v>1978</v>
      </c>
      <c r="M499" s="11" t="s">
        <v>1979</v>
      </c>
      <c r="N499" s="11" t="s">
        <v>1980</v>
      </c>
      <c r="O499" s="11" t="s">
        <v>41</v>
      </c>
      <c r="P499" s="11" t="s">
        <v>369</v>
      </c>
      <c r="Q499" s="13" t="str">
        <f>IFERROR(VLOOKUP(E499,'SF Churn Data'!E:R,14,0),"")</f>
        <v/>
      </c>
    </row>
    <row r="500" hidden="1">
      <c r="A500" s="11" t="s">
        <v>154</v>
      </c>
      <c r="B500" s="11" t="s">
        <v>44</v>
      </c>
      <c r="C500" s="11" t="s">
        <v>64</v>
      </c>
      <c r="D500" s="11" t="s">
        <v>1981</v>
      </c>
      <c r="E500" s="11" t="s">
        <v>1982</v>
      </c>
      <c r="F500" s="11" t="s">
        <v>228</v>
      </c>
      <c r="G500" s="11">
        <v>18.0</v>
      </c>
      <c r="H500" s="11" t="s">
        <v>56</v>
      </c>
      <c r="I500" s="12">
        <v>5731.0</v>
      </c>
      <c r="J500" s="12">
        <v>8050.0</v>
      </c>
      <c r="K500" s="11">
        <v>6900.0</v>
      </c>
      <c r="L500" s="11" t="s">
        <v>1983</v>
      </c>
      <c r="M500" s="11" t="s">
        <v>1984</v>
      </c>
      <c r="N500" s="11" t="s">
        <v>240</v>
      </c>
      <c r="O500" s="11" t="s">
        <v>151</v>
      </c>
      <c r="P500" s="11" t="s">
        <v>157</v>
      </c>
      <c r="Q500" s="13" t="str">
        <f>IFERROR(VLOOKUP(E500,'SF Churn Data'!E:R,14,0),"")</f>
        <v/>
      </c>
    </row>
    <row r="501" hidden="1">
      <c r="A501" s="11" t="s">
        <v>1596</v>
      </c>
      <c r="B501" s="11" t="s">
        <v>44</v>
      </c>
      <c r="C501" s="11" t="s">
        <v>76</v>
      </c>
      <c r="D501" s="11" t="s">
        <v>1985</v>
      </c>
      <c r="E501" s="11" t="s">
        <v>1986</v>
      </c>
      <c r="F501" s="11" t="s">
        <v>228</v>
      </c>
      <c r="G501" s="11">
        <v>21.45</v>
      </c>
      <c r="H501" s="11" t="s">
        <v>120</v>
      </c>
      <c r="I501" s="12">
        <v>4576.0</v>
      </c>
      <c r="J501" s="12">
        <v>4850.0</v>
      </c>
      <c r="K501" s="11"/>
      <c r="L501" s="11" t="s">
        <v>1987</v>
      </c>
      <c r="M501" s="11" t="s">
        <v>1988</v>
      </c>
      <c r="N501" s="11" t="s">
        <v>131</v>
      </c>
      <c r="O501" s="11" t="s">
        <v>41</v>
      </c>
      <c r="P501" s="11" t="s">
        <v>162</v>
      </c>
      <c r="Q501" s="13" t="str">
        <f>IFERROR(VLOOKUP(E501,'SF Churn Data'!E:R,14,0),"")</f>
        <v/>
      </c>
    </row>
    <row r="502" hidden="1">
      <c r="A502" s="11" t="s">
        <v>1596</v>
      </c>
      <c r="B502" s="11" t="s">
        <v>44</v>
      </c>
      <c r="C502" s="11" t="s">
        <v>151</v>
      </c>
      <c r="D502" s="11" t="s">
        <v>1989</v>
      </c>
      <c r="E502" s="11" t="s">
        <v>1990</v>
      </c>
      <c r="F502" s="11" t="s">
        <v>228</v>
      </c>
      <c r="G502" s="11">
        <v>25.48</v>
      </c>
      <c r="H502" s="11" t="s">
        <v>168</v>
      </c>
      <c r="I502" s="12">
        <v>5096.0</v>
      </c>
      <c r="J502" s="12">
        <v>5400.0</v>
      </c>
      <c r="K502" s="12"/>
      <c r="L502" s="11" t="s">
        <v>1991</v>
      </c>
      <c r="M502" s="11" t="s">
        <v>1992</v>
      </c>
      <c r="N502" s="11" t="s">
        <v>131</v>
      </c>
      <c r="O502" s="11" t="s">
        <v>41</v>
      </c>
      <c r="P502" s="11" t="s">
        <v>162</v>
      </c>
      <c r="Q502" s="13" t="str">
        <f>IFERROR(VLOOKUP(E502,'SF Churn Data'!E:R,14,0),"")</f>
        <v/>
      </c>
    </row>
    <row r="503" hidden="1">
      <c r="A503" s="11" t="s">
        <v>1596</v>
      </c>
      <c r="B503" s="11" t="s">
        <v>44</v>
      </c>
      <c r="C503" s="11" t="s">
        <v>423</v>
      </c>
      <c r="D503" s="11" t="s">
        <v>1993</v>
      </c>
      <c r="E503" s="11" t="s">
        <v>1994</v>
      </c>
      <c r="F503" s="11" t="s">
        <v>228</v>
      </c>
      <c r="G503" s="11">
        <v>29.28</v>
      </c>
      <c r="H503" s="11" t="s">
        <v>168</v>
      </c>
      <c r="I503" s="12">
        <v>5408.0</v>
      </c>
      <c r="J503" s="12">
        <v>5700.0</v>
      </c>
      <c r="K503" s="11"/>
      <c r="L503" s="11" t="s">
        <v>1995</v>
      </c>
      <c r="M503" s="11" t="s">
        <v>1996</v>
      </c>
      <c r="N503" s="11" t="s">
        <v>131</v>
      </c>
      <c r="O503" s="11" t="s">
        <v>83</v>
      </c>
      <c r="P503" s="11" t="s">
        <v>162</v>
      </c>
      <c r="Q503" s="13" t="str">
        <f>IFERROR(VLOOKUP(E503,'SF Churn Data'!E:R,14,0),"")</f>
        <v/>
      </c>
    </row>
    <row r="504" hidden="1">
      <c r="A504" s="11" t="s">
        <v>1596</v>
      </c>
      <c r="B504" s="11" t="s">
        <v>44</v>
      </c>
      <c r="C504" s="11" t="s">
        <v>76</v>
      </c>
      <c r="D504" s="11" t="s">
        <v>1997</v>
      </c>
      <c r="E504" s="11" t="s">
        <v>1998</v>
      </c>
      <c r="F504" s="11" t="s">
        <v>228</v>
      </c>
      <c r="G504" s="11">
        <v>20.93</v>
      </c>
      <c r="H504" s="11" t="s">
        <v>120</v>
      </c>
      <c r="I504" s="12">
        <v>4576.0</v>
      </c>
      <c r="J504" s="12">
        <v>4850.0</v>
      </c>
      <c r="K504" s="11"/>
      <c r="L504" s="11" t="s">
        <v>1999</v>
      </c>
      <c r="M504" s="11" t="s">
        <v>2000</v>
      </c>
      <c r="N504" s="11" t="s">
        <v>131</v>
      </c>
      <c r="O504" s="11" t="s">
        <v>57</v>
      </c>
      <c r="P504" s="11" t="s">
        <v>162</v>
      </c>
      <c r="Q504" s="13" t="str">
        <f>IFERROR(VLOOKUP(E504,'SF Churn Data'!E:R,14,0),"")</f>
        <v/>
      </c>
    </row>
    <row r="505" hidden="1">
      <c r="A505" s="11" t="s">
        <v>1596</v>
      </c>
      <c r="B505" s="11" t="s">
        <v>44</v>
      </c>
      <c r="C505" s="11" t="s">
        <v>1239</v>
      </c>
      <c r="D505" s="11" t="s">
        <v>2001</v>
      </c>
      <c r="E505" s="11" t="s">
        <v>2002</v>
      </c>
      <c r="F505" s="11" t="s">
        <v>228</v>
      </c>
      <c r="G505" s="11">
        <v>42.02</v>
      </c>
      <c r="H505" s="11" t="s">
        <v>168</v>
      </c>
      <c r="I505" s="12">
        <v>6938.0</v>
      </c>
      <c r="J505" s="12">
        <v>7300.0</v>
      </c>
      <c r="K505" s="12"/>
      <c r="L505" s="11" t="s">
        <v>2003</v>
      </c>
      <c r="M505" s="11" t="s">
        <v>2004</v>
      </c>
      <c r="N505" s="11" t="s">
        <v>131</v>
      </c>
      <c r="O505" s="11" t="s">
        <v>83</v>
      </c>
      <c r="P505" s="11" t="s">
        <v>162</v>
      </c>
      <c r="Q505" s="13" t="str">
        <f>IFERROR(VLOOKUP(E505,'SF Churn Data'!E:R,14,0),"")</f>
        <v/>
      </c>
    </row>
    <row r="506" hidden="1">
      <c r="A506" s="11" t="s">
        <v>1596</v>
      </c>
      <c r="B506" s="11" t="s">
        <v>44</v>
      </c>
      <c r="C506" s="11" t="s">
        <v>76</v>
      </c>
      <c r="D506" s="11" t="s">
        <v>2005</v>
      </c>
      <c r="E506" s="11" t="s">
        <v>2006</v>
      </c>
      <c r="F506" s="11" t="s">
        <v>228</v>
      </c>
      <c r="G506" s="11">
        <v>20.93</v>
      </c>
      <c r="H506" s="11" t="s">
        <v>120</v>
      </c>
      <c r="I506" s="12">
        <v>4576.0</v>
      </c>
      <c r="J506" s="12">
        <v>4850.0</v>
      </c>
      <c r="K506" s="12"/>
      <c r="L506" s="11" t="s">
        <v>2007</v>
      </c>
      <c r="M506" s="11" t="s">
        <v>2008</v>
      </c>
      <c r="N506" s="11" t="s">
        <v>131</v>
      </c>
      <c r="O506" s="11" t="s">
        <v>41</v>
      </c>
      <c r="P506" s="11" t="s">
        <v>162</v>
      </c>
      <c r="Q506" s="13" t="str">
        <f>IFERROR(VLOOKUP(E506,'SF Churn Data'!E:R,14,0),"")</f>
        <v/>
      </c>
    </row>
    <row r="507" hidden="1">
      <c r="A507" s="11" t="s">
        <v>282</v>
      </c>
      <c r="B507" s="11" t="s">
        <v>45</v>
      </c>
      <c r="C507" s="11" t="s">
        <v>45</v>
      </c>
      <c r="D507" s="11" t="s">
        <v>2009</v>
      </c>
      <c r="E507" s="11" t="s">
        <v>2010</v>
      </c>
      <c r="F507" s="11" t="s">
        <v>228</v>
      </c>
      <c r="G507" s="11">
        <v>11.1</v>
      </c>
      <c r="H507" s="11" t="s">
        <v>45</v>
      </c>
      <c r="I507" s="12">
        <v>2838.0</v>
      </c>
      <c r="J507" s="12">
        <v>3450.0</v>
      </c>
      <c r="K507" s="12">
        <v>3450.0</v>
      </c>
      <c r="L507" s="11" t="s">
        <v>2011</v>
      </c>
      <c r="M507" s="11" t="s">
        <v>2012</v>
      </c>
      <c r="N507" s="11" t="s">
        <v>143</v>
      </c>
      <c r="O507" s="11" t="s">
        <v>57</v>
      </c>
      <c r="P507" s="11" t="s">
        <v>63</v>
      </c>
      <c r="Q507" s="13" t="str">
        <f>IFERROR(VLOOKUP(E507,'SF Churn Data'!E:R,14,0),"")</f>
        <v/>
      </c>
    </row>
    <row r="508" hidden="1">
      <c r="A508" s="11" t="s">
        <v>216</v>
      </c>
      <c r="B508" s="11" t="s">
        <v>44</v>
      </c>
      <c r="C508" s="11" t="s">
        <v>113</v>
      </c>
      <c r="D508" s="11" t="s">
        <v>2013</v>
      </c>
      <c r="E508" s="11" t="s">
        <v>2014</v>
      </c>
      <c r="F508" s="11" t="s">
        <v>228</v>
      </c>
      <c r="G508" s="11">
        <v>9.94</v>
      </c>
      <c r="H508" s="11" t="s">
        <v>116</v>
      </c>
      <c r="I508" s="12">
        <v>4173.0</v>
      </c>
      <c r="J508" s="12">
        <v>5850.0</v>
      </c>
      <c r="K508" s="12">
        <v>5050.0</v>
      </c>
      <c r="L508" s="11" t="s">
        <v>2015</v>
      </c>
      <c r="M508" s="11" t="s">
        <v>2016</v>
      </c>
      <c r="N508" s="11" t="s">
        <v>363</v>
      </c>
      <c r="O508" s="11" t="s">
        <v>41</v>
      </c>
      <c r="P508" s="11" t="s">
        <v>42</v>
      </c>
      <c r="Q508" s="13" t="str">
        <f>IFERROR(VLOOKUP(E508,'SF Churn Data'!E:R,14,0),"")</f>
        <v/>
      </c>
    </row>
    <row r="509" hidden="1">
      <c r="A509" s="11" t="s">
        <v>216</v>
      </c>
      <c r="B509" s="11" t="s">
        <v>44</v>
      </c>
      <c r="C509" s="11" t="s">
        <v>133</v>
      </c>
      <c r="D509" s="11" t="s">
        <v>2017</v>
      </c>
      <c r="E509" s="11" t="s">
        <v>2018</v>
      </c>
      <c r="F509" s="11" t="s">
        <v>228</v>
      </c>
      <c r="G509" s="11">
        <v>11.89</v>
      </c>
      <c r="H509" s="11" t="s">
        <v>56</v>
      </c>
      <c r="I509" s="12">
        <v>4684.0</v>
      </c>
      <c r="J509" s="12">
        <v>6600.0</v>
      </c>
      <c r="K509" s="12">
        <v>5650.0</v>
      </c>
      <c r="L509" s="11" t="s">
        <v>2019</v>
      </c>
      <c r="M509" s="11" t="s">
        <v>2020</v>
      </c>
      <c r="N509" s="11" t="s">
        <v>403</v>
      </c>
      <c r="O509" s="11" t="s">
        <v>57</v>
      </c>
      <c r="P509" s="11" t="s">
        <v>42</v>
      </c>
      <c r="Q509" s="13" t="str">
        <f>IFERROR(VLOOKUP(E509,'SF Churn Data'!E:R,14,0),"")</f>
        <v/>
      </c>
    </row>
    <row r="510" hidden="1">
      <c r="A510" s="11" t="s">
        <v>35</v>
      </c>
      <c r="B510" s="11" t="s">
        <v>44</v>
      </c>
      <c r="C510" s="11" t="s">
        <v>64</v>
      </c>
      <c r="D510" s="11" t="s">
        <v>2021</v>
      </c>
      <c r="E510" s="11" t="s">
        <v>2022</v>
      </c>
      <c r="F510" s="11" t="s">
        <v>228</v>
      </c>
      <c r="G510" s="11">
        <v>19.15</v>
      </c>
      <c r="H510" s="11" t="s">
        <v>120</v>
      </c>
      <c r="I510" s="12">
        <v>6648.0</v>
      </c>
      <c r="J510" s="12">
        <v>9000.0</v>
      </c>
      <c r="K510" s="12">
        <v>8000.0</v>
      </c>
      <c r="L510" s="11" t="s">
        <v>2023</v>
      </c>
      <c r="M510" s="11" t="s">
        <v>2024</v>
      </c>
      <c r="N510" s="11" t="s">
        <v>403</v>
      </c>
      <c r="O510" s="11" t="s">
        <v>41</v>
      </c>
      <c r="P510" s="11" t="s">
        <v>42</v>
      </c>
      <c r="Q510" s="13" t="str">
        <f>IFERROR(VLOOKUP(E510,'SF Churn Data'!E:R,14,0),"")</f>
        <v/>
      </c>
    </row>
    <row r="511" hidden="1">
      <c r="A511" s="11" t="s">
        <v>216</v>
      </c>
      <c r="B511" s="11" t="s">
        <v>44</v>
      </c>
      <c r="C511" s="11" t="s">
        <v>53</v>
      </c>
      <c r="D511" s="11" t="s">
        <v>2025</v>
      </c>
      <c r="E511" s="11" t="s">
        <v>2026</v>
      </c>
      <c r="F511" s="11" t="s">
        <v>228</v>
      </c>
      <c r="G511" s="11">
        <v>16.07</v>
      </c>
      <c r="H511" s="11" t="s">
        <v>120</v>
      </c>
      <c r="I511" s="12">
        <v>5494.0</v>
      </c>
      <c r="J511" s="12">
        <v>7700.0</v>
      </c>
      <c r="K511" s="12">
        <v>6600.0</v>
      </c>
      <c r="L511" s="11" t="s">
        <v>2027</v>
      </c>
      <c r="M511" s="11" t="s">
        <v>1182</v>
      </c>
      <c r="N511" s="11" t="s">
        <v>240</v>
      </c>
      <c r="O511" s="11" t="s">
        <v>57</v>
      </c>
      <c r="P511" s="11" t="s">
        <v>42</v>
      </c>
      <c r="Q511" s="13" t="str">
        <f>IFERROR(VLOOKUP(E511,'SF Churn Data'!E:R,14,0),"")</f>
        <v/>
      </c>
    </row>
    <row r="512" hidden="1">
      <c r="A512" s="11" t="s">
        <v>148</v>
      </c>
      <c r="B512" s="11" t="s">
        <v>44</v>
      </c>
      <c r="C512" s="11" t="s">
        <v>53</v>
      </c>
      <c r="D512" s="11" t="s">
        <v>2028</v>
      </c>
      <c r="E512" s="11" t="s">
        <v>2029</v>
      </c>
      <c r="F512" s="11" t="s">
        <v>228</v>
      </c>
      <c r="G512" s="11">
        <v>16.2</v>
      </c>
      <c r="H512" s="11" t="s">
        <v>56</v>
      </c>
      <c r="I512" s="12">
        <v>6678.0</v>
      </c>
      <c r="J512" s="12">
        <v>6700.0</v>
      </c>
      <c r="K512" s="12">
        <v>8050.0</v>
      </c>
      <c r="L512" s="11" t="s">
        <v>2030</v>
      </c>
      <c r="M512" s="11" t="s">
        <v>2031</v>
      </c>
      <c r="N512" s="11" t="s">
        <v>403</v>
      </c>
      <c r="O512" s="11" t="s">
        <v>151</v>
      </c>
      <c r="P512" s="11" t="s">
        <v>48</v>
      </c>
      <c r="Q512" s="13" t="str">
        <f>IFERROR(VLOOKUP(E512,'SF Churn Data'!E:R,14,0),"")</f>
        <v/>
      </c>
    </row>
    <row r="513" hidden="1">
      <c r="A513" s="11" t="s">
        <v>148</v>
      </c>
      <c r="B513" s="11" t="s">
        <v>44</v>
      </c>
      <c r="C513" s="11" t="s">
        <v>76</v>
      </c>
      <c r="D513" s="11" t="s">
        <v>2032</v>
      </c>
      <c r="E513" s="11" t="s">
        <v>2033</v>
      </c>
      <c r="F513" s="11" t="s">
        <v>228</v>
      </c>
      <c r="G513" s="11">
        <v>21.6</v>
      </c>
      <c r="H513" s="11" t="s">
        <v>56</v>
      </c>
      <c r="I513" s="12">
        <v>8349.0</v>
      </c>
      <c r="J513" s="12">
        <v>8350.0</v>
      </c>
      <c r="K513" s="11">
        <v>10050.0</v>
      </c>
      <c r="L513" s="11" t="s">
        <v>2034</v>
      </c>
      <c r="M513" s="11" t="s">
        <v>2035</v>
      </c>
      <c r="N513" s="11" t="s">
        <v>403</v>
      </c>
      <c r="O513" s="11" t="s">
        <v>151</v>
      </c>
      <c r="P513" s="11" t="s">
        <v>48</v>
      </c>
      <c r="Q513" s="13" t="str">
        <f>IFERROR(VLOOKUP(E513,'SF Churn Data'!E:R,14,0),"")</f>
        <v/>
      </c>
    </row>
    <row r="514" hidden="1">
      <c r="A514" s="11" t="s">
        <v>216</v>
      </c>
      <c r="B514" s="11" t="s">
        <v>44</v>
      </c>
      <c r="C514" s="11" t="s">
        <v>133</v>
      </c>
      <c r="D514" s="11" t="s">
        <v>2036</v>
      </c>
      <c r="E514" s="11" t="s">
        <v>2037</v>
      </c>
      <c r="F514" s="11" t="s">
        <v>228</v>
      </c>
      <c r="G514" s="11">
        <v>11.98</v>
      </c>
      <c r="H514" s="11" t="s">
        <v>56</v>
      </c>
      <c r="I514" s="12">
        <v>4684.0</v>
      </c>
      <c r="J514" s="12">
        <v>6600.0</v>
      </c>
      <c r="K514" s="12">
        <v>5650.0</v>
      </c>
      <c r="L514" s="11" t="s">
        <v>2038</v>
      </c>
      <c r="M514" s="11" t="s">
        <v>2039</v>
      </c>
      <c r="N514" s="11" t="s">
        <v>403</v>
      </c>
      <c r="O514" s="11" t="s">
        <v>57</v>
      </c>
      <c r="P514" s="11" t="s">
        <v>42</v>
      </c>
      <c r="Q514" s="13" t="str">
        <f>IFERROR(VLOOKUP(E514,'SF Churn Data'!E:R,14,0),"")</f>
        <v/>
      </c>
    </row>
    <row r="515" hidden="1">
      <c r="A515" s="11" t="s">
        <v>138</v>
      </c>
      <c r="B515" s="11" t="s">
        <v>44</v>
      </c>
      <c r="C515" s="11" t="s">
        <v>133</v>
      </c>
      <c r="D515" s="11" t="s">
        <v>2040</v>
      </c>
      <c r="E515" s="11" t="s">
        <v>2041</v>
      </c>
      <c r="F515" s="11" t="s">
        <v>228</v>
      </c>
      <c r="G515" s="11">
        <v>14.85</v>
      </c>
      <c r="H515" s="11" t="s">
        <v>56</v>
      </c>
      <c r="I515" s="12">
        <v>3113.0</v>
      </c>
      <c r="J515" s="12">
        <v>4550.0</v>
      </c>
      <c r="K515" s="12">
        <v>3800.0</v>
      </c>
      <c r="L515" s="11" t="s">
        <v>2042</v>
      </c>
      <c r="M515" s="11" t="s">
        <v>2031</v>
      </c>
      <c r="N515" s="11" t="s">
        <v>403</v>
      </c>
      <c r="O515" s="11" t="s">
        <v>57</v>
      </c>
      <c r="P515" s="11" t="s">
        <v>144</v>
      </c>
      <c r="Q515" s="13" t="str">
        <f>IFERROR(VLOOKUP(E515,'SF Churn Data'!E:R,14,0),"")</f>
        <v/>
      </c>
    </row>
    <row r="516" hidden="1">
      <c r="A516" s="11" t="s">
        <v>210</v>
      </c>
      <c r="B516" s="11" t="s">
        <v>44</v>
      </c>
      <c r="C516" s="11" t="s">
        <v>133</v>
      </c>
      <c r="D516" s="11" t="s">
        <v>2043</v>
      </c>
      <c r="E516" s="11" t="s">
        <v>2044</v>
      </c>
      <c r="F516" s="11" t="s">
        <v>228</v>
      </c>
      <c r="G516" s="11">
        <v>13.34</v>
      </c>
      <c r="H516" s="11" t="s">
        <v>56</v>
      </c>
      <c r="I516" s="12">
        <v>5250.0</v>
      </c>
      <c r="J516" s="12">
        <v>6850.0</v>
      </c>
      <c r="K516" s="12">
        <v>6300.0</v>
      </c>
      <c r="L516" s="11" t="s">
        <v>2045</v>
      </c>
      <c r="M516" s="11" t="s">
        <v>2046</v>
      </c>
      <c r="N516" s="11" t="s">
        <v>240</v>
      </c>
      <c r="O516" s="11" t="s">
        <v>57</v>
      </c>
      <c r="P516" s="11" t="s">
        <v>63</v>
      </c>
      <c r="Q516" s="13" t="str">
        <f>IFERROR(VLOOKUP(E516,'SF Churn Data'!E:R,14,0),"")</f>
        <v/>
      </c>
    </row>
    <row r="517" hidden="1">
      <c r="A517" s="11" t="s">
        <v>148</v>
      </c>
      <c r="B517" s="11" t="s">
        <v>44</v>
      </c>
      <c r="C517" s="11" t="s">
        <v>64</v>
      </c>
      <c r="D517" s="11" t="s">
        <v>2047</v>
      </c>
      <c r="E517" s="11" t="s">
        <v>2048</v>
      </c>
      <c r="F517" s="11" t="s">
        <v>228</v>
      </c>
      <c r="G517" s="11">
        <v>17.8</v>
      </c>
      <c r="H517" s="11" t="s">
        <v>56</v>
      </c>
      <c r="I517" s="12">
        <v>7096.0</v>
      </c>
      <c r="J517" s="12">
        <v>7100.0</v>
      </c>
      <c r="K517" s="12">
        <v>8550.0</v>
      </c>
      <c r="L517" s="11" t="s">
        <v>2049</v>
      </c>
      <c r="M517" s="11" t="s">
        <v>2050</v>
      </c>
      <c r="N517" s="11" t="s">
        <v>240</v>
      </c>
      <c r="O517" s="11" t="s">
        <v>151</v>
      </c>
      <c r="P517" s="11" t="s">
        <v>48</v>
      </c>
      <c r="Q517" s="13" t="str">
        <f>IFERROR(VLOOKUP(E517,'SF Churn Data'!E:R,14,0),"")</f>
        <v/>
      </c>
    </row>
    <row r="518" hidden="1">
      <c r="A518" s="11" t="s">
        <v>138</v>
      </c>
      <c r="B518" s="11" t="s">
        <v>45</v>
      </c>
      <c r="C518" s="11" t="s">
        <v>45</v>
      </c>
      <c r="D518" s="11" t="s">
        <v>2051</v>
      </c>
      <c r="E518" s="11" t="s">
        <v>2052</v>
      </c>
      <c r="F518" s="11" t="s">
        <v>228</v>
      </c>
      <c r="G518" s="11">
        <v>10.4</v>
      </c>
      <c r="H518" s="11" t="s">
        <v>45</v>
      </c>
      <c r="I518" s="12">
        <v>1652.0</v>
      </c>
      <c r="J518" s="12">
        <v>2400.0</v>
      </c>
      <c r="K518" s="12">
        <v>2050.0</v>
      </c>
      <c r="L518" s="11" t="s">
        <v>2053</v>
      </c>
      <c r="M518" s="11" t="s">
        <v>2054</v>
      </c>
      <c r="N518" s="11" t="s">
        <v>143</v>
      </c>
      <c r="O518" s="11" t="s">
        <v>41</v>
      </c>
      <c r="P518" s="11" t="s">
        <v>144</v>
      </c>
      <c r="Q518" s="13" t="str">
        <f>IFERROR(VLOOKUP(E518,'SF Churn Data'!E:R,14,0),"")</f>
        <v/>
      </c>
    </row>
    <row r="519" hidden="1">
      <c r="A519" s="11" t="s">
        <v>201</v>
      </c>
      <c r="B519" s="11" t="s">
        <v>44</v>
      </c>
      <c r="C519" s="11" t="s">
        <v>53</v>
      </c>
      <c r="D519" s="11" t="s">
        <v>2055</v>
      </c>
      <c r="E519" s="11" t="s">
        <v>2056</v>
      </c>
      <c r="F519" s="11" t="s">
        <v>228</v>
      </c>
      <c r="G519" s="11">
        <v>15.57</v>
      </c>
      <c r="H519" s="11" t="s">
        <v>56</v>
      </c>
      <c r="I519" s="12">
        <v>3050.0</v>
      </c>
      <c r="J519" s="12">
        <v>3700.0</v>
      </c>
      <c r="K519" s="11">
        <v>3700.0</v>
      </c>
      <c r="L519" s="11" t="s">
        <v>2057</v>
      </c>
      <c r="M519" s="11" t="s">
        <v>2058</v>
      </c>
      <c r="N519" s="11" t="s">
        <v>1980</v>
      </c>
      <c r="O519" s="11" t="s">
        <v>57</v>
      </c>
      <c r="P519" s="11"/>
      <c r="Q519" s="13" t="str">
        <f>IFERROR(VLOOKUP(E519,'SF Churn Data'!E:R,14,0),"")</f>
        <v/>
      </c>
    </row>
    <row r="520" hidden="1">
      <c r="A520" s="11" t="s">
        <v>1899</v>
      </c>
      <c r="B520" s="11" t="s">
        <v>44</v>
      </c>
      <c r="C520" s="11" t="s">
        <v>76</v>
      </c>
      <c r="D520" s="11" t="s">
        <v>2059</v>
      </c>
      <c r="E520" s="11" t="s">
        <v>2060</v>
      </c>
      <c r="F520" s="11" t="s">
        <v>228</v>
      </c>
      <c r="G520" s="11">
        <v>19.04</v>
      </c>
      <c r="H520" s="11" t="s">
        <v>120</v>
      </c>
      <c r="I520" s="12">
        <v>3799.0</v>
      </c>
      <c r="J520" s="12"/>
      <c r="K520" s="11"/>
      <c r="L520" s="11" t="s">
        <v>2061</v>
      </c>
      <c r="M520" s="11" t="s">
        <v>2062</v>
      </c>
      <c r="N520" s="11" t="s">
        <v>363</v>
      </c>
      <c r="O520" s="11" t="s">
        <v>41</v>
      </c>
      <c r="P520" s="11"/>
      <c r="Q520" s="13" t="str">
        <f>IFERROR(VLOOKUP(E520,'SF Churn Data'!E:R,14,0),"")</f>
        <v/>
      </c>
    </row>
    <row r="521" hidden="1">
      <c r="A521" s="11" t="s">
        <v>1899</v>
      </c>
      <c r="B521" s="11" t="s">
        <v>44</v>
      </c>
      <c r="C521" s="11" t="s">
        <v>53</v>
      </c>
      <c r="D521" s="11" t="s">
        <v>2063</v>
      </c>
      <c r="E521" s="11" t="s">
        <v>2064</v>
      </c>
      <c r="F521" s="11" t="s">
        <v>228</v>
      </c>
      <c r="G521" s="11">
        <v>15.02</v>
      </c>
      <c r="H521" s="11" t="s">
        <v>56</v>
      </c>
      <c r="I521" s="12">
        <v>3049.0</v>
      </c>
      <c r="J521" s="12"/>
      <c r="K521" s="12"/>
      <c r="L521" s="11" t="s">
        <v>2065</v>
      </c>
      <c r="M521" s="11" t="s">
        <v>2066</v>
      </c>
      <c r="N521" s="11" t="s">
        <v>363</v>
      </c>
      <c r="O521" s="11" t="s">
        <v>57</v>
      </c>
      <c r="P521" s="11"/>
      <c r="Q521" s="13" t="str">
        <f>IFERROR(VLOOKUP(E521,'SF Churn Data'!E:R,14,0),"")</f>
        <v/>
      </c>
    </row>
    <row r="522" hidden="1">
      <c r="A522" s="11" t="s">
        <v>1899</v>
      </c>
      <c r="B522" s="11" t="s">
        <v>44</v>
      </c>
      <c r="C522" s="11" t="s">
        <v>53</v>
      </c>
      <c r="D522" s="11" t="s">
        <v>2067</v>
      </c>
      <c r="E522" s="11" t="s">
        <v>2068</v>
      </c>
      <c r="F522" s="11" t="s">
        <v>228</v>
      </c>
      <c r="G522" s="11">
        <v>15.02</v>
      </c>
      <c r="H522" s="11" t="s">
        <v>56</v>
      </c>
      <c r="I522" s="12">
        <v>3049.0</v>
      </c>
      <c r="J522" s="12"/>
      <c r="K522" s="11"/>
      <c r="L522" s="11" t="s">
        <v>2069</v>
      </c>
      <c r="M522" s="11" t="s">
        <v>2070</v>
      </c>
      <c r="N522" s="11" t="s">
        <v>363</v>
      </c>
      <c r="O522" s="11" t="s">
        <v>41</v>
      </c>
      <c r="P522" s="11"/>
      <c r="Q522" s="13" t="str">
        <f>IFERROR(VLOOKUP(E522,'SF Churn Data'!E:R,14,0),"")</f>
        <v/>
      </c>
    </row>
    <row r="523" hidden="1">
      <c r="A523" s="11" t="s">
        <v>1899</v>
      </c>
      <c r="B523" s="11" t="s">
        <v>44</v>
      </c>
      <c r="C523" s="11" t="s">
        <v>53</v>
      </c>
      <c r="D523" s="11" t="s">
        <v>2071</v>
      </c>
      <c r="E523" s="11" t="s">
        <v>2072</v>
      </c>
      <c r="F523" s="11" t="s">
        <v>228</v>
      </c>
      <c r="G523" s="11">
        <v>15.29</v>
      </c>
      <c r="H523" s="11" t="s">
        <v>56</v>
      </c>
      <c r="I523" s="12">
        <v>3049.0</v>
      </c>
      <c r="J523" s="12"/>
      <c r="K523" s="11"/>
      <c r="L523" s="11" t="s">
        <v>2073</v>
      </c>
      <c r="M523" s="11" t="s">
        <v>2074</v>
      </c>
      <c r="N523" s="11" t="s">
        <v>363</v>
      </c>
      <c r="O523" s="11" t="s">
        <v>41</v>
      </c>
      <c r="P523" s="11"/>
      <c r="Q523" s="13" t="str">
        <f>IFERROR(VLOOKUP(E523,'SF Churn Data'!E:R,14,0),"")</f>
        <v/>
      </c>
    </row>
    <row r="524" hidden="1">
      <c r="A524" s="11" t="s">
        <v>1899</v>
      </c>
      <c r="B524" s="11" t="s">
        <v>44</v>
      </c>
      <c r="C524" s="11" t="s">
        <v>1781</v>
      </c>
      <c r="D524" s="11" t="s">
        <v>2075</v>
      </c>
      <c r="E524" s="11" t="s">
        <v>2076</v>
      </c>
      <c r="F524" s="11" t="s">
        <v>228</v>
      </c>
      <c r="G524" s="11">
        <v>35.04</v>
      </c>
      <c r="H524" s="11" t="s">
        <v>168</v>
      </c>
      <c r="I524" s="12">
        <v>4913.0</v>
      </c>
      <c r="J524" s="12"/>
      <c r="K524" s="11"/>
      <c r="L524" s="11" t="s">
        <v>2077</v>
      </c>
      <c r="M524" s="11" t="s">
        <v>2078</v>
      </c>
      <c r="N524" s="11" t="s">
        <v>363</v>
      </c>
      <c r="O524" s="11" t="s">
        <v>41</v>
      </c>
      <c r="P524" s="11"/>
      <c r="Q524" s="13" t="str">
        <f>IFERROR(VLOOKUP(E524,'SF Churn Data'!E:R,14,0),"")</f>
        <v/>
      </c>
    </row>
    <row r="525" hidden="1">
      <c r="A525" s="11" t="s">
        <v>1899</v>
      </c>
      <c r="B525" s="11" t="s">
        <v>44</v>
      </c>
      <c r="C525" s="11" t="s">
        <v>64</v>
      </c>
      <c r="D525" s="11" t="s">
        <v>2079</v>
      </c>
      <c r="E525" s="11" t="s">
        <v>2080</v>
      </c>
      <c r="F525" s="11" t="s">
        <v>228</v>
      </c>
      <c r="G525" s="11">
        <v>17.06</v>
      </c>
      <c r="H525" s="11" t="s">
        <v>120</v>
      </c>
      <c r="I525" s="12">
        <v>3401.0</v>
      </c>
      <c r="J525" s="12"/>
      <c r="K525" s="12"/>
      <c r="L525" s="11" t="s">
        <v>2081</v>
      </c>
      <c r="M525" s="11" t="s">
        <v>2082</v>
      </c>
      <c r="N525" s="11" t="s">
        <v>363</v>
      </c>
      <c r="O525" s="11" t="s">
        <v>41</v>
      </c>
      <c r="P525" s="11"/>
      <c r="Q525" s="13" t="str">
        <f>IFERROR(VLOOKUP(E525,'SF Churn Data'!E:R,14,0),"")</f>
        <v/>
      </c>
    </row>
    <row r="526" hidden="1">
      <c r="A526" s="11" t="s">
        <v>1899</v>
      </c>
      <c r="B526" s="11" t="s">
        <v>44</v>
      </c>
      <c r="C526" s="11" t="s">
        <v>1781</v>
      </c>
      <c r="D526" s="11" t="s">
        <v>2083</v>
      </c>
      <c r="E526" s="11" t="s">
        <v>2084</v>
      </c>
      <c r="F526" s="11" t="s">
        <v>228</v>
      </c>
      <c r="G526" s="11">
        <v>35.88</v>
      </c>
      <c r="H526" s="11" t="s">
        <v>168</v>
      </c>
      <c r="I526" s="12">
        <v>4913.0</v>
      </c>
      <c r="J526" s="12"/>
      <c r="K526" s="12"/>
      <c r="L526" s="11" t="s">
        <v>2085</v>
      </c>
      <c r="M526" s="11" t="s">
        <v>2086</v>
      </c>
      <c r="N526" s="11" t="s">
        <v>363</v>
      </c>
      <c r="O526" s="11" t="s">
        <v>57</v>
      </c>
      <c r="P526" s="11"/>
      <c r="Q526" s="13" t="str">
        <f>IFERROR(VLOOKUP(E526,'SF Churn Data'!E:R,14,0),"")</f>
        <v/>
      </c>
    </row>
    <row r="527" hidden="1">
      <c r="A527" s="11" t="s">
        <v>1899</v>
      </c>
      <c r="B527" s="11" t="s">
        <v>44</v>
      </c>
      <c r="C527" s="11" t="s">
        <v>53</v>
      </c>
      <c r="D527" s="11" t="s">
        <v>2087</v>
      </c>
      <c r="E527" s="11" t="s">
        <v>2088</v>
      </c>
      <c r="F527" s="11" t="s">
        <v>228</v>
      </c>
      <c r="G527" s="11">
        <v>15.01</v>
      </c>
      <c r="H527" s="11" t="s">
        <v>56</v>
      </c>
      <c r="I527" s="12">
        <v>3049.0</v>
      </c>
      <c r="J527" s="12"/>
      <c r="K527" s="11"/>
      <c r="L527" s="11" t="s">
        <v>2089</v>
      </c>
      <c r="M527" s="11" t="s">
        <v>2090</v>
      </c>
      <c r="N527" s="11" t="s">
        <v>363</v>
      </c>
      <c r="O527" s="11" t="s">
        <v>57</v>
      </c>
      <c r="P527" s="11"/>
      <c r="Q527" s="13" t="str">
        <f>IFERROR(VLOOKUP(E527,'SF Churn Data'!E:R,14,0),"")</f>
        <v/>
      </c>
    </row>
    <row r="528" hidden="1">
      <c r="A528" s="11" t="s">
        <v>1899</v>
      </c>
      <c r="B528" s="11" t="s">
        <v>44</v>
      </c>
      <c r="C528" s="11" t="s">
        <v>53</v>
      </c>
      <c r="D528" s="11" t="s">
        <v>2091</v>
      </c>
      <c r="E528" s="11" t="s">
        <v>2092</v>
      </c>
      <c r="F528" s="11" t="s">
        <v>228</v>
      </c>
      <c r="G528" s="11">
        <v>15.01</v>
      </c>
      <c r="H528" s="11" t="s">
        <v>56</v>
      </c>
      <c r="I528" s="12">
        <v>3049.0</v>
      </c>
      <c r="J528" s="12"/>
      <c r="K528" s="12"/>
      <c r="L528" s="11" t="s">
        <v>2093</v>
      </c>
      <c r="M528" s="11" t="s">
        <v>2094</v>
      </c>
      <c r="N528" s="11" t="s">
        <v>363</v>
      </c>
      <c r="O528" s="11" t="s">
        <v>41</v>
      </c>
      <c r="P528" s="11"/>
      <c r="Q528" s="13" t="str">
        <f>IFERROR(VLOOKUP(E528,'SF Churn Data'!E:R,14,0),"")</f>
        <v/>
      </c>
    </row>
    <row r="529" hidden="1">
      <c r="A529" s="11" t="s">
        <v>1899</v>
      </c>
      <c r="B529" s="11" t="s">
        <v>44</v>
      </c>
      <c r="C529" s="11" t="s">
        <v>37</v>
      </c>
      <c r="D529" s="11" t="s">
        <v>2095</v>
      </c>
      <c r="E529" s="11" t="s">
        <v>2096</v>
      </c>
      <c r="F529" s="11" t="s">
        <v>228</v>
      </c>
      <c r="G529" s="11">
        <v>48.02</v>
      </c>
      <c r="H529" s="11" t="s">
        <v>168</v>
      </c>
      <c r="I529" s="12">
        <v>6454.0</v>
      </c>
      <c r="J529" s="12"/>
      <c r="K529" s="11"/>
      <c r="L529" s="11" t="s">
        <v>2097</v>
      </c>
      <c r="M529" s="11" t="s">
        <v>2098</v>
      </c>
      <c r="N529" s="11" t="s">
        <v>363</v>
      </c>
      <c r="O529" s="11" t="s">
        <v>57</v>
      </c>
      <c r="P529" s="11"/>
      <c r="Q529" s="13" t="str">
        <f>IFERROR(VLOOKUP(E529,'SF Churn Data'!E:R,14,0),"")</f>
        <v/>
      </c>
    </row>
    <row r="530" hidden="1">
      <c r="A530" s="11" t="s">
        <v>1899</v>
      </c>
      <c r="B530" s="11" t="s">
        <v>44</v>
      </c>
      <c r="C530" s="11" t="s">
        <v>76</v>
      </c>
      <c r="D530" s="11" t="s">
        <v>2099</v>
      </c>
      <c r="E530" s="11" t="s">
        <v>2100</v>
      </c>
      <c r="F530" s="11" t="s">
        <v>228</v>
      </c>
      <c r="G530" s="11">
        <v>20.18</v>
      </c>
      <c r="H530" s="11" t="s">
        <v>120</v>
      </c>
      <c r="I530" s="12">
        <v>3799.0</v>
      </c>
      <c r="J530" s="12"/>
      <c r="K530" s="11"/>
      <c r="L530" s="11" t="s">
        <v>2101</v>
      </c>
      <c r="M530" s="11" t="s">
        <v>2102</v>
      </c>
      <c r="N530" s="11" t="s">
        <v>363</v>
      </c>
      <c r="O530" s="11" t="s">
        <v>57</v>
      </c>
      <c r="P530" s="11"/>
      <c r="Q530" s="13" t="str">
        <f>IFERROR(VLOOKUP(E530,'SF Churn Data'!E:R,14,0),"")</f>
        <v/>
      </c>
    </row>
    <row r="531" hidden="1">
      <c r="A531" s="11" t="s">
        <v>1899</v>
      </c>
      <c r="B531" s="11" t="s">
        <v>44</v>
      </c>
      <c r="C531" s="11" t="s">
        <v>53</v>
      </c>
      <c r="D531" s="11" t="s">
        <v>2103</v>
      </c>
      <c r="E531" s="11" t="s">
        <v>2104</v>
      </c>
      <c r="F531" s="11" t="s">
        <v>228</v>
      </c>
      <c r="G531" s="11">
        <v>15.02</v>
      </c>
      <c r="H531" s="11" t="s">
        <v>56</v>
      </c>
      <c r="I531" s="12">
        <v>3049.0</v>
      </c>
      <c r="J531" s="12"/>
      <c r="K531" s="12"/>
      <c r="L531" s="11" t="s">
        <v>2105</v>
      </c>
      <c r="M531" s="11" t="s">
        <v>2106</v>
      </c>
      <c r="N531" s="11" t="s">
        <v>363</v>
      </c>
      <c r="O531" s="11" t="s">
        <v>57</v>
      </c>
      <c r="P531" s="11"/>
      <c r="Q531" s="13" t="str">
        <f>IFERROR(VLOOKUP(E531,'SF Churn Data'!E:R,14,0),"")</f>
        <v/>
      </c>
    </row>
    <row r="532" hidden="1">
      <c r="A532" s="11" t="s">
        <v>1899</v>
      </c>
      <c r="B532" s="11" t="s">
        <v>44</v>
      </c>
      <c r="C532" s="11" t="s">
        <v>53</v>
      </c>
      <c r="D532" s="11" t="s">
        <v>2107</v>
      </c>
      <c r="E532" s="11" t="s">
        <v>2108</v>
      </c>
      <c r="F532" s="11" t="s">
        <v>228</v>
      </c>
      <c r="G532" s="11">
        <v>15.02</v>
      </c>
      <c r="H532" s="11" t="s">
        <v>56</v>
      </c>
      <c r="I532" s="12">
        <v>3049.0</v>
      </c>
      <c r="J532" s="12"/>
      <c r="K532" s="11"/>
      <c r="L532" s="11" t="s">
        <v>2109</v>
      </c>
      <c r="M532" s="11" t="s">
        <v>2110</v>
      </c>
      <c r="N532" s="11" t="s">
        <v>363</v>
      </c>
      <c r="O532" s="11" t="s">
        <v>57</v>
      </c>
      <c r="P532" s="11"/>
      <c r="Q532" s="13" t="str">
        <f>IFERROR(VLOOKUP(E532,'SF Churn Data'!E:R,14,0),"")</f>
        <v/>
      </c>
    </row>
    <row r="533" hidden="1">
      <c r="A533" s="11" t="s">
        <v>148</v>
      </c>
      <c r="B533" s="11" t="s">
        <v>45</v>
      </c>
      <c r="C533" s="11" t="s">
        <v>45</v>
      </c>
      <c r="D533" s="11" t="s">
        <v>2111</v>
      </c>
      <c r="E533" s="11" t="s">
        <v>2112</v>
      </c>
      <c r="F533" s="11" t="s">
        <v>228</v>
      </c>
      <c r="G533" s="11">
        <v>8.8</v>
      </c>
      <c r="H533" s="11" t="s">
        <v>45</v>
      </c>
      <c r="I533" s="12">
        <v>4171.0</v>
      </c>
      <c r="J533" s="12">
        <v>4200.0</v>
      </c>
      <c r="K533" s="11">
        <v>5050.0</v>
      </c>
      <c r="L533" s="11" t="s">
        <v>2113</v>
      </c>
      <c r="M533" s="11" t="s">
        <v>2114</v>
      </c>
      <c r="N533" s="11" t="s">
        <v>240</v>
      </c>
      <c r="O533" s="11" t="s">
        <v>57</v>
      </c>
      <c r="P533" s="11" t="s">
        <v>48</v>
      </c>
      <c r="Q533" s="13" t="str">
        <f>IFERROR(VLOOKUP(E533,'SF Churn Data'!E:R,14,0),"")</f>
        <v/>
      </c>
    </row>
    <row r="534" hidden="1">
      <c r="A534" s="11" t="s">
        <v>132</v>
      </c>
      <c r="B534" s="11" t="s">
        <v>44</v>
      </c>
      <c r="C534" s="11" t="s">
        <v>133</v>
      </c>
      <c r="D534" s="11" t="s">
        <v>2115</v>
      </c>
      <c r="E534" s="11" t="s">
        <v>2116</v>
      </c>
      <c r="F534" s="11" t="s">
        <v>228</v>
      </c>
      <c r="G534" s="11">
        <v>14.68</v>
      </c>
      <c r="H534" s="11" t="s">
        <v>62</v>
      </c>
      <c r="I534" s="12">
        <v>2975.44</v>
      </c>
      <c r="J534" s="12">
        <v>2400.0</v>
      </c>
      <c r="K534" s="12">
        <v>4500.0</v>
      </c>
      <c r="L534" s="11" t="s">
        <v>2117</v>
      </c>
      <c r="M534" s="11" t="s">
        <v>2118</v>
      </c>
      <c r="N534" s="11" t="s">
        <v>363</v>
      </c>
      <c r="O534" s="11" t="s">
        <v>57</v>
      </c>
      <c r="P534" s="11"/>
      <c r="Q534" s="13" t="str">
        <f>IFERROR(VLOOKUP(E534,'SF Churn Data'!E:R,14,0),"")</f>
        <v/>
      </c>
    </row>
    <row r="535" hidden="1">
      <c r="A535" s="11" t="s">
        <v>158</v>
      </c>
      <c r="B535" s="11" t="s">
        <v>44</v>
      </c>
      <c r="C535" s="11" t="s">
        <v>64</v>
      </c>
      <c r="D535" s="11" t="s">
        <v>2119</v>
      </c>
      <c r="E535" s="11" t="s">
        <v>2120</v>
      </c>
      <c r="F535" s="11" t="s">
        <v>228</v>
      </c>
      <c r="G535" s="11">
        <v>18.3</v>
      </c>
      <c r="H535" s="11" t="s">
        <v>120</v>
      </c>
      <c r="I535" s="12">
        <v>5516.0</v>
      </c>
      <c r="J535" s="12">
        <v>5550.0</v>
      </c>
      <c r="K535" s="12">
        <v>6700.0</v>
      </c>
      <c r="L535" s="11" t="s">
        <v>2121</v>
      </c>
      <c r="M535" s="11" t="s">
        <v>2122</v>
      </c>
      <c r="N535" s="11" t="s">
        <v>403</v>
      </c>
      <c r="O535" s="11" t="s">
        <v>161</v>
      </c>
      <c r="P535" s="11" t="s">
        <v>162</v>
      </c>
      <c r="Q535" s="13" t="str">
        <f>IFERROR(VLOOKUP(E535,'SF Churn Data'!E:R,14,0),"")</f>
        <v/>
      </c>
    </row>
    <row r="536" hidden="1">
      <c r="A536" s="11" t="s">
        <v>364</v>
      </c>
      <c r="B536" s="11" t="s">
        <v>44</v>
      </c>
      <c r="C536" s="11" t="s">
        <v>133</v>
      </c>
      <c r="D536" s="11" t="s">
        <v>2123</v>
      </c>
      <c r="E536" s="11" t="s">
        <v>2124</v>
      </c>
      <c r="F536" s="11" t="s">
        <v>228</v>
      </c>
      <c r="G536" s="11">
        <v>14.54</v>
      </c>
      <c r="H536" s="11" t="s">
        <v>56</v>
      </c>
      <c r="I536" s="12">
        <v>3750.0</v>
      </c>
      <c r="J536" s="12">
        <v>3750.0</v>
      </c>
      <c r="K536" s="12">
        <v>4500.0</v>
      </c>
      <c r="L536" s="11" t="s">
        <v>2125</v>
      </c>
      <c r="M536" s="11" t="s">
        <v>2126</v>
      </c>
      <c r="N536" s="11" t="s">
        <v>1980</v>
      </c>
      <c r="O536" s="11" t="s">
        <v>41</v>
      </c>
      <c r="P536" s="11" t="s">
        <v>369</v>
      </c>
      <c r="Q536" s="13" t="str">
        <f>IFERROR(VLOOKUP(E536,'SF Churn Data'!E:R,14,0),"")</f>
        <v/>
      </c>
    </row>
    <row r="537" hidden="1">
      <c r="A537" s="11" t="s">
        <v>210</v>
      </c>
      <c r="B537" s="11" t="s">
        <v>45</v>
      </c>
      <c r="C537" s="11" t="s">
        <v>45</v>
      </c>
      <c r="D537" s="11" t="s">
        <v>2127</v>
      </c>
      <c r="E537" s="11" t="s">
        <v>2128</v>
      </c>
      <c r="F537" s="11" t="s">
        <v>228</v>
      </c>
      <c r="G537" s="11">
        <v>11.47</v>
      </c>
      <c r="H537" s="11" t="s">
        <v>40</v>
      </c>
      <c r="I537" s="12">
        <v>3100.0</v>
      </c>
      <c r="J537" s="12">
        <v>4050.0</v>
      </c>
      <c r="K537" s="11">
        <v>3750.0</v>
      </c>
      <c r="L537" s="11" t="s">
        <v>2129</v>
      </c>
      <c r="M537" s="11" t="s">
        <v>2130</v>
      </c>
      <c r="N537" s="11" t="s">
        <v>143</v>
      </c>
      <c r="O537" s="11" t="s">
        <v>57</v>
      </c>
      <c r="P537" s="11" t="s">
        <v>63</v>
      </c>
      <c r="Q537" s="13" t="str">
        <f>IFERROR(VLOOKUP(E537,'SF Churn Data'!E:R,14,0),"")</f>
        <v/>
      </c>
    </row>
    <row r="538" hidden="1">
      <c r="A538" s="11" t="s">
        <v>1029</v>
      </c>
      <c r="B538" s="11" t="s">
        <v>44</v>
      </c>
      <c r="C538" s="11" t="s">
        <v>53</v>
      </c>
      <c r="D538" s="11" t="s">
        <v>2131</v>
      </c>
      <c r="E538" s="11" t="s">
        <v>2132</v>
      </c>
      <c r="F538" s="11" t="s">
        <v>228</v>
      </c>
      <c r="G538" s="11">
        <v>15.36</v>
      </c>
      <c r="H538" s="11" t="s">
        <v>56</v>
      </c>
      <c r="I538" s="12">
        <v>450.0</v>
      </c>
      <c r="J538" s="12">
        <v>360.0</v>
      </c>
      <c r="K538" s="11"/>
      <c r="L538" s="11" t="s">
        <v>2133</v>
      </c>
      <c r="M538" s="11" t="s">
        <v>2134</v>
      </c>
      <c r="N538" s="11" t="s">
        <v>1034</v>
      </c>
      <c r="O538" s="11" t="s">
        <v>83</v>
      </c>
      <c r="P538" s="11"/>
      <c r="Q538" s="13" t="str">
        <f>IFERROR(VLOOKUP(E538,'SF Churn Data'!E:R,14,0),"")</f>
        <v/>
      </c>
    </row>
    <row r="539" hidden="1">
      <c r="A539" s="11" t="s">
        <v>1029</v>
      </c>
      <c r="B539" s="11" t="s">
        <v>44</v>
      </c>
      <c r="C539" s="11" t="s">
        <v>53</v>
      </c>
      <c r="D539" s="11" t="s">
        <v>2135</v>
      </c>
      <c r="E539" s="11" t="s">
        <v>2136</v>
      </c>
      <c r="F539" s="11" t="s">
        <v>228</v>
      </c>
      <c r="G539" s="11">
        <v>15.88</v>
      </c>
      <c r="H539" s="11" t="s">
        <v>56</v>
      </c>
      <c r="I539" s="12">
        <v>450.0</v>
      </c>
      <c r="J539" s="12">
        <v>360.0</v>
      </c>
      <c r="K539" s="12"/>
      <c r="L539" s="11" t="s">
        <v>2137</v>
      </c>
      <c r="M539" s="11" t="s">
        <v>2138</v>
      </c>
      <c r="N539" s="11" t="s">
        <v>1034</v>
      </c>
      <c r="O539" s="11" t="s">
        <v>83</v>
      </c>
      <c r="P539" s="11"/>
      <c r="Q539" s="13" t="str">
        <f>IFERROR(VLOOKUP(E539,'SF Churn Data'!E:R,14,0),"")</f>
        <v/>
      </c>
    </row>
    <row r="540" hidden="1">
      <c r="A540" s="11" t="s">
        <v>1029</v>
      </c>
      <c r="B540" s="11" t="s">
        <v>44</v>
      </c>
      <c r="C540" s="11" t="s">
        <v>64</v>
      </c>
      <c r="D540" s="11" t="s">
        <v>2139</v>
      </c>
      <c r="E540" s="11" t="s">
        <v>2140</v>
      </c>
      <c r="F540" s="11" t="s">
        <v>228</v>
      </c>
      <c r="G540" s="11">
        <v>18.21</v>
      </c>
      <c r="H540" s="11" t="s">
        <v>120</v>
      </c>
      <c r="I540" s="12">
        <v>513.0</v>
      </c>
      <c r="J540" s="12">
        <v>415.0</v>
      </c>
      <c r="K540" s="11"/>
      <c r="L540" s="11" t="s">
        <v>2141</v>
      </c>
      <c r="M540" s="11" t="s">
        <v>2142</v>
      </c>
      <c r="N540" s="11" t="s">
        <v>1034</v>
      </c>
      <c r="O540" s="11" t="s">
        <v>83</v>
      </c>
      <c r="P540" s="11"/>
      <c r="Q540" s="13" t="str">
        <f>IFERROR(VLOOKUP(E540,'SF Churn Data'!E:R,14,0),"")</f>
        <v/>
      </c>
    </row>
    <row r="541" hidden="1">
      <c r="A541" s="11" t="s">
        <v>1029</v>
      </c>
      <c r="B541" s="11" t="s">
        <v>44</v>
      </c>
      <c r="C541" s="11" t="s">
        <v>53</v>
      </c>
      <c r="D541" s="11" t="s">
        <v>2143</v>
      </c>
      <c r="E541" s="11" t="s">
        <v>2144</v>
      </c>
      <c r="F541" s="11" t="s">
        <v>228</v>
      </c>
      <c r="G541" s="11">
        <v>15.35</v>
      </c>
      <c r="H541" s="11" t="s">
        <v>56</v>
      </c>
      <c r="I541" s="12">
        <v>450.0</v>
      </c>
      <c r="J541" s="12">
        <v>360.0</v>
      </c>
      <c r="K541" s="12"/>
      <c r="L541" s="11" t="s">
        <v>2145</v>
      </c>
      <c r="M541" s="11" t="s">
        <v>2146</v>
      </c>
      <c r="N541" s="11" t="s">
        <v>1034</v>
      </c>
      <c r="O541" s="11" t="s">
        <v>83</v>
      </c>
      <c r="P541" s="11"/>
      <c r="Q541" s="13" t="str">
        <f>IFERROR(VLOOKUP(E541,'SF Churn Data'!E:R,14,0),"")</f>
        <v/>
      </c>
    </row>
    <row r="542" hidden="1">
      <c r="A542" s="11" t="s">
        <v>1029</v>
      </c>
      <c r="B542" s="11" t="s">
        <v>44</v>
      </c>
      <c r="C542" s="11" t="s">
        <v>76</v>
      </c>
      <c r="D542" s="11" t="s">
        <v>2147</v>
      </c>
      <c r="E542" s="11" t="s">
        <v>2148</v>
      </c>
      <c r="F542" s="11" t="s">
        <v>228</v>
      </c>
      <c r="G542" s="11">
        <v>19.71</v>
      </c>
      <c r="H542" s="11" t="s">
        <v>120</v>
      </c>
      <c r="I542" s="12">
        <v>550.0</v>
      </c>
      <c r="J542" s="12">
        <v>440.0</v>
      </c>
      <c r="K542" s="12"/>
      <c r="L542" s="11" t="s">
        <v>2149</v>
      </c>
      <c r="M542" s="11" t="s">
        <v>2150</v>
      </c>
      <c r="N542" s="11" t="s">
        <v>1034</v>
      </c>
      <c r="O542" s="11" t="s">
        <v>41</v>
      </c>
      <c r="P542" s="11"/>
      <c r="Q542" s="13" t="str">
        <f>IFERROR(VLOOKUP(E542,'SF Churn Data'!E:R,14,0),"")</f>
        <v/>
      </c>
    </row>
    <row r="543" hidden="1">
      <c r="A543" s="11" t="s">
        <v>158</v>
      </c>
      <c r="B543" s="11" t="s">
        <v>44</v>
      </c>
      <c r="C543" s="11" t="s">
        <v>64</v>
      </c>
      <c r="D543" s="11" t="s">
        <v>2151</v>
      </c>
      <c r="E543" s="11" t="s">
        <v>2152</v>
      </c>
      <c r="F543" s="11" t="s">
        <v>228</v>
      </c>
      <c r="G543" s="11">
        <v>18.96</v>
      </c>
      <c r="H543" s="11" t="s">
        <v>120</v>
      </c>
      <c r="I543" s="12">
        <v>5516.0</v>
      </c>
      <c r="J543" s="12">
        <v>5550.0</v>
      </c>
      <c r="K543" s="12">
        <v>6700.0</v>
      </c>
      <c r="L543" s="11" t="s">
        <v>2153</v>
      </c>
      <c r="M543" s="11" t="s">
        <v>2154</v>
      </c>
      <c r="N543" s="11" t="s">
        <v>143</v>
      </c>
      <c r="O543" s="11" t="s">
        <v>161</v>
      </c>
      <c r="P543" s="11" t="s">
        <v>162</v>
      </c>
      <c r="Q543" s="13" t="str">
        <f>IFERROR(VLOOKUP(E543,'SF Churn Data'!E:R,14,0),"")</f>
        <v/>
      </c>
    </row>
    <row r="544" hidden="1">
      <c r="A544" s="11" t="s">
        <v>912</v>
      </c>
      <c r="B544" s="11" t="s">
        <v>44</v>
      </c>
      <c r="C544" s="11" t="s">
        <v>53</v>
      </c>
      <c r="D544" s="11" t="s">
        <v>2155</v>
      </c>
      <c r="E544" s="11" t="s">
        <v>2156</v>
      </c>
      <c r="F544" s="11" t="s">
        <v>228</v>
      </c>
      <c r="G544" s="11">
        <v>16.07</v>
      </c>
      <c r="H544" s="11" t="s">
        <v>120</v>
      </c>
      <c r="I544" s="12">
        <v>4900.0</v>
      </c>
      <c r="J544" s="12">
        <v>6150.0</v>
      </c>
      <c r="K544" s="11">
        <v>5700.0</v>
      </c>
      <c r="L544" s="11" t="s">
        <v>2157</v>
      </c>
      <c r="M544" s="11" t="s">
        <v>2158</v>
      </c>
      <c r="N544" s="11" t="s">
        <v>143</v>
      </c>
      <c r="O544" s="11" t="s">
        <v>57</v>
      </c>
      <c r="P544" s="11" t="s">
        <v>917</v>
      </c>
      <c r="Q544" s="13" t="str">
        <f>IFERROR(VLOOKUP(E544,'SF Churn Data'!E:R,14,0),"")</f>
        <v/>
      </c>
    </row>
    <row r="545" hidden="1">
      <c r="A545" s="11" t="s">
        <v>158</v>
      </c>
      <c r="B545" s="11" t="s">
        <v>45</v>
      </c>
      <c r="C545" s="11" t="s">
        <v>45</v>
      </c>
      <c r="D545" s="11" t="s">
        <v>2159</v>
      </c>
      <c r="E545" s="11" t="s">
        <v>2160</v>
      </c>
      <c r="F545" s="11" t="s">
        <v>228</v>
      </c>
      <c r="G545" s="11">
        <v>8.0</v>
      </c>
      <c r="H545" s="11" t="s">
        <v>45</v>
      </c>
      <c r="I545" s="12">
        <v>2542.0</v>
      </c>
      <c r="J545" s="12">
        <v>2550.0</v>
      </c>
      <c r="K545" s="11">
        <v>3100.0</v>
      </c>
      <c r="L545" s="11" t="s">
        <v>2161</v>
      </c>
      <c r="M545" s="11" t="s">
        <v>2162</v>
      </c>
      <c r="N545" s="11" t="s">
        <v>1980</v>
      </c>
      <c r="O545" s="11" t="s">
        <v>41</v>
      </c>
      <c r="P545" s="11" t="s">
        <v>162</v>
      </c>
      <c r="Q545" s="13" t="str">
        <f>IFERROR(VLOOKUP(E545,'SF Churn Data'!E:R,14,0),"")</f>
        <v/>
      </c>
    </row>
    <row r="546" hidden="1">
      <c r="A546" s="11" t="s">
        <v>125</v>
      </c>
      <c r="B546" s="11" t="s">
        <v>36</v>
      </c>
      <c r="C546" s="11" t="s">
        <v>37</v>
      </c>
      <c r="D546" s="11" t="s">
        <v>2163</v>
      </c>
      <c r="E546" s="11" t="s">
        <v>2164</v>
      </c>
      <c r="F546" s="11" t="s">
        <v>228</v>
      </c>
      <c r="G546" s="11">
        <v>47.05</v>
      </c>
      <c r="H546" s="11" t="s">
        <v>168</v>
      </c>
      <c r="I546" s="12">
        <v>4500.0</v>
      </c>
      <c r="J546" s="12">
        <v>3850.0</v>
      </c>
      <c r="K546" s="12">
        <v>5700.0</v>
      </c>
      <c r="L546" s="11" t="s">
        <v>2165</v>
      </c>
      <c r="M546" s="11" t="s">
        <v>1737</v>
      </c>
      <c r="N546" s="11" t="s">
        <v>240</v>
      </c>
      <c r="O546" s="11" t="s">
        <v>41</v>
      </c>
      <c r="P546" s="11"/>
      <c r="Q546" s="13" t="str">
        <f>IFERROR(VLOOKUP(E546,'SF Churn Data'!E:R,14,0),"")</f>
        <v/>
      </c>
    </row>
    <row r="547" hidden="1">
      <c r="A547" s="11" t="s">
        <v>132</v>
      </c>
      <c r="B547" s="11" t="s">
        <v>44</v>
      </c>
      <c r="C547" s="11" t="s">
        <v>53</v>
      </c>
      <c r="D547" s="11" t="s">
        <v>2166</v>
      </c>
      <c r="E547" s="11" t="s">
        <v>2167</v>
      </c>
      <c r="F547" s="11" t="s">
        <v>228</v>
      </c>
      <c r="G547" s="11">
        <v>16.18</v>
      </c>
      <c r="H547" s="11" t="s">
        <v>62</v>
      </c>
      <c r="I547" s="12">
        <v>3888.56</v>
      </c>
      <c r="J547" s="12">
        <v>3150.0</v>
      </c>
      <c r="K547" s="11">
        <v>4500.0</v>
      </c>
      <c r="L547" s="11" t="s">
        <v>2168</v>
      </c>
      <c r="M547" s="11" t="s">
        <v>1619</v>
      </c>
      <c r="N547" s="11" t="s">
        <v>240</v>
      </c>
      <c r="O547" s="11" t="s">
        <v>41</v>
      </c>
      <c r="P547" s="11"/>
      <c r="Q547" s="13" t="str">
        <f>IFERROR(VLOOKUP(E547,'SF Churn Data'!E:R,14,0),"")</f>
        <v/>
      </c>
    </row>
    <row r="548" hidden="1">
      <c r="A548" s="11" t="s">
        <v>43</v>
      </c>
      <c r="B548" s="11" t="s">
        <v>44</v>
      </c>
      <c r="C548" s="11" t="s">
        <v>64</v>
      </c>
      <c r="D548" s="11" t="s">
        <v>2169</v>
      </c>
      <c r="E548" s="11" t="s">
        <v>2170</v>
      </c>
      <c r="F548" s="11" t="s">
        <v>228</v>
      </c>
      <c r="G548" s="11">
        <v>17.04</v>
      </c>
      <c r="H548" s="11" t="s">
        <v>120</v>
      </c>
      <c r="I548" s="12">
        <v>6800.0</v>
      </c>
      <c r="J548" s="12">
        <v>8200.0</v>
      </c>
      <c r="K548" s="11"/>
      <c r="L548" s="11" t="s">
        <v>2171</v>
      </c>
      <c r="M548" s="11" t="s">
        <v>2172</v>
      </c>
      <c r="N548" s="11" t="s">
        <v>143</v>
      </c>
      <c r="O548" s="11" t="s">
        <v>57</v>
      </c>
      <c r="P548" s="11" t="s">
        <v>48</v>
      </c>
      <c r="Q548" s="13" t="str">
        <f>IFERROR(VLOOKUP(E548,'SF Churn Data'!E:R,14,0),"")</f>
        <v/>
      </c>
    </row>
    <row r="549" hidden="1">
      <c r="A549" s="11" t="s">
        <v>35</v>
      </c>
      <c r="B549" s="11" t="s">
        <v>44</v>
      </c>
      <c r="C549" s="11" t="s">
        <v>64</v>
      </c>
      <c r="D549" s="11" t="s">
        <v>2173</v>
      </c>
      <c r="E549" s="11" t="s">
        <v>2174</v>
      </c>
      <c r="F549" s="11" t="s">
        <v>228</v>
      </c>
      <c r="G549" s="11">
        <v>19.39</v>
      </c>
      <c r="H549" s="11" t="s">
        <v>168</v>
      </c>
      <c r="I549" s="12">
        <v>6648.0</v>
      </c>
      <c r="J549" s="12">
        <v>9000.0</v>
      </c>
      <c r="K549" s="11">
        <v>8000.0</v>
      </c>
      <c r="L549" s="11" t="s">
        <v>2175</v>
      </c>
      <c r="M549" s="11" t="s">
        <v>2176</v>
      </c>
      <c r="N549" s="11" t="s">
        <v>403</v>
      </c>
      <c r="O549" s="11" t="s">
        <v>57</v>
      </c>
      <c r="P549" s="11" t="s">
        <v>42</v>
      </c>
      <c r="Q549" s="13" t="str">
        <f>IFERROR(VLOOKUP(E549,'SF Churn Data'!E:R,14,0),"")</f>
        <v/>
      </c>
    </row>
    <row r="550" hidden="1">
      <c r="A550" s="11" t="s">
        <v>138</v>
      </c>
      <c r="B550" s="11" t="s">
        <v>45</v>
      </c>
      <c r="C550" s="11" t="s">
        <v>45</v>
      </c>
      <c r="D550" s="11" t="s">
        <v>2177</v>
      </c>
      <c r="E550" s="11" t="s">
        <v>2178</v>
      </c>
      <c r="F550" s="11" t="s">
        <v>228</v>
      </c>
      <c r="G550" s="11">
        <v>10.21</v>
      </c>
      <c r="H550" s="11" t="s">
        <v>45</v>
      </c>
      <c r="I550" s="12">
        <v>1652.0</v>
      </c>
      <c r="J550" s="12">
        <v>2400.0</v>
      </c>
      <c r="K550" s="11">
        <v>2050.0</v>
      </c>
      <c r="L550" s="11" t="s">
        <v>2179</v>
      </c>
      <c r="M550" s="11" t="s">
        <v>2180</v>
      </c>
      <c r="N550" s="11" t="s">
        <v>363</v>
      </c>
      <c r="O550" s="11" t="s">
        <v>83</v>
      </c>
      <c r="P550" s="11" t="s">
        <v>144</v>
      </c>
      <c r="Q550" s="13" t="str">
        <f>IFERROR(VLOOKUP(E550,'SF Churn Data'!E:R,14,0),"")</f>
        <v/>
      </c>
    </row>
    <row r="551" hidden="1">
      <c r="A551" s="11" t="s">
        <v>1029</v>
      </c>
      <c r="B551" s="11" t="s">
        <v>44</v>
      </c>
      <c r="C551" s="11" t="s">
        <v>53</v>
      </c>
      <c r="D551" s="11" t="s">
        <v>2181</v>
      </c>
      <c r="E551" s="11" t="s">
        <v>2182</v>
      </c>
      <c r="F551" s="11" t="s">
        <v>228</v>
      </c>
      <c r="G551" s="11">
        <v>15.65</v>
      </c>
      <c r="H551" s="11" t="s">
        <v>56</v>
      </c>
      <c r="I551" s="12">
        <v>450.0</v>
      </c>
      <c r="J551" s="12">
        <v>360.0</v>
      </c>
      <c r="K551" s="12"/>
      <c r="L551" s="11" t="s">
        <v>2183</v>
      </c>
      <c r="M551" s="11" t="s">
        <v>2184</v>
      </c>
      <c r="N551" s="11" t="s">
        <v>1034</v>
      </c>
      <c r="O551" s="11" t="s">
        <v>83</v>
      </c>
      <c r="P551" s="11"/>
      <c r="Q551" s="13" t="str">
        <f>IFERROR(VLOOKUP(E551,'SF Churn Data'!E:R,14,0),"")</f>
        <v/>
      </c>
    </row>
    <row r="552" hidden="1">
      <c r="A552" s="11" t="s">
        <v>1029</v>
      </c>
      <c r="B552" s="11" t="s">
        <v>44</v>
      </c>
      <c r="C552" s="11" t="s">
        <v>133</v>
      </c>
      <c r="D552" s="11" t="s">
        <v>2185</v>
      </c>
      <c r="E552" s="11" t="s">
        <v>2186</v>
      </c>
      <c r="F552" s="11" t="s">
        <v>228</v>
      </c>
      <c r="G552" s="11">
        <v>14.73</v>
      </c>
      <c r="H552" s="11" t="s">
        <v>56</v>
      </c>
      <c r="I552" s="12">
        <v>433.0</v>
      </c>
      <c r="J552" s="12">
        <v>350.0</v>
      </c>
      <c r="K552" s="11"/>
      <c r="L552" s="11" t="s">
        <v>2187</v>
      </c>
      <c r="M552" s="11" t="s">
        <v>2188</v>
      </c>
      <c r="N552" s="11" t="s">
        <v>1034</v>
      </c>
      <c r="O552" s="11" t="s">
        <v>83</v>
      </c>
      <c r="P552" s="11"/>
      <c r="Q552" s="13" t="str">
        <f>IFERROR(VLOOKUP(E552,'SF Churn Data'!E:R,14,0),"")</f>
        <v/>
      </c>
    </row>
    <row r="553" hidden="1">
      <c r="A553" s="11" t="s">
        <v>148</v>
      </c>
      <c r="B553" s="11" t="s">
        <v>44</v>
      </c>
      <c r="C553" s="11" t="s">
        <v>133</v>
      </c>
      <c r="D553" s="11" t="s">
        <v>2189</v>
      </c>
      <c r="E553" s="11" t="s">
        <v>2190</v>
      </c>
      <c r="F553" s="11" t="s">
        <v>228</v>
      </c>
      <c r="G553" s="11">
        <v>14.5</v>
      </c>
      <c r="H553" s="11" t="s">
        <v>56</v>
      </c>
      <c r="I553" s="12">
        <v>6678.0</v>
      </c>
      <c r="J553" s="12">
        <v>6700.0</v>
      </c>
      <c r="K553" s="11">
        <v>8050.0</v>
      </c>
      <c r="L553" s="11" t="s">
        <v>2191</v>
      </c>
      <c r="M553" s="11" t="s">
        <v>2192</v>
      </c>
      <c r="N553" s="11" t="s">
        <v>240</v>
      </c>
      <c r="O553" s="11" t="s">
        <v>57</v>
      </c>
      <c r="P553" s="11" t="s">
        <v>48</v>
      </c>
      <c r="Q553" s="13" t="str">
        <f>IFERROR(VLOOKUP(E553,'SF Churn Data'!E:R,14,0),"")</f>
        <v/>
      </c>
    </row>
    <row r="554" hidden="1">
      <c r="A554" s="11" t="s">
        <v>1029</v>
      </c>
      <c r="B554" s="11" t="s">
        <v>44</v>
      </c>
      <c r="C554" s="11" t="s">
        <v>53</v>
      </c>
      <c r="D554" s="11" t="s">
        <v>2193</v>
      </c>
      <c r="E554" s="11" t="s">
        <v>2194</v>
      </c>
      <c r="F554" s="11" t="s">
        <v>228</v>
      </c>
      <c r="G554" s="11">
        <v>15.66</v>
      </c>
      <c r="H554" s="11" t="s">
        <v>56</v>
      </c>
      <c r="I554" s="12">
        <v>450.0</v>
      </c>
      <c r="J554" s="12">
        <v>360.0</v>
      </c>
      <c r="K554" s="12"/>
      <c r="L554" s="11" t="s">
        <v>2195</v>
      </c>
      <c r="M554" s="11" t="s">
        <v>2196</v>
      </c>
      <c r="N554" s="11" t="s">
        <v>1034</v>
      </c>
      <c r="O554" s="11" t="s">
        <v>83</v>
      </c>
      <c r="P554" s="11"/>
      <c r="Q554" s="13" t="str">
        <f>IFERROR(VLOOKUP(E554,'SF Churn Data'!E:R,14,0),"")</f>
        <v/>
      </c>
    </row>
    <row r="555" hidden="1">
      <c r="A555" s="11" t="s">
        <v>1029</v>
      </c>
      <c r="B555" s="11" t="s">
        <v>44</v>
      </c>
      <c r="C555" s="11" t="s">
        <v>133</v>
      </c>
      <c r="D555" s="11" t="s">
        <v>2197</v>
      </c>
      <c r="E555" s="11" t="s">
        <v>2198</v>
      </c>
      <c r="F555" s="11" t="s">
        <v>228</v>
      </c>
      <c r="G555" s="11">
        <v>14.73</v>
      </c>
      <c r="H555" s="11" t="s">
        <v>56</v>
      </c>
      <c r="I555" s="12">
        <v>433.0</v>
      </c>
      <c r="J555" s="12">
        <v>350.0</v>
      </c>
      <c r="K555" s="12"/>
      <c r="L555" s="11" t="s">
        <v>2199</v>
      </c>
      <c r="M555" s="11" t="s">
        <v>2200</v>
      </c>
      <c r="N555" s="11" t="s">
        <v>1034</v>
      </c>
      <c r="O555" s="11" t="s">
        <v>83</v>
      </c>
      <c r="P555" s="11"/>
      <c r="Q555" s="13" t="str">
        <f>IFERROR(VLOOKUP(E555,'SF Churn Data'!E:R,14,0),"")</f>
        <v/>
      </c>
    </row>
    <row r="556" hidden="1">
      <c r="A556" s="11" t="s">
        <v>1029</v>
      </c>
      <c r="B556" s="11" t="s">
        <v>44</v>
      </c>
      <c r="C556" s="11" t="s">
        <v>133</v>
      </c>
      <c r="D556" s="11" t="s">
        <v>2201</v>
      </c>
      <c r="E556" s="11" t="s">
        <v>2202</v>
      </c>
      <c r="F556" s="11" t="s">
        <v>228</v>
      </c>
      <c r="G556" s="11">
        <v>14.73</v>
      </c>
      <c r="H556" s="11" t="s">
        <v>56</v>
      </c>
      <c r="I556" s="12">
        <v>433.0</v>
      </c>
      <c r="J556" s="12">
        <v>350.0</v>
      </c>
      <c r="K556" s="11"/>
      <c r="L556" s="11" t="s">
        <v>2203</v>
      </c>
      <c r="M556" s="11" t="s">
        <v>2204</v>
      </c>
      <c r="N556" s="11" t="s">
        <v>363</v>
      </c>
      <c r="O556" s="11" t="s">
        <v>57</v>
      </c>
      <c r="P556" s="11"/>
      <c r="Q556" s="13" t="str">
        <f>IFERROR(VLOOKUP(E556,'SF Churn Data'!E:R,14,0),"")</f>
        <v/>
      </c>
    </row>
    <row r="557" hidden="1">
      <c r="A557" s="11" t="s">
        <v>158</v>
      </c>
      <c r="B557" s="11" t="s">
        <v>44</v>
      </c>
      <c r="C557" s="11" t="s">
        <v>64</v>
      </c>
      <c r="D557" s="11" t="s">
        <v>2205</v>
      </c>
      <c r="E557" s="11" t="s">
        <v>2206</v>
      </c>
      <c r="F557" s="11" t="s">
        <v>228</v>
      </c>
      <c r="G557" s="11">
        <v>18.75</v>
      </c>
      <c r="H557" s="11" t="s">
        <v>120</v>
      </c>
      <c r="I557" s="12">
        <v>5516.0</v>
      </c>
      <c r="J557" s="12">
        <v>5550.0</v>
      </c>
      <c r="K557" s="12">
        <v>6700.0</v>
      </c>
      <c r="L557" s="11" t="s">
        <v>2207</v>
      </c>
      <c r="M557" s="11" t="s">
        <v>1626</v>
      </c>
      <c r="N557" s="11" t="s">
        <v>240</v>
      </c>
      <c r="O557" s="11" t="s">
        <v>161</v>
      </c>
      <c r="P557" s="11" t="s">
        <v>162</v>
      </c>
      <c r="Q557" s="13" t="str">
        <f>IFERROR(VLOOKUP(E557,'SF Churn Data'!E:R,14,0),"")</f>
        <v/>
      </c>
    </row>
    <row r="558" hidden="1">
      <c r="A558" s="11" t="s">
        <v>2208</v>
      </c>
      <c r="B558" s="11" t="s">
        <v>44</v>
      </c>
      <c r="C558" s="11" t="s">
        <v>76</v>
      </c>
      <c r="D558" s="11" t="s">
        <v>2209</v>
      </c>
      <c r="E558" s="11" t="s">
        <v>2210</v>
      </c>
      <c r="F558" s="11" t="s">
        <v>228</v>
      </c>
      <c r="G558" s="11">
        <v>19.08</v>
      </c>
      <c r="H558" s="11" t="s">
        <v>120</v>
      </c>
      <c r="I558" s="12">
        <v>7900.0</v>
      </c>
      <c r="J558" s="12">
        <v>7900.0</v>
      </c>
      <c r="K558" s="12"/>
      <c r="L558" s="11" t="s">
        <v>2211</v>
      </c>
      <c r="M558" s="11" t="s">
        <v>2212</v>
      </c>
      <c r="N558" s="11" t="s">
        <v>403</v>
      </c>
      <c r="O558" s="11" t="s">
        <v>57</v>
      </c>
      <c r="P558" s="11"/>
      <c r="Q558" s="13" t="str">
        <f>IFERROR(VLOOKUP(E558,'SF Churn Data'!E:R,14,0),"")</f>
        <v/>
      </c>
    </row>
    <row r="559" hidden="1">
      <c r="A559" s="11" t="s">
        <v>2208</v>
      </c>
      <c r="B559" s="11" t="s">
        <v>44</v>
      </c>
      <c r="C559" s="11" t="s">
        <v>76</v>
      </c>
      <c r="D559" s="11" t="s">
        <v>2213</v>
      </c>
      <c r="E559" s="11" t="s">
        <v>2214</v>
      </c>
      <c r="F559" s="11" t="s">
        <v>228</v>
      </c>
      <c r="G559" s="11">
        <v>19.38</v>
      </c>
      <c r="H559" s="11" t="s">
        <v>120</v>
      </c>
      <c r="I559" s="12">
        <v>7900.0</v>
      </c>
      <c r="J559" s="12">
        <v>7900.0</v>
      </c>
      <c r="K559" s="12"/>
      <c r="L559" s="11" t="s">
        <v>2215</v>
      </c>
      <c r="M559" s="11" t="s">
        <v>1000</v>
      </c>
      <c r="N559" s="11" t="s">
        <v>403</v>
      </c>
      <c r="O559" s="11" t="s">
        <v>57</v>
      </c>
      <c r="P559" s="11"/>
      <c r="Q559" s="13" t="str">
        <f>IFERROR(VLOOKUP(E559,'SF Churn Data'!E:R,14,0),"")</f>
        <v/>
      </c>
    </row>
    <row r="560" hidden="1">
      <c r="A560" s="11" t="s">
        <v>145</v>
      </c>
      <c r="B560" s="11" t="s">
        <v>44</v>
      </c>
      <c r="C560" s="11" t="s">
        <v>53</v>
      </c>
      <c r="D560" s="11" t="s">
        <v>2216</v>
      </c>
      <c r="E560" s="11" t="s">
        <v>2217</v>
      </c>
      <c r="F560" s="11" t="s">
        <v>228</v>
      </c>
      <c r="G560" s="11">
        <v>16.0</v>
      </c>
      <c r="H560" s="11" t="s">
        <v>56</v>
      </c>
      <c r="I560" s="12">
        <v>8592.0</v>
      </c>
      <c r="J560" s="12">
        <v>9500.0</v>
      </c>
      <c r="K560" s="11">
        <v>10350.0</v>
      </c>
      <c r="L560" s="11" t="s">
        <v>2218</v>
      </c>
      <c r="M560" s="11" t="s">
        <v>2219</v>
      </c>
      <c r="N560" s="11" t="s">
        <v>240</v>
      </c>
      <c r="O560" s="11" t="s">
        <v>57</v>
      </c>
      <c r="P560" s="11" t="s">
        <v>63</v>
      </c>
      <c r="Q560" s="13" t="str">
        <f>IFERROR(VLOOKUP(E560,'SF Churn Data'!E:R,14,0),"")</f>
        <v/>
      </c>
    </row>
    <row r="561" hidden="1">
      <c r="A561" s="11" t="s">
        <v>282</v>
      </c>
      <c r="B561" s="11" t="s">
        <v>44</v>
      </c>
      <c r="C561" s="11" t="s">
        <v>113</v>
      </c>
      <c r="D561" s="11" t="s">
        <v>2220</v>
      </c>
      <c r="E561" s="11" t="s">
        <v>2221</v>
      </c>
      <c r="F561" s="11" t="s">
        <v>228</v>
      </c>
      <c r="G561" s="11">
        <v>11.92</v>
      </c>
      <c r="H561" s="11" t="s">
        <v>116</v>
      </c>
      <c r="I561" s="12">
        <v>4188.0</v>
      </c>
      <c r="J561" s="12">
        <v>5050.0</v>
      </c>
      <c r="K561" s="11">
        <v>5050.0</v>
      </c>
      <c r="L561" s="11" t="s">
        <v>2222</v>
      </c>
      <c r="M561" s="11" t="s">
        <v>2223</v>
      </c>
      <c r="N561" s="11" t="s">
        <v>403</v>
      </c>
      <c r="O561" s="11" t="s">
        <v>41</v>
      </c>
      <c r="P561" s="11" t="s">
        <v>63</v>
      </c>
      <c r="Q561" s="13" t="str">
        <f>IFERROR(VLOOKUP(E561,'SF Churn Data'!E:R,14,0),"")</f>
        <v/>
      </c>
    </row>
    <row r="562" hidden="1">
      <c r="A562" s="11" t="s">
        <v>201</v>
      </c>
      <c r="B562" s="11" t="s">
        <v>44</v>
      </c>
      <c r="C562" s="11" t="s">
        <v>180</v>
      </c>
      <c r="D562" s="11" t="s">
        <v>2224</v>
      </c>
      <c r="E562" s="11" t="s">
        <v>2225</v>
      </c>
      <c r="F562" s="11" t="s">
        <v>228</v>
      </c>
      <c r="G562" s="11">
        <v>22.76</v>
      </c>
      <c r="H562" s="11" t="s">
        <v>168</v>
      </c>
      <c r="I562" s="12">
        <v>4150.0</v>
      </c>
      <c r="J562" s="12">
        <v>5000.0</v>
      </c>
      <c r="K562" s="12">
        <v>4800.0</v>
      </c>
      <c r="L562" s="11" t="s">
        <v>2226</v>
      </c>
      <c r="M562" s="11" t="s">
        <v>2227</v>
      </c>
      <c r="N562" s="11" t="s">
        <v>1927</v>
      </c>
      <c r="O562" s="11" t="s">
        <v>57</v>
      </c>
      <c r="P562" s="11"/>
      <c r="Q562" s="13" t="str">
        <f>IFERROR(VLOOKUP(E562,'SF Churn Data'!E:R,14,0),"")</f>
        <v/>
      </c>
    </row>
    <row r="563" hidden="1">
      <c r="A563" s="11" t="s">
        <v>132</v>
      </c>
      <c r="B563" s="11" t="s">
        <v>44</v>
      </c>
      <c r="C563" s="11" t="s">
        <v>133</v>
      </c>
      <c r="D563" s="11" t="s">
        <v>2228</v>
      </c>
      <c r="E563" s="11" t="s">
        <v>2229</v>
      </c>
      <c r="F563" s="11" t="s">
        <v>228</v>
      </c>
      <c r="G563" s="11">
        <v>13.19</v>
      </c>
      <c r="H563" s="11" t="s">
        <v>62</v>
      </c>
      <c r="I563" s="12">
        <v>2975.44</v>
      </c>
      <c r="J563" s="12">
        <v>2400.0</v>
      </c>
      <c r="K563" s="12">
        <v>3500.0</v>
      </c>
      <c r="L563" s="11" t="s">
        <v>2230</v>
      </c>
      <c r="M563" s="11" t="s">
        <v>2231</v>
      </c>
      <c r="N563" s="11" t="s">
        <v>1980</v>
      </c>
      <c r="O563" s="11" t="s">
        <v>41</v>
      </c>
      <c r="P563" s="11"/>
      <c r="Q563" s="13" t="str">
        <f>IFERROR(VLOOKUP(E563,'SF Churn Data'!E:R,14,0),"")</f>
        <v/>
      </c>
    </row>
    <row r="564" hidden="1">
      <c r="A564" s="11" t="s">
        <v>912</v>
      </c>
      <c r="B564" s="11" t="s">
        <v>44</v>
      </c>
      <c r="C564" s="11" t="s">
        <v>53</v>
      </c>
      <c r="D564" s="11" t="s">
        <v>2232</v>
      </c>
      <c r="E564" s="11" t="s">
        <v>2233</v>
      </c>
      <c r="F564" s="11" t="s">
        <v>228</v>
      </c>
      <c r="G564" s="11">
        <v>16.03</v>
      </c>
      <c r="H564" s="11" t="s">
        <v>120</v>
      </c>
      <c r="I564" s="12">
        <v>4900.0</v>
      </c>
      <c r="J564" s="12">
        <v>6150.0</v>
      </c>
      <c r="K564" s="11">
        <v>5700.0</v>
      </c>
      <c r="L564" s="11" t="s">
        <v>2234</v>
      </c>
      <c r="M564" s="11" t="s">
        <v>2235</v>
      </c>
      <c r="N564" s="11" t="s">
        <v>131</v>
      </c>
      <c r="O564" s="11" t="s">
        <v>41</v>
      </c>
      <c r="P564" s="11" t="s">
        <v>917</v>
      </c>
      <c r="Q564" s="13" t="str">
        <f>IFERROR(VLOOKUP(E564,'SF Churn Data'!E:R,14,0),"")</f>
        <v/>
      </c>
    </row>
    <row r="565" hidden="1">
      <c r="A565" s="11" t="s">
        <v>201</v>
      </c>
      <c r="B565" s="11" t="s">
        <v>44</v>
      </c>
      <c r="C565" s="11" t="s">
        <v>133</v>
      </c>
      <c r="D565" s="11" t="s">
        <v>2236</v>
      </c>
      <c r="E565" s="11" t="s">
        <v>2237</v>
      </c>
      <c r="F565" s="11" t="s">
        <v>228</v>
      </c>
      <c r="G565" s="11">
        <v>13.5</v>
      </c>
      <c r="H565" s="11" t="s">
        <v>56</v>
      </c>
      <c r="I565" s="12">
        <v>2800.0</v>
      </c>
      <c r="J565" s="12">
        <v>3400.0</v>
      </c>
      <c r="K565" s="11">
        <v>3250.0</v>
      </c>
      <c r="L565" s="11" t="s">
        <v>2238</v>
      </c>
      <c r="M565" s="11" t="s">
        <v>2239</v>
      </c>
      <c r="N565" s="11" t="s">
        <v>1980</v>
      </c>
      <c r="O565" s="11" t="s">
        <v>57</v>
      </c>
      <c r="P565" s="11"/>
      <c r="Q565" s="13" t="str">
        <f>IFERROR(VLOOKUP(E565,'SF Churn Data'!E:R,14,0),"")</f>
        <v/>
      </c>
    </row>
    <row r="566" hidden="1">
      <c r="A566" s="11" t="s">
        <v>148</v>
      </c>
      <c r="B566" s="11" t="s">
        <v>44</v>
      </c>
      <c r="C566" s="11" t="s">
        <v>76</v>
      </c>
      <c r="D566" s="11" t="s">
        <v>2240</v>
      </c>
      <c r="E566" s="11" t="s">
        <v>2241</v>
      </c>
      <c r="F566" s="11" t="s">
        <v>228</v>
      </c>
      <c r="G566" s="11">
        <v>21.7</v>
      </c>
      <c r="H566" s="11" t="s">
        <v>56</v>
      </c>
      <c r="I566" s="12">
        <v>8349.0</v>
      </c>
      <c r="J566" s="12">
        <v>8350.0</v>
      </c>
      <c r="K566" s="11">
        <v>10050.0</v>
      </c>
      <c r="L566" s="11" t="s">
        <v>2242</v>
      </c>
      <c r="M566" s="11" t="s">
        <v>2035</v>
      </c>
      <c r="N566" s="11" t="s">
        <v>403</v>
      </c>
      <c r="O566" s="11" t="s">
        <v>151</v>
      </c>
      <c r="P566" s="11" t="s">
        <v>48</v>
      </c>
      <c r="Q566" s="13" t="str">
        <f>IFERROR(VLOOKUP(E566,'SF Churn Data'!E:R,14,0),"")</f>
        <v/>
      </c>
    </row>
    <row r="567" hidden="1">
      <c r="A567" s="11" t="s">
        <v>154</v>
      </c>
      <c r="B567" s="11"/>
      <c r="C567" s="11" t="s">
        <v>37</v>
      </c>
      <c r="D567" s="11" t="s">
        <v>2243</v>
      </c>
      <c r="E567" s="11" t="s">
        <v>2244</v>
      </c>
      <c r="F567" s="11" t="s">
        <v>228</v>
      </c>
      <c r="G567" s="11">
        <v>88.9</v>
      </c>
      <c r="H567" s="11"/>
      <c r="I567" s="12">
        <v>10000.0</v>
      </c>
      <c r="J567" s="12">
        <v>14000.0</v>
      </c>
      <c r="K567" s="11"/>
      <c r="L567" s="11" t="s">
        <v>2245</v>
      </c>
      <c r="M567" s="11" t="s">
        <v>2246</v>
      </c>
      <c r="N567" s="11" t="s">
        <v>903</v>
      </c>
      <c r="O567" s="11"/>
      <c r="P567" s="11" t="s">
        <v>157</v>
      </c>
      <c r="Q567" s="13" t="str">
        <f>IFERROR(VLOOKUP(E567,'SF Churn Data'!E:R,14,0),"")</f>
        <v/>
      </c>
    </row>
    <row r="568" hidden="1">
      <c r="A568" s="11" t="s">
        <v>364</v>
      </c>
      <c r="B568" s="11" t="s">
        <v>44</v>
      </c>
      <c r="C568" s="11" t="s">
        <v>151</v>
      </c>
      <c r="D568" s="11" t="s">
        <v>2247</v>
      </c>
      <c r="E568" s="11" t="s">
        <v>2248</v>
      </c>
      <c r="F568" s="11" t="s">
        <v>228</v>
      </c>
      <c r="G568" s="11">
        <v>25.68</v>
      </c>
      <c r="H568" s="11" t="s">
        <v>168</v>
      </c>
      <c r="I568" s="12">
        <v>6050.0</v>
      </c>
      <c r="J568" s="12">
        <v>6050.0</v>
      </c>
      <c r="K568" s="11">
        <v>7050.0</v>
      </c>
      <c r="L568" s="11" t="s">
        <v>2249</v>
      </c>
      <c r="M568" s="11" t="s">
        <v>1182</v>
      </c>
      <c r="N568" s="11" t="s">
        <v>240</v>
      </c>
      <c r="O568" s="11" t="s">
        <v>117</v>
      </c>
      <c r="P568" s="11" t="s">
        <v>369</v>
      </c>
      <c r="Q568" s="13" t="str">
        <f>IFERROR(VLOOKUP(E568,'SF Churn Data'!E:R,14,0),"")</f>
        <v/>
      </c>
    </row>
    <row r="569" hidden="1">
      <c r="A569" s="11" t="s">
        <v>148</v>
      </c>
      <c r="B569" s="11" t="s">
        <v>44</v>
      </c>
      <c r="C569" s="11" t="s">
        <v>64</v>
      </c>
      <c r="D569" s="11" t="s">
        <v>2250</v>
      </c>
      <c r="E569" s="11" t="s">
        <v>2251</v>
      </c>
      <c r="F569" s="11" t="s">
        <v>228</v>
      </c>
      <c r="G569" s="11">
        <v>17.7</v>
      </c>
      <c r="H569" s="11" t="s">
        <v>56</v>
      </c>
      <c r="I569" s="12">
        <v>7096.0</v>
      </c>
      <c r="J569" s="12">
        <v>7100.0</v>
      </c>
      <c r="K569" s="11">
        <v>8550.0</v>
      </c>
      <c r="L569" s="11" t="s">
        <v>2252</v>
      </c>
      <c r="M569" s="11" t="s">
        <v>2253</v>
      </c>
      <c r="N569" s="11" t="s">
        <v>903</v>
      </c>
      <c r="O569" s="11" t="s">
        <v>151</v>
      </c>
      <c r="P569" s="11" t="s">
        <v>48</v>
      </c>
      <c r="Q569" s="13" t="str">
        <f>IFERROR(VLOOKUP(E569,'SF Churn Data'!E:R,14,0),"")</f>
        <v/>
      </c>
    </row>
    <row r="570" hidden="1">
      <c r="A570" s="11" t="s">
        <v>912</v>
      </c>
      <c r="B570" s="11" t="s">
        <v>44</v>
      </c>
      <c r="C570" s="11" t="s">
        <v>133</v>
      </c>
      <c r="D570" s="11" t="s">
        <v>2254</v>
      </c>
      <c r="E570" s="11" t="s">
        <v>2255</v>
      </c>
      <c r="F570" s="11" t="s">
        <v>228</v>
      </c>
      <c r="G570" s="11">
        <v>13.13</v>
      </c>
      <c r="H570" s="11" t="s">
        <v>56</v>
      </c>
      <c r="I570" s="12">
        <v>4650.0</v>
      </c>
      <c r="J570" s="12">
        <v>5850.0</v>
      </c>
      <c r="K570" s="11">
        <v>5400.0</v>
      </c>
      <c r="L570" s="11" t="s">
        <v>2256</v>
      </c>
      <c r="M570" s="11" t="s">
        <v>2257</v>
      </c>
      <c r="N570" s="11" t="s">
        <v>143</v>
      </c>
      <c r="O570" s="11" t="s">
        <v>41</v>
      </c>
      <c r="P570" s="11" t="s">
        <v>917</v>
      </c>
      <c r="Q570" s="13" t="str">
        <f>IFERROR(VLOOKUP(E570,'SF Churn Data'!E:R,14,0),"")</f>
        <v/>
      </c>
    </row>
    <row r="571" hidden="1">
      <c r="A571" s="11" t="s">
        <v>364</v>
      </c>
      <c r="B571" s="11" t="s">
        <v>45</v>
      </c>
      <c r="C571" s="11" t="s">
        <v>45</v>
      </c>
      <c r="D571" s="11" t="s">
        <v>2258</v>
      </c>
      <c r="E571" s="11" t="s">
        <v>2259</v>
      </c>
      <c r="F571" s="11" t="s">
        <v>228</v>
      </c>
      <c r="G571" s="11">
        <v>10.05</v>
      </c>
      <c r="H571" s="11" t="s">
        <v>45</v>
      </c>
      <c r="I571" s="12">
        <v>1999.0</v>
      </c>
      <c r="J571" s="12">
        <v>2000.0</v>
      </c>
      <c r="K571" s="12">
        <v>2400.0</v>
      </c>
      <c r="L571" s="11" t="s">
        <v>2260</v>
      </c>
      <c r="M571" s="11" t="s">
        <v>2261</v>
      </c>
      <c r="N571" s="11" t="s">
        <v>2262</v>
      </c>
      <c r="O571" s="11" t="s">
        <v>41</v>
      </c>
      <c r="P571" s="11" t="s">
        <v>369</v>
      </c>
      <c r="Q571" s="13" t="str">
        <f>IFERROR(VLOOKUP(E571,'SF Churn Data'!E:R,14,0),"")</f>
        <v/>
      </c>
    </row>
    <row r="572" hidden="1">
      <c r="A572" s="11" t="s">
        <v>1199</v>
      </c>
      <c r="B572" s="11" t="s">
        <v>44</v>
      </c>
      <c r="C572" s="11" t="s">
        <v>64</v>
      </c>
      <c r="D572" s="11" t="s">
        <v>2263</v>
      </c>
      <c r="E572" s="11" t="s">
        <v>2264</v>
      </c>
      <c r="F572" s="11" t="s">
        <v>228</v>
      </c>
      <c r="G572" s="11">
        <v>18.26</v>
      </c>
      <c r="H572" s="11" t="s">
        <v>1202</v>
      </c>
      <c r="I572" s="12">
        <v>450.0</v>
      </c>
      <c r="J572" s="12">
        <v>360.0</v>
      </c>
      <c r="K572" s="12"/>
      <c r="L572" s="11" t="s">
        <v>2265</v>
      </c>
      <c r="M572" s="11" t="s">
        <v>2266</v>
      </c>
      <c r="N572" s="11" t="s">
        <v>363</v>
      </c>
      <c r="O572" s="11" t="s">
        <v>41</v>
      </c>
      <c r="P572" s="11"/>
      <c r="Q572" s="13" t="str">
        <f>IFERROR(VLOOKUP(E572,'SF Churn Data'!E:R,14,0),"")</f>
        <v/>
      </c>
    </row>
    <row r="573" hidden="1">
      <c r="A573" s="11" t="s">
        <v>201</v>
      </c>
      <c r="B573" s="11" t="s">
        <v>44</v>
      </c>
      <c r="C573" s="11" t="s">
        <v>53</v>
      </c>
      <c r="D573" s="11" t="s">
        <v>2267</v>
      </c>
      <c r="E573" s="11" t="s">
        <v>2268</v>
      </c>
      <c r="F573" s="11" t="s">
        <v>228</v>
      </c>
      <c r="G573" s="11">
        <v>16.45</v>
      </c>
      <c r="H573" s="11" t="s">
        <v>56</v>
      </c>
      <c r="I573" s="12">
        <v>3050.0</v>
      </c>
      <c r="J573" s="12">
        <v>3700.0</v>
      </c>
      <c r="K573" s="12">
        <v>3700.0</v>
      </c>
      <c r="L573" s="11" t="s">
        <v>2269</v>
      </c>
      <c r="M573" s="11" t="s">
        <v>2270</v>
      </c>
      <c r="N573" s="11" t="s">
        <v>363</v>
      </c>
      <c r="O573" s="11" t="s">
        <v>57</v>
      </c>
      <c r="P573" s="11"/>
      <c r="Q573" s="13" t="str">
        <f>IFERROR(VLOOKUP(E573,'SF Churn Data'!E:R,14,0),"")</f>
        <v/>
      </c>
    </row>
    <row r="574" hidden="1">
      <c r="A574" s="11" t="s">
        <v>148</v>
      </c>
      <c r="B574" s="11" t="s">
        <v>45</v>
      </c>
      <c r="C574" s="11" t="s">
        <v>45</v>
      </c>
      <c r="D574" s="11" t="s">
        <v>2271</v>
      </c>
      <c r="E574" s="11" t="s">
        <v>2272</v>
      </c>
      <c r="F574" s="11" t="s">
        <v>228</v>
      </c>
      <c r="G574" s="11">
        <v>11.0</v>
      </c>
      <c r="H574" s="11" t="s">
        <v>45</v>
      </c>
      <c r="I574" s="12">
        <v>4171.0</v>
      </c>
      <c r="J574" s="12">
        <v>4200.0</v>
      </c>
      <c r="K574" s="11">
        <v>5050.0</v>
      </c>
      <c r="L574" s="11" t="s">
        <v>2273</v>
      </c>
      <c r="M574" s="11" t="s">
        <v>2274</v>
      </c>
      <c r="N574" s="11" t="s">
        <v>903</v>
      </c>
      <c r="O574" s="11" t="s">
        <v>151</v>
      </c>
      <c r="P574" s="11" t="s">
        <v>48</v>
      </c>
      <c r="Q574" s="13" t="str">
        <f>IFERROR(VLOOKUP(E574,'SF Churn Data'!E:R,14,0),"")</f>
        <v/>
      </c>
    </row>
    <row r="575" hidden="1">
      <c r="A575" s="11" t="s">
        <v>158</v>
      </c>
      <c r="B575" s="11" t="s">
        <v>45</v>
      </c>
      <c r="C575" s="11" t="s">
        <v>45</v>
      </c>
      <c r="D575" s="11" t="s">
        <v>2275</v>
      </c>
      <c r="E575" s="11" t="s">
        <v>2276</v>
      </c>
      <c r="F575" s="11" t="s">
        <v>228</v>
      </c>
      <c r="G575" s="11">
        <v>8.0</v>
      </c>
      <c r="H575" s="11" t="s">
        <v>45</v>
      </c>
      <c r="I575" s="12">
        <v>2542.0</v>
      </c>
      <c r="J575" s="12">
        <v>2550.0</v>
      </c>
      <c r="K575" s="11">
        <v>3100.0</v>
      </c>
      <c r="L575" s="11" t="s">
        <v>2277</v>
      </c>
      <c r="M575" s="11" t="s">
        <v>2278</v>
      </c>
      <c r="N575" s="11" t="s">
        <v>1927</v>
      </c>
      <c r="O575" s="11" t="s">
        <v>41</v>
      </c>
      <c r="P575" s="11" t="s">
        <v>162</v>
      </c>
      <c r="Q575" s="13" t="str">
        <f>IFERROR(VLOOKUP(E575,'SF Churn Data'!E:R,14,0),"")</f>
        <v/>
      </c>
    </row>
    <row r="576" hidden="1">
      <c r="A576" s="11" t="s">
        <v>1238</v>
      </c>
      <c r="B576" s="11" t="s">
        <v>45</v>
      </c>
      <c r="C576" s="11" t="s">
        <v>45</v>
      </c>
      <c r="D576" s="11" t="s">
        <v>2279</v>
      </c>
      <c r="E576" s="11" t="s">
        <v>2280</v>
      </c>
      <c r="F576" s="11" t="s">
        <v>228</v>
      </c>
      <c r="G576" s="11">
        <v>10.71</v>
      </c>
      <c r="H576" s="11" t="s">
        <v>400</v>
      </c>
      <c r="I576" s="12">
        <v>1706.0</v>
      </c>
      <c r="J576" s="12">
        <v>2250.0</v>
      </c>
      <c r="K576" s="11"/>
      <c r="L576" s="11" t="s">
        <v>2281</v>
      </c>
      <c r="M576" s="11" t="s">
        <v>2282</v>
      </c>
      <c r="N576" s="11" t="s">
        <v>2262</v>
      </c>
      <c r="O576" s="11" t="s">
        <v>41</v>
      </c>
      <c r="P576" s="11" t="s">
        <v>144</v>
      </c>
      <c r="Q576" s="13" t="str">
        <f>IFERROR(VLOOKUP(E576,'SF Churn Data'!E:R,14,0),"")</f>
        <v/>
      </c>
    </row>
    <row r="577" hidden="1">
      <c r="A577" s="11" t="s">
        <v>1238</v>
      </c>
      <c r="B577" s="11" t="s">
        <v>44</v>
      </c>
      <c r="C577" s="11" t="s">
        <v>133</v>
      </c>
      <c r="D577" s="11" t="s">
        <v>2283</v>
      </c>
      <c r="E577" s="11" t="s">
        <v>2284</v>
      </c>
      <c r="F577" s="11" t="s">
        <v>228</v>
      </c>
      <c r="G577" s="11">
        <v>13.5</v>
      </c>
      <c r="H577" s="11" t="s">
        <v>1242</v>
      </c>
      <c r="I577" s="12">
        <v>3199.0</v>
      </c>
      <c r="J577" s="12">
        <v>4200.0</v>
      </c>
      <c r="K577" s="11"/>
      <c r="L577" s="11" t="s">
        <v>2285</v>
      </c>
      <c r="M577" s="11" t="s">
        <v>2286</v>
      </c>
      <c r="N577" s="11" t="s">
        <v>2262</v>
      </c>
      <c r="O577" s="11" t="s">
        <v>41</v>
      </c>
      <c r="P577" s="11" t="s">
        <v>144</v>
      </c>
      <c r="Q577" s="13" t="str">
        <f>IFERROR(VLOOKUP(E577,'SF Churn Data'!E:R,14,0),"")</f>
        <v/>
      </c>
    </row>
    <row r="578" hidden="1">
      <c r="A578" s="11" t="s">
        <v>1238</v>
      </c>
      <c r="B578" s="11" t="s">
        <v>44</v>
      </c>
      <c r="C578" s="11" t="s">
        <v>53</v>
      </c>
      <c r="D578" s="11" t="s">
        <v>2287</v>
      </c>
      <c r="E578" s="11" t="s">
        <v>2288</v>
      </c>
      <c r="F578" s="11" t="s">
        <v>228</v>
      </c>
      <c r="G578" s="11">
        <v>15.53</v>
      </c>
      <c r="H578" s="11" t="s">
        <v>1242</v>
      </c>
      <c r="I578" s="12">
        <v>3600.0</v>
      </c>
      <c r="J578" s="12">
        <v>4700.0</v>
      </c>
      <c r="K578" s="11"/>
      <c r="L578" s="11" t="s">
        <v>2289</v>
      </c>
      <c r="M578" s="11" t="s">
        <v>2290</v>
      </c>
      <c r="N578" s="11" t="s">
        <v>1927</v>
      </c>
      <c r="O578" s="11" t="s">
        <v>41</v>
      </c>
      <c r="P578" s="11" t="s">
        <v>144</v>
      </c>
      <c r="Q578" s="13" t="str">
        <f>IFERROR(VLOOKUP(E578,'SF Churn Data'!E:R,14,0),"")</f>
        <v/>
      </c>
    </row>
    <row r="579" hidden="1">
      <c r="A579" s="11" t="s">
        <v>35</v>
      </c>
      <c r="B579" s="11" t="s">
        <v>44</v>
      </c>
      <c r="C579" s="11" t="s">
        <v>133</v>
      </c>
      <c r="D579" s="11" t="s">
        <v>2291</v>
      </c>
      <c r="E579" s="11" t="s">
        <v>2292</v>
      </c>
      <c r="F579" s="11" t="s">
        <v>228</v>
      </c>
      <c r="G579" s="11">
        <v>12.41</v>
      </c>
      <c r="H579" s="11" t="s">
        <v>56</v>
      </c>
      <c r="I579" s="12">
        <v>5436.0</v>
      </c>
      <c r="J579" s="12">
        <v>7350.0</v>
      </c>
      <c r="K579" s="11">
        <v>6550.0</v>
      </c>
      <c r="L579" s="11" t="s">
        <v>2293</v>
      </c>
      <c r="M579" s="11" t="s">
        <v>2294</v>
      </c>
      <c r="N579" s="11" t="s">
        <v>903</v>
      </c>
      <c r="O579" s="11" t="s">
        <v>57</v>
      </c>
      <c r="P579" s="11" t="s">
        <v>42</v>
      </c>
      <c r="Q579" s="13" t="str">
        <f>IFERROR(VLOOKUP(E579,'SF Churn Data'!E:R,14,0),"")</f>
        <v/>
      </c>
    </row>
    <row r="580" hidden="1">
      <c r="A580" s="11" t="s">
        <v>225</v>
      </c>
      <c r="B580" s="11" t="s">
        <v>44</v>
      </c>
      <c r="C580" s="11" t="s">
        <v>64</v>
      </c>
      <c r="D580" s="11" t="s">
        <v>2295</v>
      </c>
      <c r="E580" s="11" t="s">
        <v>2296</v>
      </c>
      <c r="F580" s="11" t="s">
        <v>228</v>
      </c>
      <c r="G580" s="11">
        <v>17.9</v>
      </c>
      <c r="H580" s="11" t="s">
        <v>120</v>
      </c>
      <c r="I580" s="12">
        <v>6200.0</v>
      </c>
      <c r="J580" s="12">
        <v>8100.0</v>
      </c>
      <c r="K580" s="11">
        <v>7200.0</v>
      </c>
      <c r="L580" s="11" t="s">
        <v>2297</v>
      </c>
      <c r="M580" s="11" t="s">
        <v>2298</v>
      </c>
      <c r="N580" s="11" t="s">
        <v>1980</v>
      </c>
      <c r="O580" s="11" t="s">
        <v>41</v>
      </c>
      <c r="P580" s="11" t="s">
        <v>162</v>
      </c>
      <c r="Q580" s="13" t="str">
        <f>IFERROR(VLOOKUP(E580,'SF Churn Data'!E:R,14,0),"")</f>
        <v/>
      </c>
    </row>
    <row r="581" hidden="1">
      <c r="A581" s="11" t="s">
        <v>148</v>
      </c>
      <c r="B581" s="11" t="s">
        <v>44</v>
      </c>
      <c r="C581" s="11" t="s">
        <v>76</v>
      </c>
      <c r="D581" s="11" t="s">
        <v>2299</v>
      </c>
      <c r="E581" s="11" t="s">
        <v>2300</v>
      </c>
      <c r="F581" s="11" t="s">
        <v>228</v>
      </c>
      <c r="G581" s="11">
        <v>21.9</v>
      </c>
      <c r="H581" s="11" t="s">
        <v>56</v>
      </c>
      <c r="I581" s="12">
        <v>8349.0</v>
      </c>
      <c r="J581" s="12">
        <v>8350.0</v>
      </c>
      <c r="K581" s="12">
        <v>10050.0</v>
      </c>
      <c r="L581" s="11" t="s">
        <v>2301</v>
      </c>
      <c r="M581" s="11" t="s">
        <v>2302</v>
      </c>
      <c r="N581" s="11" t="s">
        <v>240</v>
      </c>
      <c r="O581" s="11" t="s">
        <v>151</v>
      </c>
      <c r="P581" s="11" t="s">
        <v>48</v>
      </c>
      <c r="Q581" s="13" t="str">
        <f>IFERROR(VLOOKUP(E581,'SF Churn Data'!E:R,14,0),"")</f>
        <v/>
      </c>
    </row>
    <row r="582" hidden="1">
      <c r="A582" s="11" t="s">
        <v>282</v>
      </c>
      <c r="B582" s="11" t="s">
        <v>44</v>
      </c>
      <c r="C582" s="11" t="s">
        <v>53</v>
      </c>
      <c r="D582" s="11" t="s">
        <v>2303</v>
      </c>
      <c r="E582" s="11" t="s">
        <v>2304</v>
      </c>
      <c r="F582" s="11" t="s">
        <v>228</v>
      </c>
      <c r="G582" s="11">
        <v>15.01</v>
      </c>
      <c r="H582" s="11" t="s">
        <v>56</v>
      </c>
      <c r="I582" s="12">
        <v>4851.0</v>
      </c>
      <c r="J582" s="12">
        <v>5850.0</v>
      </c>
      <c r="K582" s="12">
        <v>5900.0</v>
      </c>
      <c r="L582" s="11" t="s">
        <v>2305</v>
      </c>
      <c r="M582" s="11" t="s">
        <v>2306</v>
      </c>
      <c r="N582" s="11" t="s">
        <v>240</v>
      </c>
      <c r="O582" s="11" t="s">
        <v>57</v>
      </c>
      <c r="P582" s="11" t="s">
        <v>63</v>
      </c>
      <c r="Q582" s="13" t="str">
        <f>IFERROR(VLOOKUP(E582,'SF Churn Data'!E:R,14,0),"")</f>
        <v/>
      </c>
    </row>
    <row r="583" hidden="1">
      <c r="A583" s="11" t="s">
        <v>225</v>
      </c>
      <c r="B583" s="11" t="s">
        <v>44</v>
      </c>
      <c r="C583" s="11" t="s">
        <v>64</v>
      </c>
      <c r="D583" s="11" t="s">
        <v>2307</v>
      </c>
      <c r="E583" s="11" t="s">
        <v>2308</v>
      </c>
      <c r="F583" s="11" t="s">
        <v>228</v>
      </c>
      <c r="G583" s="11">
        <v>17.9</v>
      </c>
      <c r="H583" s="11" t="s">
        <v>120</v>
      </c>
      <c r="I583" s="12">
        <v>6200.0</v>
      </c>
      <c r="J583" s="12">
        <v>8100.0</v>
      </c>
      <c r="K583" s="12">
        <v>7200.0</v>
      </c>
      <c r="L583" s="11" t="s">
        <v>2309</v>
      </c>
      <c r="M583" s="11" t="s">
        <v>2310</v>
      </c>
      <c r="N583" s="11" t="s">
        <v>131</v>
      </c>
      <c r="O583" s="11" t="s">
        <v>41</v>
      </c>
      <c r="P583" s="11" t="s">
        <v>162</v>
      </c>
      <c r="Q583" s="13" t="str">
        <f>IFERROR(VLOOKUP(E583,'SF Churn Data'!E:R,14,0),"")</f>
        <v/>
      </c>
    </row>
    <row r="584" hidden="1">
      <c r="A584" s="11" t="s">
        <v>138</v>
      </c>
      <c r="B584" s="11" t="s">
        <v>45</v>
      </c>
      <c r="C584" s="11" t="s">
        <v>45</v>
      </c>
      <c r="D584" s="11" t="s">
        <v>2311</v>
      </c>
      <c r="E584" s="11" t="s">
        <v>2312</v>
      </c>
      <c r="F584" s="11" t="s">
        <v>228</v>
      </c>
      <c r="G584" s="11">
        <v>8.85</v>
      </c>
      <c r="H584" s="11" t="s">
        <v>45</v>
      </c>
      <c r="I584" s="12">
        <v>1652.0</v>
      </c>
      <c r="J584" s="12">
        <v>2400.0</v>
      </c>
      <c r="K584" s="11">
        <v>2050.0</v>
      </c>
      <c r="L584" s="11" t="s">
        <v>2313</v>
      </c>
      <c r="M584" s="11" t="s">
        <v>2314</v>
      </c>
      <c r="N584" s="11" t="s">
        <v>143</v>
      </c>
      <c r="O584" s="11" t="s">
        <v>41</v>
      </c>
      <c r="P584" s="11" t="s">
        <v>144</v>
      </c>
      <c r="Q584" s="13" t="str">
        <f>IFERROR(VLOOKUP(E584,'SF Churn Data'!E:R,14,0),"")</f>
        <v/>
      </c>
    </row>
    <row r="585" hidden="1">
      <c r="A585" s="11" t="s">
        <v>112</v>
      </c>
      <c r="B585" s="11" t="s">
        <v>45</v>
      </c>
      <c r="C585" s="11" t="s">
        <v>45</v>
      </c>
      <c r="D585" s="11" t="s">
        <v>2315</v>
      </c>
      <c r="E585" s="11" t="s">
        <v>2316</v>
      </c>
      <c r="F585" s="11" t="s">
        <v>228</v>
      </c>
      <c r="G585" s="11">
        <v>11.9</v>
      </c>
      <c r="H585" s="11" t="s">
        <v>45</v>
      </c>
      <c r="I585" s="12">
        <v>3257.0</v>
      </c>
      <c r="J585" s="12">
        <v>4600.0</v>
      </c>
      <c r="K585" s="12">
        <v>4000.0</v>
      </c>
      <c r="L585" s="11" t="s">
        <v>2317</v>
      </c>
      <c r="M585" s="11" t="s">
        <v>2318</v>
      </c>
      <c r="N585" s="11" t="s">
        <v>143</v>
      </c>
      <c r="O585" s="11" t="s">
        <v>198</v>
      </c>
      <c r="P585" s="11" t="s">
        <v>42</v>
      </c>
      <c r="Q585" s="13" t="str">
        <f>IFERROR(VLOOKUP(E585,'SF Churn Data'!E:R,14,0),"")</f>
        <v/>
      </c>
    </row>
    <row r="586" hidden="1">
      <c r="A586" s="11" t="s">
        <v>912</v>
      </c>
      <c r="B586" s="11" t="s">
        <v>45</v>
      </c>
      <c r="C586" s="11" t="s">
        <v>45</v>
      </c>
      <c r="D586" s="11" t="s">
        <v>2319</v>
      </c>
      <c r="E586" s="11" t="s">
        <v>2320</v>
      </c>
      <c r="F586" s="11" t="s">
        <v>228</v>
      </c>
      <c r="G586" s="11">
        <v>9.05</v>
      </c>
      <c r="H586" s="11" t="s">
        <v>45</v>
      </c>
      <c r="I586" s="12">
        <v>2600.0</v>
      </c>
      <c r="J586" s="12">
        <v>3250.0</v>
      </c>
      <c r="K586" s="11">
        <v>3000.0</v>
      </c>
      <c r="L586" s="11" t="s">
        <v>2321</v>
      </c>
      <c r="M586" s="11" t="s">
        <v>2322</v>
      </c>
      <c r="N586" s="11" t="s">
        <v>143</v>
      </c>
      <c r="O586" s="11" t="s">
        <v>41</v>
      </c>
      <c r="P586" s="11" t="s">
        <v>917</v>
      </c>
      <c r="Q586" s="13" t="str">
        <f>IFERROR(VLOOKUP(E586,'SF Churn Data'!E:R,14,0),"")</f>
        <v/>
      </c>
    </row>
    <row r="587" hidden="1">
      <c r="A587" s="11" t="s">
        <v>1238</v>
      </c>
      <c r="B587" s="11" t="s">
        <v>44</v>
      </c>
      <c r="C587" s="11" t="s">
        <v>53</v>
      </c>
      <c r="D587" s="11" t="s">
        <v>2323</v>
      </c>
      <c r="E587" s="11" t="s">
        <v>2324</v>
      </c>
      <c r="F587" s="11" t="s">
        <v>228</v>
      </c>
      <c r="G587" s="11">
        <v>15.44</v>
      </c>
      <c r="H587" s="11" t="s">
        <v>1242</v>
      </c>
      <c r="I587" s="12">
        <v>3600.0</v>
      </c>
      <c r="J587" s="12">
        <v>4700.0</v>
      </c>
      <c r="K587" s="12"/>
      <c r="L587" s="11" t="s">
        <v>2325</v>
      </c>
      <c r="M587" s="11" t="s">
        <v>2326</v>
      </c>
      <c r="N587" s="11" t="s">
        <v>491</v>
      </c>
      <c r="O587" s="11" t="s">
        <v>41</v>
      </c>
      <c r="P587" s="11" t="s">
        <v>144</v>
      </c>
      <c r="Q587" s="13" t="str">
        <f>IFERROR(VLOOKUP(E587,'SF Churn Data'!E:R,14,0),"")</f>
        <v/>
      </c>
    </row>
    <row r="588" hidden="1">
      <c r="A588" s="11" t="s">
        <v>225</v>
      </c>
      <c r="B588" s="11" t="s">
        <v>44</v>
      </c>
      <c r="C588" s="11" t="s">
        <v>53</v>
      </c>
      <c r="D588" s="11" t="s">
        <v>2327</v>
      </c>
      <c r="E588" s="11" t="s">
        <v>2328</v>
      </c>
      <c r="F588" s="11" t="s">
        <v>228</v>
      </c>
      <c r="G588" s="11">
        <v>15.36</v>
      </c>
      <c r="H588" s="11" t="s">
        <v>120</v>
      </c>
      <c r="I588" s="12">
        <v>5700.0</v>
      </c>
      <c r="J588" s="12">
        <v>7450.0</v>
      </c>
      <c r="K588" s="11">
        <v>6600.0</v>
      </c>
      <c r="L588" s="11" t="s">
        <v>2329</v>
      </c>
      <c r="M588" s="11" t="s">
        <v>2330</v>
      </c>
      <c r="N588" s="11" t="s">
        <v>143</v>
      </c>
      <c r="O588" s="11" t="s">
        <v>41</v>
      </c>
      <c r="P588" s="11" t="s">
        <v>162</v>
      </c>
      <c r="Q588" s="13" t="str">
        <f>IFERROR(VLOOKUP(E588,'SF Churn Data'!E:R,14,0),"")</f>
        <v/>
      </c>
    </row>
    <row r="589" hidden="1">
      <c r="A589" s="11" t="s">
        <v>225</v>
      </c>
      <c r="B589" s="11" t="s">
        <v>44</v>
      </c>
      <c r="C589" s="11" t="s">
        <v>53</v>
      </c>
      <c r="D589" s="11" t="s">
        <v>2331</v>
      </c>
      <c r="E589" s="11" t="s">
        <v>2332</v>
      </c>
      <c r="F589" s="11" t="s">
        <v>228</v>
      </c>
      <c r="G589" s="11">
        <v>15.0</v>
      </c>
      <c r="H589" s="11" t="s">
        <v>120</v>
      </c>
      <c r="I589" s="12">
        <v>5150.0</v>
      </c>
      <c r="J589" s="12">
        <v>6700.0</v>
      </c>
      <c r="K589" s="11">
        <v>6000.0</v>
      </c>
      <c r="L589" s="11" t="s">
        <v>2333</v>
      </c>
      <c r="M589" s="11" t="s">
        <v>2334</v>
      </c>
      <c r="N589" s="11" t="s">
        <v>1980</v>
      </c>
      <c r="O589" s="11" t="s">
        <v>161</v>
      </c>
      <c r="P589" s="11" t="s">
        <v>162</v>
      </c>
      <c r="Q589" s="13" t="str">
        <f>IFERROR(VLOOKUP(E589,'SF Churn Data'!E:R,14,0),"")</f>
        <v/>
      </c>
    </row>
    <row r="590" hidden="1">
      <c r="A590" s="11" t="s">
        <v>282</v>
      </c>
      <c r="B590" s="11" t="s">
        <v>44</v>
      </c>
      <c r="C590" s="11" t="s">
        <v>64</v>
      </c>
      <c r="D590" s="11" t="s">
        <v>2335</v>
      </c>
      <c r="E590" s="11" t="s">
        <v>2336</v>
      </c>
      <c r="F590" s="11" t="s">
        <v>228</v>
      </c>
      <c r="G590" s="11">
        <v>18.02</v>
      </c>
      <c r="H590" s="11" t="s">
        <v>120</v>
      </c>
      <c r="I590" s="12">
        <v>5767.0</v>
      </c>
      <c r="J590" s="12">
        <v>6950.0</v>
      </c>
      <c r="K590" s="12">
        <v>7000.0</v>
      </c>
      <c r="L590" s="11" t="s">
        <v>2337</v>
      </c>
      <c r="M590" s="11" t="s">
        <v>2338</v>
      </c>
      <c r="N590" s="11" t="s">
        <v>2262</v>
      </c>
      <c r="O590" s="11" t="s">
        <v>41</v>
      </c>
      <c r="P590" s="11" t="s">
        <v>63</v>
      </c>
      <c r="Q590" s="13" t="str">
        <f>IFERROR(VLOOKUP(E590,'SF Churn Data'!E:R,14,0),"")</f>
        <v/>
      </c>
    </row>
    <row r="591" hidden="1">
      <c r="A591" s="11" t="s">
        <v>282</v>
      </c>
      <c r="B591" s="11" t="s">
        <v>44</v>
      </c>
      <c r="C591" s="11" t="s">
        <v>64</v>
      </c>
      <c r="D591" s="11" t="s">
        <v>2339</v>
      </c>
      <c r="E591" s="11" t="s">
        <v>2340</v>
      </c>
      <c r="F591" s="11" t="s">
        <v>228</v>
      </c>
      <c r="G591" s="11">
        <v>17.72</v>
      </c>
      <c r="H591" s="11" t="s">
        <v>120</v>
      </c>
      <c r="I591" s="12">
        <v>5767.0</v>
      </c>
      <c r="J591" s="12">
        <v>6950.0</v>
      </c>
      <c r="K591" s="12">
        <v>7000.0</v>
      </c>
      <c r="L591" s="11" t="s">
        <v>2341</v>
      </c>
      <c r="M591" s="11" t="s">
        <v>2342</v>
      </c>
      <c r="N591" s="11" t="s">
        <v>903</v>
      </c>
      <c r="O591" s="11" t="s">
        <v>41</v>
      </c>
      <c r="P591" s="11" t="s">
        <v>63</v>
      </c>
      <c r="Q591" s="13" t="str">
        <f>IFERROR(VLOOKUP(E591,'SF Churn Data'!E:R,14,0),"")</f>
        <v/>
      </c>
    </row>
    <row r="592" hidden="1">
      <c r="A592" s="11" t="s">
        <v>125</v>
      </c>
      <c r="B592" s="11" t="s">
        <v>44</v>
      </c>
      <c r="C592" s="11" t="s">
        <v>180</v>
      </c>
      <c r="D592" s="11" t="s">
        <v>2343</v>
      </c>
      <c r="E592" s="11" t="s">
        <v>2344</v>
      </c>
      <c r="F592" s="11" t="s">
        <v>228</v>
      </c>
      <c r="G592" s="11">
        <v>22.44</v>
      </c>
      <c r="H592" s="11" t="s">
        <v>168</v>
      </c>
      <c r="I592" s="12">
        <v>3323.0</v>
      </c>
      <c r="J592" s="12">
        <v>2850.0</v>
      </c>
      <c r="K592" s="11">
        <v>3550.0</v>
      </c>
      <c r="L592" s="11" t="s">
        <v>2345</v>
      </c>
      <c r="M592" s="11" t="s">
        <v>2346</v>
      </c>
      <c r="N592" s="11" t="s">
        <v>131</v>
      </c>
      <c r="O592" s="11" t="s">
        <v>57</v>
      </c>
      <c r="P592" s="11"/>
      <c r="Q592" s="13" t="str">
        <f>IFERROR(VLOOKUP(E592,'SF Churn Data'!E:R,14,0),"")</f>
        <v/>
      </c>
    </row>
    <row r="593" hidden="1">
      <c r="A593" s="11" t="s">
        <v>43</v>
      </c>
      <c r="B593" s="11" t="s">
        <v>44</v>
      </c>
      <c r="C593" s="11" t="s">
        <v>64</v>
      </c>
      <c r="D593" s="11" t="s">
        <v>2347</v>
      </c>
      <c r="E593" s="11" t="s">
        <v>2348</v>
      </c>
      <c r="F593" s="11" t="s">
        <v>228</v>
      </c>
      <c r="G593" s="11">
        <v>17.05</v>
      </c>
      <c r="H593" s="11" t="s">
        <v>120</v>
      </c>
      <c r="I593" s="12">
        <v>6800.0</v>
      </c>
      <c r="J593" s="12">
        <v>8200.0</v>
      </c>
      <c r="K593" s="11"/>
      <c r="L593" s="11" t="s">
        <v>2349</v>
      </c>
      <c r="M593" s="11" t="s">
        <v>2350</v>
      </c>
      <c r="N593" s="11" t="s">
        <v>806</v>
      </c>
      <c r="O593" s="11" t="s">
        <v>41</v>
      </c>
      <c r="P593" s="11" t="s">
        <v>48</v>
      </c>
      <c r="Q593" s="13" t="str">
        <f>IFERROR(VLOOKUP(E593,'SF Churn Data'!E:R,14,0),"")</f>
        <v/>
      </c>
    </row>
    <row r="594" hidden="1">
      <c r="A594" s="11" t="s">
        <v>1822</v>
      </c>
      <c r="B594" s="11" t="s">
        <v>44</v>
      </c>
      <c r="C594" s="11" t="s">
        <v>423</v>
      </c>
      <c r="D594" s="11" t="s">
        <v>2351</v>
      </c>
      <c r="E594" s="11" t="s">
        <v>2352</v>
      </c>
      <c r="F594" s="11" t="s">
        <v>228</v>
      </c>
      <c r="G594" s="11">
        <v>27.03</v>
      </c>
      <c r="H594" s="11" t="s">
        <v>168</v>
      </c>
      <c r="I594" s="12">
        <v>4900.0</v>
      </c>
      <c r="J594" s="12">
        <v>5400.0</v>
      </c>
      <c r="K594" s="12"/>
      <c r="L594" s="11" t="s">
        <v>2353</v>
      </c>
      <c r="M594" s="11" t="s">
        <v>2354</v>
      </c>
      <c r="N594" s="11" t="s">
        <v>903</v>
      </c>
      <c r="O594" s="11" t="s">
        <v>41</v>
      </c>
      <c r="P594" s="11"/>
      <c r="Q594" s="13" t="str">
        <f>IFERROR(VLOOKUP(E594,'SF Churn Data'!E:R,14,0),"")</f>
        <v/>
      </c>
    </row>
    <row r="595" hidden="1">
      <c r="A595" s="11" t="s">
        <v>158</v>
      </c>
      <c r="B595" s="11" t="s">
        <v>45</v>
      </c>
      <c r="C595" s="11" t="s">
        <v>45</v>
      </c>
      <c r="D595" s="11" t="s">
        <v>2355</v>
      </c>
      <c r="E595" s="11" t="s">
        <v>2356</v>
      </c>
      <c r="F595" s="11" t="s">
        <v>228</v>
      </c>
      <c r="G595" s="11">
        <v>7.4</v>
      </c>
      <c r="H595" s="11" t="s">
        <v>45</v>
      </c>
      <c r="I595" s="12">
        <v>2542.0</v>
      </c>
      <c r="J595" s="12">
        <v>2550.0</v>
      </c>
      <c r="K595" s="12">
        <v>3100.0</v>
      </c>
      <c r="L595" s="11" t="s">
        <v>2357</v>
      </c>
      <c r="M595" s="11" t="s">
        <v>2358</v>
      </c>
      <c r="N595" s="11" t="s">
        <v>403</v>
      </c>
      <c r="O595" s="11" t="s">
        <v>41</v>
      </c>
      <c r="P595" s="11" t="s">
        <v>162</v>
      </c>
      <c r="Q595" s="13" t="str">
        <f>IFERROR(VLOOKUP(E595,'SF Churn Data'!E:R,14,0),"")</f>
        <v/>
      </c>
    </row>
    <row r="596" hidden="1">
      <c r="A596" s="11" t="s">
        <v>171</v>
      </c>
      <c r="B596" s="11" t="s">
        <v>44</v>
      </c>
      <c r="C596" s="11" t="s">
        <v>76</v>
      </c>
      <c r="D596" s="11" t="s">
        <v>2359</v>
      </c>
      <c r="E596" s="11" t="s">
        <v>2360</v>
      </c>
      <c r="F596" s="11" t="s">
        <v>228</v>
      </c>
      <c r="G596" s="11">
        <v>21.44</v>
      </c>
      <c r="H596" s="11" t="s">
        <v>120</v>
      </c>
      <c r="I596" s="12">
        <v>5250.0</v>
      </c>
      <c r="J596" s="12">
        <v>6050.0</v>
      </c>
      <c r="K596" s="11">
        <v>6300.0</v>
      </c>
      <c r="L596" s="11" t="s">
        <v>2361</v>
      </c>
      <c r="M596" s="11" t="s">
        <v>2362</v>
      </c>
      <c r="N596" s="11" t="s">
        <v>143</v>
      </c>
      <c r="O596" s="11" t="s">
        <v>117</v>
      </c>
      <c r="P596" s="11"/>
      <c r="Q596" s="13" t="str">
        <f>IFERROR(VLOOKUP(E596,'SF Churn Data'!E:R,14,0),"")</f>
        <v/>
      </c>
    </row>
    <row r="597" hidden="1">
      <c r="A597" s="11" t="s">
        <v>1822</v>
      </c>
      <c r="B597" s="11" t="s">
        <v>44</v>
      </c>
      <c r="C597" s="11" t="s">
        <v>53</v>
      </c>
      <c r="D597" s="11" t="s">
        <v>2363</v>
      </c>
      <c r="E597" s="11" t="s">
        <v>2364</v>
      </c>
      <c r="F597" s="11" t="s">
        <v>228</v>
      </c>
      <c r="G597" s="11">
        <v>15.99</v>
      </c>
      <c r="H597" s="11" t="s">
        <v>56</v>
      </c>
      <c r="I597" s="12">
        <v>3700.0</v>
      </c>
      <c r="J597" s="12">
        <v>4100.0</v>
      </c>
      <c r="K597" s="12"/>
      <c r="L597" s="11" t="s">
        <v>2365</v>
      </c>
      <c r="M597" s="11" t="s">
        <v>2366</v>
      </c>
      <c r="N597" s="11" t="s">
        <v>363</v>
      </c>
      <c r="O597" s="11" t="s">
        <v>57</v>
      </c>
      <c r="P597" s="11"/>
      <c r="Q597" s="13" t="str">
        <f>IFERROR(VLOOKUP(E597,'SF Churn Data'!E:R,14,0),"")</f>
        <v/>
      </c>
    </row>
    <row r="598" hidden="1">
      <c r="A598" s="11" t="s">
        <v>148</v>
      </c>
      <c r="B598" s="11" t="s">
        <v>44</v>
      </c>
      <c r="C598" s="11" t="s">
        <v>64</v>
      </c>
      <c r="D598" s="11" t="s">
        <v>2367</v>
      </c>
      <c r="E598" s="11" t="s">
        <v>2368</v>
      </c>
      <c r="F598" s="11" t="s">
        <v>228</v>
      </c>
      <c r="G598" s="11">
        <v>17.0</v>
      </c>
      <c r="H598" s="11" t="s">
        <v>56</v>
      </c>
      <c r="I598" s="12">
        <v>7096.0</v>
      </c>
      <c r="J598" s="12">
        <v>7100.0</v>
      </c>
      <c r="K598" s="12">
        <v>8550.0</v>
      </c>
      <c r="L598" s="11" t="s">
        <v>2369</v>
      </c>
      <c r="M598" s="11" t="s">
        <v>2370</v>
      </c>
      <c r="N598" s="11" t="s">
        <v>1980</v>
      </c>
      <c r="O598" s="11" t="s">
        <v>151</v>
      </c>
      <c r="P598" s="11" t="s">
        <v>48</v>
      </c>
      <c r="Q598" s="13" t="str">
        <f>IFERROR(VLOOKUP(E598,'SF Churn Data'!E:R,14,0),"")</f>
        <v/>
      </c>
    </row>
    <row r="599" hidden="1">
      <c r="A599" s="11" t="s">
        <v>364</v>
      </c>
      <c r="B599" s="11" t="s">
        <v>44</v>
      </c>
      <c r="C599" s="11" t="s">
        <v>64</v>
      </c>
      <c r="D599" s="11" t="s">
        <v>2371</v>
      </c>
      <c r="E599" s="11" t="s">
        <v>2372</v>
      </c>
      <c r="F599" s="11" t="s">
        <v>228</v>
      </c>
      <c r="G599" s="11">
        <v>17.14</v>
      </c>
      <c r="H599" s="11" t="s">
        <v>120</v>
      </c>
      <c r="I599" s="12">
        <v>4650.0</v>
      </c>
      <c r="J599" s="12">
        <v>4650.0</v>
      </c>
      <c r="K599" s="12">
        <v>5400.0</v>
      </c>
      <c r="L599" s="11" t="s">
        <v>2373</v>
      </c>
      <c r="M599" s="11" t="s">
        <v>2374</v>
      </c>
      <c r="N599" s="11" t="s">
        <v>240</v>
      </c>
      <c r="O599" s="11" t="s">
        <v>41</v>
      </c>
      <c r="P599" s="11" t="s">
        <v>369</v>
      </c>
      <c r="Q599" s="13" t="str">
        <f>IFERROR(VLOOKUP(E599,'SF Churn Data'!E:R,14,0),"")</f>
        <v/>
      </c>
    </row>
    <row r="600" hidden="1">
      <c r="A600" s="11" t="s">
        <v>1238</v>
      </c>
      <c r="B600" s="11" t="s">
        <v>44</v>
      </c>
      <c r="C600" s="11" t="s">
        <v>53</v>
      </c>
      <c r="D600" s="11" t="s">
        <v>2375</v>
      </c>
      <c r="E600" s="11" t="s">
        <v>2376</v>
      </c>
      <c r="F600" s="11" t="s">
        <v>2377</v>
      </c>
      <c r="G600" s="11">
        <v>15.83</v>
      </c>
      <c r="H600" s="11" t="s">
        <v>1242</v>
      </c>
      <c r="I600" s="12">
        <v>3600.0</v>
      </c>
      <c r="J600" s="12">
        <v>4700.0</v>
      </c>
      <c r="K600" s="12"/>
      <c r="L600" s="11" t="s">
        <v>2378</v>
      </c>
      <c r="M600" s="11" t="s">
        <v>2379</v>
      </c>
      <c r="N600" s="11" t="s">
        <v>131</v>
      </c>
      <c r="O600" s="11" t="s">
        <v>57</v>
      </c>
      <c r="P600" s="11" t="s">
        <v>144</v>
      </c>
      <c r="Q600" s="13" t="str">
        <f>IFERROR(VLOOKUP(E600,'SF Churn Data'!E:R,14,0),"")</f>
        <v/>
      </c>
    </row>
    <row r="601" hidden="1">
      <c r="A601" s="11" t="s">
        <v>1238</v>
      </c>
      <c r="B601" s="11" t="s">
        <v>44</v>
      </c>
      <c r="C601" s="11" t="s">
        <v>1239</v>
      </c>
      <c r="D601" s="11" t="s">
        <v>2380</v>
      </c>
      <c r="E601" s="11" t="s">
        <v>2381</v>
      </c>
      <c r="F601" s="11" t="s">
        <v>2377</v>
      </c>
      <c r="G601" s="11">
        <v>49.0</v>
      </c>
      <c r="H601" s="11" t="s">
        <v>471</v>
      </c>
      <c r="I601" s="12">
        <v>6949.0</v>
      </c>
      <c r="J601" s="12">
        <v>9050.0</v>
      </c>
      <c r="K601" s="11"/>
      <c r="L601" s="11" t="s">
        <v>2382</v>
      </c>
      <c r="M601" s="11" t="s">
        <v>2383</v>
      </c>
      <c r="N601" s="11" t="s">
        <v>131</v>
      </c>
      <c r="O601" s="11" t="s">
        <v>57</v>
      </c>
      <c r="P601" s="11" t="s">
        <v>144</v>
      </c>
      <c r="Q601" s="13" t="str">
        <f>IFERROR(VLOOKUP(E601,'SF Churn Data'!E:R,14,0),"")</f>
        <v/>
      </c>
    </row>
    <row r="602" hidden="1">
      <c r="A602" s="11" t="s">
        <v>1238</v>
      </c>
      <c r="B602" s="11" t="s">
        <v>44</v>
      </c>
      <c r="C602" s="11" t="s">
        <v>1239</v>
      </c>
      <c r="D602" s="11" t="s">
        <v>2384</v>
      </c>
      <c r="E602" s="11" t="s">
        <v>2385</v>
      </c>
      <c r="F602" s="11" t="s">
        <v>2377</v>
      </c>
      <c r="G602" s="11">
        <v>49.2</v>
      </c>
      <c r="H602" s="11" t="s">
        <v>471</v>
      </c>
      <c r="I602" s="12">
        <v>6949.0</v>
      </c>
      <c r="J602" s="12">
        <v>9050.0</v>
      </c>
      <c r="K602" s="11"/>
      <c r="L602" s="11" t="s">
        <v>2386</v>
      </c>
      <c r="M602" s="11" t="s">
        <v>2387</v>
      </c>
      <c r="N602" s="11" t="s">
        <v>131</v>
      </c>
      <c r="O602" s="11" t="s">
        <v>57</v>
      </c>
      <c r="P602" s="11" t="s">
        <v>144</v>
      </c>
      <c r="Q602" s="13" t="str">
        <f>IFERROR(VLOOKUP(E602,'SF Churn Data'!E:R,14,0),"")</f>
        <v/>
      </c>
    </row>
    <row r="603" hidden="1">
      <c r="A603" s="11" t="s">
        <v>1238</v>
      </c>
      <c r="B603" s="11" t="s">
        <v>44</v>
      </c>
      <c r="C603" s="11" t="s">
        <v>1239</v>
      </c>
      <c r="D603" s="11" t="s">
        <v>2388</v>
      </c>
      <c r="E603" s="11" t="s">
        <v>2389</v>
      </c>
      <c r="F603" s="11" t="s">
        <v>2377</v>
      </c>
      <c r="G603" s="11">
        <v>45.73</v>
      </c>
      <c r="H603" s="11" t="s">
        <v>471</v>
      </c>
      <c r="I603" s="12">
        <v>6949.0</v>
      </c>
      <c r="J603" s="12">
        <v>9050.0</v>
      </c>
      <c r="K603" s="12"/>
      <c r="L603" s="11" t="s">
        <v>2390</v>
      </c>
      <c r="M603" s="11" t="s">
        <v>2391</v>
      </c>
      <c r="N603" s="11" t="s">
        <v>131</v>
      </c>
      <c r="O603" s="11" t="s">
        <v>57</v>
      </c>
      <c r="P603" s="11" t="s">
        <v>144</v>
      </c>
      <c r="Q603" s="13" t="str">
        <f>IFERROR(VLOOKUP(E603,'SF Churn Data'!E:R,14,0),"")</f>
        <v/>
      </c>
    </row>
    <row r="604" hidden="1">
      <c r="A604" s="11" t="s">
        <v>1238</v>
      </c>
      <c r="B604" s="11" t="s">
        <v>44</v>
      </c>
      <c r="C604" s="11" t="s">
        <v>53</v>
      </c>
      <c r="D604" s="11" t="s">
        <v>2392</v>
      </c>
      <c r="E604" s="11" t="s">
        <v>2393</v>
      </c>
      <c r="F604" s="11" t="s">
        <v>2377</v>
      </c>
      <c r="G604" s="11">
        <v>16.09</v>
      </c>
      <c r="H604" s="11" t="s">
        <v>1242</v>
      </c>
      <c r="I604" s="12">
        <v>3600.0</v>
      </c>
      <c r="J604" s="12">
        <v>4700.0</v>
      </c>
      <c r="K604" s="12"/>
      <c r="L604" s="11" t="s">
        <v>2394</v>
      </c>
      <c r="M604" s="11" t="s">
        <v>2395</v>
      </c>
      <c r="N604" s="11" t="s">
        <v>131</v>
      </c>
      <c r="O604" s="11" t="s">
        <v>57</v>
      </c>
      <c r="P604" s="11" t="s">
        <v>144</v>
      </c>
      <c r="Q604" s="13" t="str">
        <f>IFERROR(VLOOKUP(E604,'SF Churn Data'!E:R,14,0),"")</f>
        <v/>
      </c>
    </row>
    <row r="605" hidden="1">
      <c r="A605" s="11" t="s">
        <v>148</v>
      </c>
      <c r="B605" s="11" t="s">
        <v>45</v>
      </c>
      <c r="C605" s="11" t="s">
        <v>45</v>
      </c>
      <c r="D605" s="11" t="s">
        <v>2396</v>
      </c>
      <c r="E605" s="11" t="s">
        <v>2397</v>
      </c>
      <c r="F605" s="11" t="s">
        <v>2377</v>
      </c>
      <c r="G605" s="11">
        <v>8.8</v>
      </c>
      <c r="H605" s="11" t="s">
        <v>45</v>
      </c>
      <c r="I605" s="12">
        <v>4171.0</v>
      </c>
      <c r="J605" s="12">
        <v>4200.0</v>
      </c>
      <c r="K605" s="11">
        <v>5050.0</v>
      </c>
      <c r="L605" s="11" t="s">
        <v>2398</v>
      </c>
      <c r="M605" s="11" t="s">
        <v>2399</v>
      </c>
      <c r="N605" s="11" t="s">
        <v>143</v>
      </c>
      <c r="O605" s="11" t="s">
        <v>57</v>
      </c>
      <c r="P605" s="11" t="s">
        <v>48</v>
      </c>
      <c r="Q605" s="13" t="str">
        <f>IFERROR(VLOOKUP(E605,'SF Churn Data'!E:R,14,0),"")</f>
        <v/>
      </c>
    </row>
    <row r="606" hidden="1">
      <c r="A606" s="11" t="s">
        <v>201</v>
      </c>
      <c r="B606" s="11" t="s">
        <v>44</v>
      </c>
      <c r="C606" s="11" t="s">
        <v>76</v>
      </c>
      <c r="D606" s="11" t="s">
        <v>2400</v>
      </c>
      <c r="E606" s="11" t="s">
        <v>2401</v>
      </c>
      <c r="F606" s="11" t="s">
        <v>2377</v>
      </c>
      <c r="G606" s="11">
        <v>19.62</v>
      </c>
      <c r="H606" s="11" t="s">
        <v>120</v>
      </c>
      <c r="I606" s="12">
        <v>3950.0</v>
      </c>
      <c r="J606" s="12">
        <v>4750.0</v>
      </c>
      <c r="K606" s="11">
        <v>4600.0</v>
      </c>
      <c r="L606" s="11" t="s">
        <v>2402</v>
      </c>
      <c r="M606" s="11" t="s">
        <v>2403</v>
      </c>
      <c r="N606" s="11" t="s">
        <v>363</v>
      </c>
      <c r="O606" s="11" t="s">
        <v>57</v>
      </c>
      <c r="P606" s="11"/>
      <c r="Q606" s="13" t="str">
        <f>IFERROR(VLOOKUP(E606,'SF Churn Data'!E:R,14,0),"")</f>
        <v/>
      </c>
    </row>
    <row r="607" hidden="1">
      <c r="A607" s="11" t="s">
        <v>138</v>
      </c>
      <c r="B607" s="11" t="s">
        <v>44</v>
      </c>
      <c r="C607" s="11" t="s">
        <v>64</v>
      </c>
      <c r="D607" s="11" t="s">
        <v>2404</v>
      </c>
      <c r="E607" s="11" t="s">
        <v>2405</v>
      </c>
      <c r="F607" s="11" t="s">
        <v>2377</v>
      </c>
      <c r="G607" s="11">
        <v>18.21</v>
      </c>
      <c r="H607" s="11" t="s">
        <v>120</v>
      </c>
      <c r="I607" s="12">
        <v>3944.0</v>
      </c>
      <c r="J607" s="12">
        <v>5750.0</v>
      </c>
      <c r="K607" s="12">
        <v>4750.0</v>
      </c>
      <c r="L607" s="11" t="s">
        <v>2406</v>
      </c>
      <c r="M607" s="11" t="s">
        <v>2407</v>
      </c>
      <c r="N607" s="11" t="s">
        <v>131</v>
      </c>
      <c r="O607" s="11" t="s">
        <v>57</v>
      </c>
      <c r="P607" s="11" t="s">
        <v>144</v>
      </c>
      <c r="Q607" s="13" t="str">
        <f>IFERROR(VLOOKUP(E607,'SF Churn Data'!E:R,14,0),"")</f>
        <v/>
      </c>
    </row>
    <row r="608" hidden="1">
      <c r="A608" s="11" t="s">
        <v>35</v>
      </c>
      <c r="B608" s="11" t="s">
        <v>44</v>
      </c>
      <c r="C608" s="11" t="s">
        <v>133</v>
      </c>
      <c r="D608" s="11" t="s">
        <v>2408</v>
      </c>
      <c r="E608" s="11" t="s">
        <v>2409</v>
      </c>
      <c r="F608" s="11" t="s">
        <v>2377</v>
      </c>
      <c r="G608" s="11">
        <v>13.05</v>
      </c>
      <c r="H608" s="11" t="s">
        <v>56</v>
      </c>
      <c r="I608" s="12">
        <v>5436.0</v>
      </c>
      <c r="J608" s="12">
        <v>7350.0</v>
      </c>
      <c r="K608" s="11">
        <v>6550.0</v>
      </c>
      <c r="L608" s="11" t="s">
        <v>2410</v>
      </c>
      <c r="M608" s="11" t="s">
        <v>2411</v>
      </c>
      <c r="N608" s="11" t="s">
        <v>903</v>
      </c>
      <c r="O608" s="11" t="s">
        <v>57</v>
      </c>
      <c r="P608" s="11" t="s">
        <v>42</v>
      </c>
      <c r="Q608" s="13" t="str">
        <f>IFERROR(VLOOKUP(E608,'SF Churn Data'!E:R,14,0),"")</f>
        <v/>
      </c>
    </row>
    <row r="609" hidden="1">
      <c r="A609" s="11" t="s">
        <v>201</v>
      </c>
      <c r="B609" s="11" t="s">
        <v>44</v>
      </c>
      <c r="C609" s="11" t="s">
        <v>76</v>
      </c>
      <c r="D609" s="11" t="s">
        <v>2412</v>
      </c>
      <c r="E609" s="11" t="s">
        <v>2413</v>
      </c>
      <c r="F609" s="11" t="s">
        <v>2377</v>
      </c>
      <c r="G609" s="11">
        <v>21.29</v>
      </c>
      <c r="H609" s="11" t="s">
        <v>120</v>
      </c>
      <c r="I609" s="12">
        <v>3950.0</v>
      </c>
      <c r="J609" s="12">
        <v>4750.0</v>
      </c>
      <c r="K609" s="12">
        <v>4600.0</v>
      </c>
      <c r="L609" s="11" t="s">
        <v>2414</v>
      </c>
      <c r="M609" s="11" t="s">
        <v>2415</v>
      </c>
      <c r="N609" s="11" t="s">
        <v>143</v>
      </c>
      <c r="O609" s="11" t="s">
        <v>41</v>
      </c>
      <c r="P609" s="11"/>
      <c r="Q609" s="13" t="str">
        <f>IFERROR(VLOOKUP(E609,'SF Churn Data'!E:R,14,0),"")</f>
        <v/>
      </c>
    </row>
    <row r="610" hidden="1">
      <c r="A610" s="11" t="s">
        <v>165</v>
      </c>
      <c r="B610" s="11" t="s">
        <v>44</v>
      </c>
      <c r="C610" s="11" t="s">
        <v>151</v>
      </c>
      <c r="D610" s="11" t="s">
        <v>2416</v>
      </c>
      <c r="E610" s="11" t="s">
        <v>2417</v>
      </c>
      <c r="F610" s="11" t="s">
        <v>2377</v>
      </c>
      <c r="G610" s="11">
        <v>24.53</v>
      </c>
      <c r="H610" s="11" t="s">
        <v>168</v>
      </c>
      <c r="I610" s="12">
        <v>4750.0</v>
      </c>
      <c r="J610" s="12">
        <v>5700.0</v>
      </c>
      <c r="K610" s="11">
        <v>5950.0</v>
      </c>
      <c r="L610" s="11" t="s">
        <v>2418</v>
      </c>
      <c r="M610" s="11" t="s">
        <v>2419</v>
      </c>
      <c r="N610" s="11" t="s">
        <v>143</v>
      </c>
      <c r="O610" s="11" t="s">
        <v>41</v>
      </c>
      <c r="P610" s="11"/>
      <c r="Q610" s="13" t="str">
        <f>IFERROR(VLOOKUP(E610,'SF Churn Data'!E:R,14,0),"")</f>
        <v/>
      </c>
    </row>
    <row r="611" hidden="1">
      <c r="A611" s="11" t="s">
        <v>201</v>
      </c>
      <c r="B611" s="11" t="s">
        <v>44</v>
      </c>
      <c r="C611" s="11" t="s">
        <v>113</v>
      </c>
      <c r="D611" s="11" t="s">
        <v>2420</v>
      </c>
      <c r="E611" s="11" t="s">
        <v>2421</v>
      </c>
      <c r="F611" s="11" t="s">
        <v>2377</v>
      </c>
      <c r="G611" s="11">
        <v>12.59</v>
      </c>
      <c r="H611" s="11" t="s">
        <v>116</v>
      </c>
      <c r="I611" s="12">
        <v>2600.0</v>
      </c>
      <c r="J611" s="12">
        <v>3150.0</v>
      </c>
      <c r="K611" s="11">
        <v>3000.0</v>
      </c>
      <c r="L611" s="11" t="s">
        <v>2422</v>
      </c>
      <c r="M611" s="11" t="s">
        <v>2423</v>
      </c>
      <c r="N611" s="11" t="s">
        <v>363</v>
      </c>
      <c r="O611" s="11" t="s">
        <v>57</v>
      </c>
      <c r="P611" s="11"/>
      <c r="Q611" s="13" t="str">
        <f>IFERROR(VLOOKUP(E611,'SF Churn Data'!E:R,14,0),"")</f>
        <v/>
      </c>
    </row>
    <row r="612" hidden="1">
      <c r="A612" s="11" t="s">
        <v>201</v>
      </c>
      <c r="B612" s="11" t="s">
        <v>44</v>
      </c>
      <c r="C612" s="11" t="s">
        <v>180</v>
      </c>
      <c r="D612" s="11" t="s">
        <v>2424</v>
      </c>
      <c r="E612" s="11" t="s">
        <v>2425</v>
      </c>
      <c r="F612" s="11" t="s">
        <v>2377</v>
      </c>
      <c r="G612" s="11">
        <v>22.04</v>
      </c>
      <c r="H612" s="11" t="s">
        <v>168</v>
      </c>
      <c r="I612" s="12">
        <v>4150.0</v>
      </c>
      <c r="J612" s="12">
        <v>5000.0</v>
      </c>
      <c r="K612" s="11">
        <v>4800.0</v>
      </c>
      <c r="L612" s="11" t="s">
        <v>2426</v>
      </c>
      <c r="M612" s="11" t="s">
        <v>2427</v>
      </c>
      <c r="N612" s="11" t="s">
        <v>240</v>
      </c>
      <c r="O612" s="11" t="s">
        <v>41</v>
      </c>
      <c r="P612" s="11"/>
      <c r="Q612" s="13" t="str">
        <f>IFERROR(VLOOKUP(E612,'SF Churn Data'!E:R,14,0),"")</f>
        <v/>
      </c>
    </row>
    <row r="613" hidden="1">
      <c r="A613" s="11" t="s">
        <v>364</v>
      </c>
      <c r="B613" s="11" t="s">
        <v>44</v>
      </c>
      <c r="C613" s="11" t="s">
        <v>133</v>
      </c>
      <c r="D613" s="11" t="s">
        <v>2428</v>
      </c>
      <c r="E613" s="11" t="s">
        <v>2429</v>
      </c>
      <c r="F613" s="11" t="s">
        <v>2377</v>
      </c>
      <c r="G613" s="11">
        <v>14.08</v>
      </c>
      <c r="H613" s="11" t="s">
        <v>2430</v>
      </c>
      <c r="I613" s="12">
        <v>3750.0</v>
      </c>
      <c r="J613" s="12">
        <v>3750.0</v>
      </c>
      <c r="K613" s="12">
        <v>2400.0</v>
      </c>
      <c r="L613" s="11" t="s">
        <v>2431</v>
      </c>
      <c r="M613" s="11" t="s">
        <v>2432</v>
      </c>
      <c r="N613" s="11" t="s">
        <v>806</v>
      </c>
      <c r="O613" s="11" t="s">
        <v>117</v>
      </c>
      <c r="P613" s="11" t="s">
        <v>369</v>
      </c>
      <c r="Q613" s="13" t="str">
        <f>IFERROR(VLOOKUP(E613,'SF Churn Data'!E:R,14,0),"")</f>
        <v/>
      </c>
    </row>
    <row r="614" hidden="1">
      <c r="A614" s="11" t="s">
        <v>364</v>
      </c>
      <c r="B614" s="11" t="s">
        <v>44</v>
      </c>
      <c r="C614" s="11" t="s">
        <v>133</v>
      </c>
      <c r="D614" s="11" t="s">
        <v>2433</v>
      </c>
      <c r="E614" s="11" t="s">
        <v>2434</v>
      </c>
      <c r="F614" s="11" t="s">
        <v>2377</v>
      </c>
      <c r="G614" s="11">
        <v>14.38</v>
      </c>
      <c r="H614" s="11" t="s">
        <v>56</v>
      </c>
      <c r="I614" s="12">
        <v>3900.0</v>
      </c>
      <c r="J614" s="12">
        <v>3900.0</v>
      </c>
      <c r="K614" s="12">
        <v>4500.0</v>
      </c>
      <c r="L614" s="11" t="s">
        <v>2435</v>
      </c>
      <c r="M614" s="11" t="s">
        <v>2436</v>
      </c>
      <c r="N614" s="11" t="s">
        <v>806</v>
      </c>
      <c r="O614" s="11" t="s">
        <v>117</v>
      </c>
      <c r="P614" s="11" t="s">
        <v>369</v>
      </c>
      <c r="Q614" s="13" t="str">
        <f>IFERROR(VLOOKUP(E614,'SF Churn Data'!E:R,14,0),"")</f>
        <v/>
      </c>
    </row>
    <row r="615" hidden="1">
      <c r="A615" s="11" t="s">
        <v>364</v>
      </c>
      <c r="B615" s="11" t="s">
        <v>44</v>
      </c>
      <c r="C615" s="11" t="s">
        <v>64</v>
      </c>
      <c r="D615" s="11" t="s">
        <v>2437</v>
      </c>
      <c r="E615" s="11" t="s">
        <v>2438</v>
      </c>
      <c r="F615" s="11" t="s">
        <v>2377</v>
      </c>
      <c r="G615" s="11">
        <v>17.08</v>
      </c>
      <c r="H615" s="11" t="s">
        <v>120</v>
      </c>
      <c r="I615" s="12">
        <v>4500.0</v>
      </c>
      <c r="J615" s="12">
        <v>4500.0</v>
      </c>
      <c r="K615" s="12">
        <v>5400.0</v>
      </c>
      <c r="L615" s="11" t="s">
        <v>2439</v>
      </c>
      <c r="M615" s="11" t="s">
        <v>2440</v>
      </c>
      <c r="N615" s="11" t="s">
        <v>806</v>
      </c>
      <c r="O615" s="11" t="s">
        <v>117</v>
      </c>
      <c r="P615" s="11" t="s">
        <v>369</v>
      </c>
      <c r="Q615" s="13" t="str">
        <f>IFERROR(VLOOKUP(E615,'SF Churn Data'!E:R,14,0),"")</f>
        <v/>
      </c>
    </row>
    <row r="616" hidden="1">
      <c r="A616" s="11" t="s">
        <v>364</v>
      </c>
      <c r="B616" s="11" t="s">
        <v>44</v>
      </c>
      <c r="C616" s="11" t="s">
        <v>76</v>
      </c>
      <c r="D616" s="11" t="s">
        <v>2441</v>
      </c>
      <c r="E616" s="11" t="s">
        <v>2442</v>
      </c>
      <c r="F616" s="11" t="s">
        <v>2377</v>
      </c>
      <c r="G616" s="11">
        <v>19.53</v>
      </c>
      <c r="H616" s="11" t="s">
        <v>120</v>
      </c>
      <c r="I616" s="12">
        <v>5100.0</v>
      </c>
      <c r="J616" s="12">
        <v>5100.0</v>
      </c>
      <c r="K616" s="11">
        <v>5950.0</v>
      </c>
      <c r="L616" s="11" t="s">
        <v>2443</v>
      </c>
      <c r="M616" s="11" t="s">
        <v>2444</v>
      </c>
      <c r="N616" s="11" t="s">
        <v>806</v>
      </c>
      <c r="O616" s="11" t="s">
        <v>117</v>
      </c>
      <c r="P616" s="11" t="s">
        <v>369</v>
      </c>
      <c r="Q616" s="13" t="str">
        <f>IFERROR(VLOOKUP(E616,'SF Churn Data'!E:R,14,0),"")</f>
        <v/>
      </c>
    </row>
    <row r="617" hidden="1">
      <c r="A617" s="11" t="s">
        <v>201</v>
      </c>
      <c r="B617" s="11" t="s">
        <v>44</v>
      </c>
      <c r="C617" s="11" t="s">
        <v>113</v>
      </c>
      <c r="D617" s="11" t="s">
        <v>2445</v>
      </c>
      <c r="E617" s="11" t="s">
        <v>2446</v>
      </c>
      <c r="F617" s="11" t="s">
        <v>2377</v>
      </c>
      <c r="G617" s="11">
        <v>12.4</v>
      </c>
      <c r="H617" s="11" t="s">
        <v>116</v>
      </c>
      <c r="I617" s="12">
        <v>2600.0</v>
      </c>
      <c r="J617" s="12">
        <v>3150.0</v>
      </c>
      <c r="K617" s="11">
        <v>3000.0</v>
      </c>
      <c r="L617" s="11" t="s">
        <v>2447</v>
      </c>
      <c r="M617" s="11" t="s">
        <v>2448</v>
      </c>
      <c r="N617" s="11" t="s">
        <v>403</v>
      </c>
      <c r="O617" s="11" t="s">
        <v>41</v>
      </c>
      <c r="P617" s="11"/>
      <c r="Q617" s="13" t="str">
        <f>IFERROR(VLOOKUP(E617,'SF Churn Data'!E:R,14,0),"")</f>
        <v/>
      </c>
    </row>
    <row r="618" hidden="1">
      <c r="A618" s="11" t="s">
        <v>165</v>
      </c>
      <c r="B618" s="11" t="s">
        <v>45</v>
      </c>
      <c r="C618" s="11" t="s">
        <v>45</v>
      </c>
      <c r="D618" s="11" t="s">
        <v>2449</v>
      </c>
      <c r="E618" s="11" t="s">
        <v>2450</v>
      </c>
      <c r="F618" s="11" t="s">
        <v>2377</v>
      </c>
      <c r="G618" s="11">
        <v>10.38</v>
      </c>
      <c r="H618" s="11" t="s">
        <v>45</v>
      </c>
      <c r="I618" s="12">
        <v>1892.0</v>
      </c>
      <c r="J618" s="12">
        <v>2300.0</v>
      </c>
      <c r="K618" s="12">
        <v>2300.0</v>
      </c>
      <c r="L618" s="11" t="s">
        <v>2451</v>
      </c>
      <c r="M618" s="11" t="s">
        <v>2452</v>
      </c>
      <c r="N618" s="11" t="s">
        <v>403</v>
      </c>
      <c r="O618" s="11" t="s">
        <v>117</v>
      </c>
      <c r="P618" s="11"/>
      <c r="Q618" s="13" t="str">
        <f>IFERROR(VLOOKUP(E618,'SF Churn Data'!E:R,14,0),"")</f>
        <v/>
      </c>
    </row>
    <row r="619" hidden="1">
      <c r="A619" s="11" t="s">
        <v>154</v>
      </c>
      <c r="B619" s="11" t="s">
        <v>44</v>
      </c>
      <c r="C619" s="11" t="s">
        <v>180</v>
      </c>
      <c r="D619" s="11" t="s">
        <v>2453</v>
      </c>
      <c r="E619" s="11" t="s">
        <v>2454</v>
      </c>
      <c r="F619" s="11" t="s">
        <v>2377</v>
      </c>
      <c r="G619" s="11">
        <v>22.0</v>
      </c>
      <c r="H619" s="11" t="s">
        <v>56</v>
      </c>
      <c r="I619" s="12">
        <v>6090.0</v>
      </c>
      <c r="J619" s="12">
        <v>8550.0</v>
      </c>
      <c r="K619" s="11">
        <v>7350.0</v>
      </c>
      <c r="L619" s="11" t="s">
        <v>2455</v>
      </c>
      <c r="M619" s="11" t="s">
        <v>2456</v>
      </c>
      <c r="N619" s="11" t="s">
        <v>131</v>
      </c>
      <c r="O619" s="11" t="s">
        <v>151</v>
      </c>
      <c r="P619" s="11" t="s">
        <v>157</v>
      </c>
      <c r="Q619" s="13" t="str">
        <f>IFERROR(VLOOKUP(E619,'SF Churn Data'!E:R,14,0),"")</f>
        <v/>
      </c>
    </row>
    <row r="620" hidden="1">
      <c r="A620" s="11" t="s">
        <v>158</v>
      </c>
      <c r="B620" s="11" t="s">
        <v>44</v>
      </c>
      <c r="C620" s="11" t="s">
        <v>133</v>
      </c>
      <c r="D620" s="11" t="s">
        <v>2457</v>
      </c>
      <c r="E620" s="11" t="s">
        <v>2458</v>
      </c>
      <c r="F620" s="11" t="s">
        <v>2377</v>
      </c>
      <c r="G620" s="11">
        <v>14.49</v>
      </c>
      <c r="H620" s="11" t="s">
        <v>56</v>
      </c>
      <c r="I620" s="12">
        <v>4666.0</v>
      </c>
      <c r="J620" s="12">
        <v>4700.0</v>
      </c>
      <c r="K620" s="12">
        <v>5650.0</v>
      </c>
      <c r="L620" s="11" t="s">
        <v>2459</v>
      </c>
      <c r="M620" s="11" t="s">
        <v>2460</v>
      </c>
      <c r="N620" s="11" t="s">
        <v>131</v>
      </c>
      <c r="O620" s="11" t="s">
        <v>41</v>
      </c>
      <c r="P620" s="11" t="s">
        <v>162</v>
      </c>
      <c r="Q620" s="13" t="str">
        <f>IFERROR(VLOOKUP(E620,'SF Churn Data'!E:R,14,0),"")</f>
        <v/>
      </c>
    </row>
    <row r="621" hidden="1">
      <c r="A621" s="11" t="s">
        <v>43</v>
      </c>
      <c r="B621" s="11" t="s">
        <v>44</v>
      </c>
      <c r="C621" s="11" t="s">
        <v>76</v>
      </c>
      <c r="D621" s="11" t="s">
        <v>2461</v>
      </c>
      <c r="E621" s="11" t="s">
        <v>2462</v>
      </c>
      <c r="F621" s="11" t="s">
        <v>2377</v>
      </c>
      <c r="G621" s="11">
        <v>19.77</v>
      </c>
      <c r="H621" s="11" t="s">
        <v>120</v>
      </c>
      <c r="I621" s="12">
        <v>7200.0</v>
      </c>
      <c r="J621" s="12">
        <v>8650.0</v>
      </c>
      <c r="K621" s="11"/>
      <c r="L621" s="11" t="s">
        <v>2463</v>
      </c>
      <c r="M621" s="11" t="s">
        <v>2464</v>
      </c>
      <c r="N621" s="11" t="s">
        <v>131</v>
      </c>
      <c r="O621" s="11" t="s">
        <v>57</v>
      </c>
      <c r="P621" s="11" t="s">
        <v>48</v>
      </c>
      <c r="Q621" s="13" t="str">
        <f>IFERROR(VLOOKUP(E621,'SF Churn Data'!E:R,14,0),"")</f>
        <v/>
      </c>
    </row>
    <row r="622" hidden="1">
      <c r="A622" s="11" t="s">
        <v>1238</v>
      </c>
      <c r="B622" s="11" t="s">
        <v>44</v>
      </c>
      <c r="C622" s="11" t="s">
        <v>133</v>
      </c>
      <c r="D622" s="11" t="s">
        <v>2465</v>
      </c>
      <c r="E622" s="11" t="s">
        <v>2466</v>
      </c>
      <c r="F622" s="11" t="s">
        <v>2377</v>
      </c>
      <c r="G622" s="11">
        <v>13.41</v>
      </c>
      <c r="H622" s="11" t="s">
        <v>1242</v>
      </c>
      <c r="I622" s="12">
        <v>3199.0</v>
      </c>
      <c r="J622" s="12">
        <v>4200.0</v>
      </c>
      <c r="K622" s="11"/>
      <c r="L622" s="11" t="s">
        <v>2467</v>
      </c>
      <c r="M622" s="11" t="s">
        <v>2468</v>
      </c>
      <c r="N622" s="11" t="s">
        <v>403</v>
      </c>
      <c r="O622" s="11" t="s">
        <v>41</v>
      </c>
      <c r="P622" s="11" t="s">
        <v>144</v>
      </c>
      <c r="Q622" s="13" t="str">
        <f>IFERROR(VLOOKUP(E622,'SF Churn Data'!E:R,14,0),"")</f>
        <v/>
      </c>
    </row>
    <row r="623" hidden="1">
      <c r="A623" s="11" t="s">
        <v>125</v>
      </c>
      <c r="B623" s="11" t="s">
        <v>44</v>
      </c>
      <c r="C623" s="11" t="s">
        <v>180</v>
      </c>
      <c r="D623" s="11" t="s">
        <v>2469</v>
      </c>
      <c r="E623" s="11" t="s">
        <v>2470</v>
      </c>
      <c r="F623" s="11" t="s">
        <v>2377</v>
      </c>
      <c r="G623" s="11">
        <v>22.12</v>
      </c>
      <c r="H623" s="11" t="s">
        <v>168</v>
      </c>
      <c r="I623" s="12">
        <v>3323.0</v>
      </c>
      <c r="J623" s="12">
        <v>2850.0</v>
      </c>
      <c r="K623" s="11"/>
      <c r="L623" s="11" t="s">
        <v>2471</v>
      </c>
      <c r="M623" s="11" t="s">
        <v>2472</v>
      </c>
      <c r="N623" s="11" t="s">
        <v>403</v>
      </c>
      <c r="O623" s="11" t="s">
        <v>83</v>
      </c>
      <c r="P623" s="11"/>
      <c r="Q623" s="13" t="str">
        <f>IFERROR(VLOOKUP(E623,'SF Churn Data'!E:R,14,0),"")</f>
        <v/>
      </c>
    </row>
    <row r="624" hidden="1">
      <c r="A624" s="11" t="s">
        <v>216</v>
      </c>
      <c r="B624" s="11" t="s">
        <v>44</v>
      </c>
      <c r="C624" s="11" t="s">
        <v>53</v>
      </c>
      <c r="D624" s="11" t="s">
        <v>2473</v>
      </c>
      <c r="E624" s="11" t="s">
        <v>2474</v>
      </c>
      <c r="F624" s="11" t="s">
        <v>2377</v>
      </c>
      <c r="G624" s="11">
        <v>14.84</v>
      </c>
      <c r="H624" s="11" t="s">
        <v>120</v>
      </c>
      <c r="I624" s="12">
        <v>5494.0</v>
      </c>
      <c r="J624" s="12">
        <v>7700.0</v>
      </c>
      <c r="K624" s="11">
        <v>6600.0</v>
      </c>
      <c r="L624" s="11" t="s">
        <v>2475</v>
      </c>
      <c r="M624" s="11" t="s">
        <v>2476</v>
      </c>
      <c r="N624" s="11" t="s">
        <v>903</v>
      </c>
      <c r="O624" s="11" t="s">
        <v>41</v>
      </c>
      <c r="P624" s="11" t="s">
        <v>42</v>
      </c>
      <c r="Q624" s="13" t="str">
        <f>IFERROR(VLOOKUP(E624,'SF Churn Data'!E:R,14,0),"")</f>
        <v/>
      </c>
    </row>
    <row r="625" hidden="1">
      <c r="A625" s="11" t="s">
        <v>364</v>
      </c>
      <c r="B625" s="11" t="s">
        <v>44</v>
      </c>
      <c r="C625" s="11" t="s">
        <v>180</v>
      </c>
      <c r="D625" s="11" t="s">
        <v>2477</v>
      </c>
      <c r="E625" s="11" t="s">
        <v>2478</v>
      </c>
      <c r="F625" s="11" t="s">
        <v>2377</v>
      </c>
      <c r="G625" s="11">
        <v>23.65</v>
      </c>
      <c r="H625" s="11" t="s">
        <v>168</v>
      </c>
      <c r="I625" s="12">
        <v>5600.0</v>
      </c>
      <c r="J625" s="12">
        <v>5600.0</v>
      </c>
      <c r="K625" s="12">
        <v>6500.0</v>
      </c>
      <c r="L625" s="11" t="s">
        <v>2479</v>
      </c>
      <c r="M625" s="11" t="s">
        <v>2480</v>
      </c>
      <c r="N625" s="11" t="s">
        <v>1980</v>
      </c>
      <c r="O625" s="11" t="s">
        <v>41</v>
      </c>
      <c r="P625" s="11" t="s">
        <v>369</v>
      </c>
      <c r="Q625" s="13" t="str">
        <f>IFERROR(VLOOKUP(E625,'SF Churn Data'!E:R,14,0),"")</f>
        <v/>
      </c>
    </row>
    <row r="626" hidden="1">
      <c r="A626" s="11" t="s">
        <v>43</v>
      </c>
      <c r="B626" s="11" t="s">
        <v>44</v>
      </c>
      <c r="C626" s="11" t="s">
        <v>64</v>
      </c>
      <c r="D626" s="11" t="s">
        <v>2481</v>
      </c>
      <c r="E626" s="11" t="s">
        <v>2482</v>
      </c>
      <c r="F626" s="11" t="s">
        <v>2377</v>
      </c>
      <c r="G626" s="11">
        <v>17.12</v>
      </c>
      <c r="H626" s="11" t="s">
        <v>120</v>
      </c>
      <c r="I626" s="12">
        <v>6800.0</v>
      </c>
      <c r="J626" s="12">
        <v>8200.0</v>
      </c>
      <c r="K626" s="12"/>
      <c r="L626" s="11" t="s">
        <v>2483</v>
      </c>
      <c r="M626" s="11" t="s">
        <v>2484</v>
      </c>
      <c r="N626" s="11" t="s">
        <v>403</v>
      </c>
      <c r="O626" s="11" t="s">
        <v>41</v>
      </c>
      <c r="P626" s="11" t="s">
        <v>48</v>
      </c>
      <c r="Q626" s="13" t="str">
        <f>IFERROR(VLOOKUP(E626,'SF Churn Data'!E:R,14,0),"")</f>
        <v/>
      </c>
    </row>
    <row r="627" hidden="1">
      <c r="A627" s="11" t="s">
        <v>1029</v>
      </c>
      <c r="B627" s="11" t="s">
        <v>45</v>
      </c>
      <c r="C627" s="11" t="s">
        <v>45</v>
      </c>
      <c r="D627" s="11" t="s">
        <v>2485</v>
      </c>
      <c r="E627" s="11" t="s">
        <v>2486</v>
      </c>
      <c r="F627" s="11" t="s">
        <v>2487</v>
      </c>
      <c r="G627" s="14">
        <v>15.66</v>
      </c>
      <c r="H627" s="11"/>
      <c r="I627" s="12">
        <v>245.0</v>
      </c>
      <c r="J627" s="12">
        <v>200.0</v>
      </c>
      <c r="K627" s="12"/>
      <c r="L627" s="11" t="s">
        <v>2488</v>
      </c>
      <c r="M627" s="11" t="s">
        <v>2489</v>
      </c>
      <c r="N627" s="11" t="s">
        <v>1034</v>
      </c>
      <c r="O627" s="11" t="s">
        <v>213</v>
      </c>
      <c r="P627" s="11"/>
      <c r="Q627" s="13" t="str">
        <f>IFERROR(VLOOKUP(E627,'SF Churn Data'!E:R,14,0),"")</f>
        <v/>
      </c>
    </row>
    <row r="628" hidden="1">
      <c r="A628" s="11" t="s">
        <v>2208</v>
      </c>
      <c r="B628" s="11" t="s">
        <v>45</v>
      </c>
      <c r="C628" s="11" t="s">
        <v>45</v>
      </c>
      <c r="D628" s="11" t="s">
        <v>2490</v>
      </c>
      <c r="E628" s="11" t="s">
        <v>2491</v>
      </c>
      <c r="F628" s="11" t="s">
        <v>2487</v>
      </c>
      <c r="G628" s="11">
        <v>10.65</v>
      </c>
      <c r="H628" s="11" t="s">
        <v>45</v>
      </c>
      <c r="I628" s="12">
        <v>4700.0</v>
      </c>
      <c r="J628" s="12">
        <v>4700.0</v>
      </c>
      <c r="K628" s="12"/>
      <c r="L628" s="11" t="s">
        <v>2492</v>
      </c>
      <c r="M628" s="11" t="s">
        <v>2493</v>
      </c>
      <c r="N628" s="11" t="s">
        <v>131</v>
      </c>
      <c r="O628" s="11" t="s">
        <v>41</v>
      </c>
      <c r="P628" s="11"/>
      <c r="Q628" s="13" t="str">
        <f>IFERROR(VLOOKUP(E628,'SF Churn Data'!E:R,14,0),"")</f>
        <v/>
      </c>
    </row>
    <row r="629" hidden="1">
      <c r="A629" s="11" t="s">
        <v>282</v>
      </c>
      <c r="B629" s="11" t="s">
        <v>44</v>
      </c>
      <c r="C629" s="11" t="s">
        <v>64</v>
      </c>
      <c r="D629" s="11" t="s">
        <v>2494</v>
      </c>
      <c r="E629" s="11" t="s">
        <v>2495</v>
      </c>
      <c r="F629" s="11" t="s">
        <v>2487</v>
      </c>
      <c r="G629" s="11">
        <v>18.11</v>
      </c>
      <c r="H629" s="11" t="s">
        <v>120</v>
      </c>
      <c r="I629" s="12">
        <v>5767.0</v>
      </c>
      <c r="J629" s="12">
        <v>6950.0</v>
      </c>
      <c r="K629" s="12">
        <v>7000.0</v>
      </c>
      <c r="L629" s="11" t="s">
        <v>2496</v>
      </c>
      <c r="M629" s="11" t="s">
        <v>2497</v>
      </c>
      <c r="N629" s="11" t="s">
        <v>363</v>
      </c>
      <c r="O629" s="11" t="s">
        <v>41</v>
      </c>
      <c r="P629" s="11" t="s">
        <v>63</v>
      </c>
      <c r="Q629" s="13" t="str">
        <f>IFERROR(VLOOKUP(E629,'SF Churn Data'!E:R,14,0),"")</f>
        <v/>
      </c>
    </row>
    <row r="630" hidden="1">
      <c r="A630" s="11" t="s">
        <v>158</v>
      </c>
      <c r="B630" s="11" t="s">
        <v>44</v>
      </c>
      <c r="C630" s="11" t="s">
        <v>64</v>
      </c>
      <c r="D630" s="11" t="s">
        <v>2498</v>
      </c>
      <c r="E630" s="11" t="s">
        <v>2499</v>
      </c>
      <c r="F630" s="11" t="s">
        <v>2487</v>
      </c>
      <c r="G630" s="11">
        <v>18.11</v>
      </c>
      <c r="H630" s="11" t="s">
        <v>120</v>
      </c>
      <c r="I630" s="12">
        <v>5516.0</v>
      </c>
      <c r="J630" s="12">
        <v>5550.0</v>
      </c>
      <c r="K630" s="11">
        <v>6700.0</v>
      </c>
      <c r="L630" s="11" t="s">
        <v>2500</v>
      </c>
      <c r="M630" s="11" t="s">
        <v>2501</v>
      </c>
      <c r="N630" s="11" t="s">
        <v>903</v>
      </c>
      <c r="O630" s="11" t="s">
        <v>161</v>
      </c>
      <c r="P630" s="11" t="s">
        <v>162</v>
      </c>
      <c r="Q630" s="13" t="str">
        <f>IFERROR(VLOOKUP(E630,'SF Churn Data'!E:R,14,0),"")</f>
        <v/>
      </c>
    </row>
    <row r="631" hidden="1">
      <c r="A631" s="11" t="s">
        <v>154</v>
      </c>
      <c r="B631" s="11" t="s">
        <v>44</v>
      </c>
      <c r="C631" s="11" t="s">
        <v>64</v>
      </c>
      <c r="D631" s="11" t="s">
        <v>2502</v>
      </c>
      <c r="E631" s="11" t="s">
        <v>2503</v>
      </c>
      <c r="F631" s="11" t="s">
        <v>2487</v>
      </c>
      <c r="G631" s="11">
        <v>17.0</v>
      </c>
      <c r="H631" s="11" t="s">
        <v>56</v>
      </c>
      <c r="I631" s="12">
        <v>5731.0</v>
      </c>
      <c r="J631" s="12">
        <v>8050.0</v>
      </c>
      <c r="K631" s="11">
        <v>6900.0</v>
      </c>
      <c r="L631" s="11" t="s">
        <v>2504</v>
      </c>
      <c r="M631" s="11" t="s">
        <v>2505</v>
      </c>
      <c r="N631" s="11" t="s">
        <v>903</v>
      </c>
      <c r="O631" s="11" t="s">
        <v>151</v>
      </c>
      <c r="P631" s="11" t="s">
        <v>157</v>
      </c>
      <c r="Q631" s="13" t="str">
        <f>IFERROR(VLOOKUP(E631,'SF Churn Data'!E:R,14,0),"")</f>
        <v/>
      </c>
    </row>
    <row r="632" hidden="1">
      <c r="A632" s="11" t="s">
        <v>1822</v>
      </c>
      <c r="B632" s="11" t="s">
        <v>44</v>
      </c>
      <c r="C632" s="11" t="s">
        <v>423</v>
      </c>
      <c r="D632" s="11" t="s">
        <v>2506</v>
      </c>
      <c r="E632" s="11" t="s">
        <v>2507</v>
      </c>
      <c r="F632" s="11" t="s">
        <v>2487</v>
      </c>
      <c r="G632" s="11">
        <v>27.2</v>
      </c>
      <c r="H632" s="11" t="s">
        <v>168</v>
      </c>
      <c r="I632" s="12">
        <v>4900.0</v>
      </c>
      <c r="J632" s="12">
        <v>5400.0</v>
      </c>
      <c r="K632" s="11"/>
      <c r="L632" s="11" t="s">
        <v>2508</v>
      </c>
      <c r="M632" s="11" t="s">
        <v>2509</v>
      </c>
      <c r="N632" s="11" t="s">
        <v>363</v>
      </c>
      <c r="O632" s="11" t="s">
        <v>41</v>
      </c>
      <c r="P632" s="11"/>
      <c r="Q632" s="13" t="str">
        <f>IFERROR(VLOOKUP(E632,'SF Churn Data'!E:R,14,0),"")</f>
        <v/>
      </c>
    </row>
    <row r="633" hidden="1">
      <c r="A633" s="11" t="s">
        <v>1822</v>
      </c>
      <c r="B633" s="11" t="s">
        <v>44</v>
      </c>
      <c r="C633" s="11" t="s">
        <v>64</v>
      </c>
      <c r="D633" s="11" t="s">
        <v>2510</v>
      </c>
      <c r="E633" s="11" t="s">
        <v>2511</v>
      </c>
      <c r="F633" s="11" t="s">
        <v>2487</v>
      </c>
      <c r="G633" s="11">
        <v>17.19</v>
      </c>
      <c r="H633" s="11" t="s">
        <v>120</v>
      </c>
      <c r="I633" s="12">
        <v>4000.0</v>
      </c>
      <c r="J633" s="12">
        <v>4400.0</v>
      </c>
      <c r="K633" s="11"/>
      <c r="L633" s="11" t="s">
        <v>2512</v>
      </c>
      <c r="M633" s="11" t="s">
        <v>2513</v>
      </c>
      <c r="N633" s="11" t="s">
        <v>363</v>
      </c>
      <c r="O633" s="11" t="s">
        <v>57</v>
      </c>
      <c r="P633" s="11"/>
      <c r="Q633" s="13" t="str">
        <f>IFERROR(VLOOKUP(E633,'SF Churn Data'!E:R,14,0),"")</f>
        <v/>
      </c>
    </row>
    <row r="634" hidden="1">
      <c r="A634" s="11" t="s">
        <v>1822</v>
      </c>
      <c r="B634" s="11" t="s">
        <v>44</v>
      </c>
      <c r="C634" s="11" t="s">
        <v>76</v>
      </c>
      <c r="D634" s="11" t="s">
        <v>2514</v>
      </c>
      <c r="E634" s="11" t="s">
        <v>2515</v>
      </c>
      <c r="F634" s="11" t="s">
        <v>2487</v>
      </c>
      <c r="G634" s="11">
        <v>21.2</v>
      </c>
      <c r="H634" s="11" t="s">
        <v>120</v>
      </c>
      <c r="I634" s="12">
        <v>4200.0</v>
      </c>
      <c r="J634" s="12">
        <v>4650.0</v>
      </c>
      <c r="K634" s="11"/>
      <c r="L634" s="11" t="s">
        <v>2516</v>
      </c>
      <c r="M634" s="11" t="s">
        <v>2517</v>
      </c>
      <c r="N634" s="11" t="s">
        <v>363</v>
      </c>
      <c r="O634" s="11" t="s">
        <v>57</v>
      </c>
      <c r="P634" s="11"/>
      <c r="Q634" s="13" t="str">
        <f>IFERROR(VLOOKUP(E634,'SF Churn Data'!E:R,14,0),"")</f>
        <v/>
      </c>
    </row>
    <row r="635" hidden="1">
      <c r="A635" s="11" t="s">
        <v>912</v>
      </c>
      <c r="B635" s="11" t="s">
        <v>44</v>
      </c>
      <c r="C635" s="11" t="s">
        <v>180</v>
      </c>
      <c r="D635" s="11" t="s">
        <v>2518</v>
      </c>
      <c r="E635" s="11" t="s">
        <v>2519</v>
      </c>
      <c r="F635" s="11" t="s">
        <v>2487</v>
      </c>
      <c r="G635" s="11">
        <v>19.54</v>
      </c>
      <c r="H635" s="11" t="s">
        <v>168</v>
      </c>
      <c r="I635" s="12">
        <v>5700.0</v>
      </c>
      <c r="J635" s="12">
        <v>7150.0</v>
      </c>
      <c r="K635" s="12">
        <v>6600.0</v>
      </c>
      <c r="L635" s="11" t="s">
        <v>2520</v>
      </c>
      <c r="M635" s="11" t="s">
        <v>2521</v>
      </c>
      <c r="N635" s="11" t="s">
        <v>903</v>
      </c>
      <c r="O635" s="11" t="s">
        <v>41</v>
      </c>
      <c r="P635" s="11" t="s">
        <v>917</v>
      </c>
      <c r="Q635" s="13" t="str">
        <f>IFERROR(VLOOKUP(E635,'SF Churn Data'!E:R,14,0),"")</f>
        <v/>
      </c>
    </row>
    <row r="636" hidden="1">
      <c r="A636" s="11" t="s">
        <v>2208</v>
      </c>
      <c r="B636" s="11" t="s">
        <v>44</v>
      </c>
      <c r="C636" s="11" t="s">
        <v>76</v>
      </c>
      <c r="D636" s="11" t="s">
        <v>2522</v>
      </c>
      <c r="E636" s="11" t="s">
        <v>2523</v>
      </c>
      <c r="F636" s="11" t="s">
        <v>2487</v>
      </c>
      <c r="G636" s="11">
        <v>21.25</v>
      </c>
      <c r="H636" s="11" t="s">
        <v>120</v>
      </c>
      <c r="I636" s="12">
        <v>7900.0</v>
      </c>
      <c r="J636" s="12">
        <v>7900.0</v>
      </c>
      <c r="K636" s="12"/>
      <c r="L636" s="11" t="s">
        <v>2524</v>
      </c>
      <c r="M636" s="11" t="s">
        <v>2525</v>
      </c>
      <c r="N636" s="11" t="s">
        <v>806</v>
      </c>
      <c r="O636" s="11" t="s">
        <v>57</v>
      </c>
      <c r="P636" s="11"/>
      <c r="Q636" s="13" t="str">
        <f>IFERROR(VLOOKUP(E636,'SF Churn Data'!E:R,14,0),"")</f>
        <v/>
      </c>
    </row>
    <row r="637" hidden="1">
      <c r="A637" s="11" t="s">
        <v>2526</v>
      </c>
      <c r="B637" s="11" t="s">
        <v>44</v>
      </c>
      <c r="C637" s="11" t="s">
        <v>180</v>
      </c>
      <c r="D637" s="11" t="s">
        <v>2527</v>
      </c>
      <c r="E637" s="11" t="s">
        <v>2528</v>
      </c>
      <c r="F637" s="11" t="s">
        <v>2487</v>
      </c>
      <c r="G637" s="11">
        <v>22.07</v>
      </c>
      <c r="H637" s="11" t="s">
        <v>168</v>
      </c>
      <c r="I637" s="12">
        <v>9500.0</v>
      </c>
      <c r="J637" s="12">
        <v>10450.0</v>
      </c>
      <c r="K637" s="12"/>
      <c r="L637" s="11" t="s">
        <v>2529</v>
      </c>
      <c r="M637" s="11" t="s">
        <v>2530</v>
      </c>
      <c r="N637" s="11" t="s">
        <v>806</v>
      </c>
      <c r="O637" s="11" t="s">
        <v>2531</v>
      </c>
      <c r="P637" s="11" t="s">
        <v>42</v>
      </c>
      <c r="Q637" s="13" t="str">
        <f>IFERROR(VLOOKUP(E637,'SF Churn Data'!E:R,14,0),"")</f>
        <v/>
      </c>
    </row>
    <row r="638" hidden="1">
      <c r="A638" s="11" t="s">
        <v>1029</v>
      </c>
      <c r="B638" s="11" t="s">
        <v>45</v>
      </c>
      <c r="C638" s="11" t="s">
        <v>45</v>
      </c>
      <c r="D638" s="11" t="s">
        <v>2485</v>
      </c>
      <c r="E638" s="11" t="s">
        <v>2486</v>
      </c>
      <c r="F638" s="11" t="s">
        <v>2487</v>
      </c>
      <c r="G638" s="11">
        <v>15.66</v>
      </c>
      <c r="H638" s="11"/>
      <c r="I638" s="12">
        <v>245.0</v>
      </c>
      <c r="J638" s="12">
        <v>200.0</v>
      </c>
      <c r="K638" s="11"/>
      <c r="L638" s="11" t="s">
        <v>2532</v>
      </c>
      <c r="M638" s="11" t="s">
        <v>2533</v>
      </c>
      <c r="N638" s="11" t="s">
        <v>1034</v>
      </c>
      <c r="O638" s="11" t="s">
        <v>213</v>
      </c>
      <c r="P638" s="11"/>
      <c r="Q638" s="13" t="str">
        <f>IFERROR(VLOOKUP(E638,'SF Churn Data'!E:R,14,0),"")</f>
        <v/>
      </c>
    </row>
    <row r="639" hidden="1">
      <c r="A639" s="11" t="s">
        <v>148</v>
      </c>
      <c r="B639" s="11" t="s">
        <v>44</v>
      </c>
      <c r="C639" s="11" t="s">
        <v>64</v>
      </c>
      <c r="D639" s="11" t="s">
        <v>2534</v>
      </c>
      <c r="E639" s="11" t="s">
        <v>2535</v>
      </c>
      <c r="F639" s="11" t="s">
        <v>2487</v>
      </c>
      <c r="G639" s="11">
        <v>17.5</v>
      </c>
      <c r="H639" s="11" t="s">
        <v>56</v>
      </c>
      <c r="I639" s="12">
        <v>7096.0</v>
      </c>
      <c r="J639" s="12">
        <v>7100.0</v>
      </c>
      <c r="K639" s="11">
        <v>8550.0</v>
      </c>
      <c r="L639" s="11" t="s">
        <v>2536</v>
      </c>
      <c r="M639" s="11" t="s">
        <v>2537</v>
      </c>
      <c r="N639" s="11" t="s">
        <v>143</v>
      </c>
      <c r="O639" s="11" t="s">
        <v>151</v>
      </c>
      <c r="P639" s="11" t="s">
        <v>48</v>
      </c>
      <c r="Q639" s="13" t="str">
        <f>IFERROR(VLOOKUP(E639,'SF Churn Data'!E:R,14,0),"")</f>
        <v/>
      </c>
    </row>
    <row r="640" hidden="1">
      <c r="A640" s="11" t="s">
        <v>216</v>
      </c>
      <c r="B640" s="11" t="s">
        <v>44</v>
      </c>
      <c r="C640" s="11" t="s">
        <v>133</v>
      </c>
      <c r="D640" s="11" t="s">
        <v>2538</v>
      </c>
      <c r="E640" s="11" t="s">
        <v>2539</v>
      </c>
      <c r="F640" s="11" t="s">
        <v>2487</v>
      </c>
      <c r="G640" s="11">
        <v>11.84</v>
      </c>
      <c r="H640" s="11" t="s">
        <v>56</v>
      </c>
      <c r="I640" s="12">
        <v>4684.0</v>
      </c>
      <c r="J640" s="12">
        <v>6600.0</v>
      </c>
      <c r="K640" s="11">
        <v>5650.0</v>
      </c>
      <c r="L640" s="11" t="s">
        <v>2540</v>
      </c>
      <c r="M640" s="11" t="s">
        <v>2541</v>
      </c>
      <c r="N640" s="11" t="s">
        <v>143</v>
      </c>
      <c r="O640" s="11" t="s">
        <v>41</v>
      </c>
      <c r="P640" s="11" t="s">
        <v>42</v>
      </c>
      <c r="Q640" s="13" t="str">
        <f>IFERROR(VLOOKUP(E640,'SF Churn Data'!E:R,14,0),"")</f>
        <v/>
      </c>
    </row>
    <row r="641" hidden="1">
      <c r="A641" s="11" t="s">
        <v>1822</v>
      </c>
      <c r="B641" s="11" t="s">
        <v>44</v>
      </c>
      <c r="C641" s="11" t="s">
        <v>133</v>
      </c>
      <c r="D641" s="11" t="s">
        <v>2542</v>
      </c>
      <c r="E641" s="11" t="s">
        <v>2543</v>
      </c>
      <c r="F641" s="11" t="s">
        <v>2487</v>
      </c>
      <c r="G641" s="11">
        <v>13.03</v>
      </c>
      <c r="H641" s="11" t="s">
        <v>56</v>
      </c>
      <c r="I641" s="12">
        <v>3500.0</v>
      </c>
      <c r="J641" s="12">
        <v>3850.0</v>
      </c>
      <c r="K641" s="11"/>
      <c r="L641" s="11" t="s">
        <v>2544</v>
      </c>
      <c r="M641" s="11" t="s">
        <v>2545</v>
      </c>
      <c r="N641" s="11" t="s">
        <v>143</v>
      </c>
      <c r="O641" s="11" t="s">
        <v>57</v>
      </c>
      <c r="P641" s="11"/>
      <c r="Q641" s="13" t="str">
        <f>IFERROR(VLOOKUP(E641,'SF Churn Data'!E:R,14,0),"")</f>
        <v/>
      </c>
    </row>
    <row r="642" hidden="1">
      <c r="A642" s="11" t="s">
        <v>138</v>
      </c>
      <c r="B642" s="11" t="s">
        <v>45</v>
      </c>
      <c r="C642" s="11" t="s">
        <v>45</v>
      </c>
      <c r="D642" s="11" t="s">
        <v>2546</v>
      </c>
      <c r="E642" s="11" t="s">
        <v>2547</v>
      </c>
      <c r="F642" s="11" t="s">
        <v>2487</v>
      </c>
      <c r="G642" s="11">
        <v>10.21</v>
      </c>
      <c r="H642" s="11" t="s">
        <v>45</v>
      </c>
      <c r="I642" s="12">
        <v>1652.0</v>
      </c>
      <c r="J642" s="12">
        <v>2400.0</v>
      </c>
      <c r="K642" s="12">
        <v>2050.0</v>
      </c>
      <c r="L642" s="11" t="s">
        <v>2548</v>
      </c>
      <c r="M642" s="11" t="s">
        <v>2549</v>
      </c>
      <c r="N642" s="11" t="s">
        <v>806</v>
      </c>
      <c r="O642" s="11" t="s">
        <v>83</v>
      </c>
      <c r="P642" s="11" t="s">
        <v>144</v>
      </c>
      <c r="Q642" s="13" t="str">
        <f>IFERROR(VLOOKUP(E642,'SF Churn Data'!E:R,14,0),"")</f>
        <v/>
      </c>
    </row>
    <row r="643" hidden="1">
      <c r="A643" s="11" t="s">
        <v>364</v>
      </c>
      <c r="B643" s="11" t="s">
        <v>44</v>
      </c>
      <c r="C643" s="11" t="s">
        <v>53</v>
      </c>
      <c r="D643" s="11" t="s">
        <v>2550</v>
      </c>
      <c r="E643" s="11" t="s">
        <v>2551</v>
      </c>
      <c r="F643" s="11" t="s">
        <v>2487</v>
      </c>
      <c r="G643" s="11">
        <v>15.35</v>
      </c>
      <c r="H643" s="11" t="s">
        <v>56</v>
      </c>
      <c r="I643" s="12">
        <v>4250.0</v>
      </c>
      <c r="J643" s="12">
        <v>4250.0</v>
      </c>
      <c r="K643" s="11">
        <v>5000.0</v>
      </c>
      <c r="L643" s="11" t="s">
        <v>2552</v>
      </c>
      <c r="M643" s="11" t="s">
        <v>2553</v>
      </c>
      <c r="N643" s="11" t="s">
        <v>806</v>
      </c>
      <c r="O643" s="11" t="s">
        <v>117</v>
      </c>
      <c r="P643" s="11" t="s">
        <v>369</v>
      </c>
      <c r="Q643" s="13" t="str">
        <f>IFERROR(VLOOKUP(E643,'SF Churn Data'!E:R,14,0),"")</f>
        <v/>
      </c>
    </row>
    <row r="644" hidden="1">
      <c r="A644" s="11" t="s">
        <v>1822</v>
      </c>
      <c r="B644" s="11" t="s">
        <v>44</v>
      </c>
      <c r="C644" s="11" t="s">
        <v>64</v>
      </c>
      <c r="D644" s="11" t="s">
        <v>2554</v>
      </c>
      <c r="E644" s="11" t="s">
        <v>2555</v>
      </c>
      <c r="F644" s="11" t="s">
        <v>2487</v>
      </c>
      <c r="G644" s="11">
        <v>17.37</v>
      </c>
      <c r="H644" s="11" t="s">
        <v>120</v>
      </c>
      <c r="I644" s="12">
        <v>4000.0</v>
      </c>
      <c r="J644" s="12">
        <v>4400.0</v>
      </c>
      <c r="K644" s="11"/>
      <c r="L644" s="11" t="s">
        <v>2556</v>
      </c>
      <c r="M644" s="11" t="s">
        <v>2557</v>
      </c>
      <c r="N644" s="11" t="s">
        <v>363</v>
      </c>
      <c r="O644" s="11" t="s">
        <v>57</v>
      </c>
      <c r="P644" s="11"/>
      <c r="Q644" s="13" t="str">
        <f>IFERROR(VLOOKUP(E644,'SF Churn Data'!E:R,14,0),"")</f>
        <v/>
      </c>
    </row>
    <row r="645" hidden="1">
      <c r="A645" s="11" t="s">
        <v>1822</v>
      </c>
      <c r="B645" s="11" t="s">
        <v>44</v>
      </c>
      <c r="C645" s="11" t="s">
        <v>53</v>
      </c>
      <c r="D645" s="11" t="s">
        <v>2558</v>
      </c>
      <c r="E645" s="11" t="s">
        <v>2559</v>
      </c>
      <c r="F645" s="11" t="s">
        <v>2487</v>
      </c>
      <c r="G645" s="11">
        <v>15.1</v>
      </c>
      <c r="H645" s="11" t="s">
        <v>56</v>
      </c>
      <c r="I645" s="12">
        <v>3700.0</v>
      </c>
      <c r="J645" s="12">
        <v>4100.0</v>
      </c>
      <c r="K645" s="12"/>
      <c r="L645" s="11" t="s">
        <v>2560</v>
      </c>
      <c r="M645" s="11" t="s">
        <v>2561</v>
      </c>
      <c r="N645" s="11" t="s">
        <v>363</v>
      </c>
      <c r="O645" s="11" t="s">
        <v>57</v>
      </c>
      <c r="P645" s="11"/>
      <c r="Q645" s="13" t="str">
        <f>IFERROR(VLOOKUP(E645,'SF Churn Data'!E:R,14,0),"")</f>
        <v/>
      </c>
    </row>
    <row r="646" hidden="1">
      <c r="A646" s="11" t="s">
        <v>1029</v>
      </c>
      <c r="B646" s="11" t="s">
        <v>45</v>
      </c>
      <c r="C646" s="11" t="s">
        <v>45</v>
      </c>
      <c r="D646" s="11" t="s">
        <v>2562</v>
      </c>
      <c r="E646" s="11" t="s">
        <v>2563</v>
      </c>
      <c r="F646" s="11" t="s">
        <v>2487</v>
      </c>
      <c r="G646" s="11">
        <v>15.66</v>
      </c>
      <c r="H646" s="11"/>
      <c r="I646" s="12">
        <v>245.0</v>
      </c>
      <c r="J646" s="12">
        <v>200.0</v>
      </c>
      <c r="K646" s="11"/>
      <c r="L646" s="11" t="s">
        <v>2564</v>
      </c>
      <c r="M646" s="11" t="s">
        <v>2565</v>
      </c>
      <c r="N646" s="11" t="s">
        <v>1034</v>
      </c>
      <c r="O646" s="11" t="s">
        <v>213</v>
      </c>
      <c r="P646" s="11"/>
      <c r="Q646" s="13" t="str">
        <f>IFERROR(VLOOKUP(E646,'SF Churn Data'!E:R,14,0),"")</f>
        <v/>
      </c>
    </row>
    <row r="647" hidden="1">
      <c r="A647" s="11" t="s">
        <v>1822</v>
      </c>
      <c r="B647" s="11" t="s">
        <v>44</v>
      </c>
      <c r="C647" s="11" t="s">
        <v>76</v>
      </c>
      <c r="D647" s="11" t="s">
        <v>2566</v>
      </c>
      <c r="E647" s="11" t="s">
        <v>2567</v>
      </c>
      <c r="F647" s="11" t="s">
        <v>2487</v>
      </c>
      <c r="G647" s="11">
        <v>19.31</v>
      </c>
      <c r="H647" s="11" t="s">
        <v>120</v>
      </c>
      <c r="I647" s="12">
        <v>4200.0</v>
      </c>
      <c r="J647" s="12">
        <v>4650.0</v>
      </c>
      <c r="K647" s="11"/>
      <c r="L647" s="11" t="s">
        <v>2568</v>
      </c>
      <c r="M647" s="11" t="s">
        <v>2569</v>
      </c>
      <c r="N647" s="11" t="s">
        <v>363</v>
      </c>
      <c r="O647" s="11" t="s">
        <v>57</v>
      </c>
      <c r="P647" s="11"/>
      <c r="Q647" s="13" t="str">
        <f>IFERROR(VLOOKUP(E647,'SF Churn Data'!E:R,14,0),"")</f>
        <v/>
      </c>
    </row>
    <row r="648" hidden="1">
      <c r="A648" s="11" t="s">
        <v>1822</v>
      </c>
      <c r="B648" s="11" t="s">
        <v>44</v>
      </c>
      <c r="C648" s="11" t="s">
        <v>180</v>
      </c>
      <c r="D648" s="11" t="s">
        <v>2570</v>
      </c>
      <c r="E648" s="11" t="s">
        <v>2571</v>
      </c>
      <c r="F648" s="11" t="s">
        <v>2487</v>
      </c>
      <c r="G648" s="11">
        <v>22.26</v>
      </c>
      <c r="H648" s="11" t="s">
        <v>168</v>
      </c>
      <c r="I648" s="12">
        <v>4500.0</v>
      </c>
      <c r="J648" s="12">
        <v>4950.0</v>
      </c>
      <c r="K648" s="11"/>
      <c r="L648" s="11" t="s">
        <v>2572</v>
      </c>
      <c r="M648" s="11" t="s">
        <v>2573</v>
      </c>
      <c r="N648" s="11" t="s">
        <v>363</v>
      </c>
      <c r="O648" s="11" t="s">
        <v>57</v>
      </c>
      <c r="P648" s="11"/>
      <c r="Q648" s="13" t="str">
        <f>IFERROR(VLOOKUP(E648,'SF Churn Data'!E:R,14,0),"")</f>
        <v/>
      </c>
    </row>
    <row r="649" hidden="1">
      <c r="A649" s="11" t="s">
        <v>364</v>
      </c>
      <c r="B649" s="11" t="s">
        <v>44</v>
      </c>
      <c r="C649" s="11" t="s">
        <v>151</v>
      </c>
      <c r="D649" s="11" t="s">
        <v>2574</v>
      </c>
      <c r="E649" s="11" t="s">
        <v>2575</v>
      </c>
      <c r="F649" s="11" t="s">
        <v>2487</v>
      </c>
      <c r="G649" s="11">
        <v>25.32</v>
      </c>
      <c r="H649" s="11" t="s">
        <v>168</v>
      </c>
      <c r="I649" s="12">
        <v>6050.0</v>
      </c>
      <c r="J649" s="12">
        <v>6050.0</v>
      </c>
      <c r="K649" s="11">
        <v>7050.0</v>
      </c>
      <c r="L649" s="11" t="s">
        <v>2576</v>
      </c>
      <c r="M649" s="11" t="s">
        <v>2577</v>
      </c>
      <c r="N649" s="11" t="s">
        <v>131</v>
      </c>
      <c r="O649" s="11" t="s">
        <v>117</v>
      </c>
      <c r="P649" s="11" t="s">
        <v>369</v>
      </c>
      <c r="Q649" s="13" t="str">
        <f>IFERROR(VLOOKUP(E649,'SF Churn Data'!E:R,14,0),"")</f>
        <v/>
      </c>
    </row>
    <row r="650" hidden="1">
      <c r="A650" s="11" t="s">
        <v>49</v>
      </c>
      <c r="B650" s="11" t="s">
        <v>44</v>
      </c>
      <c r="C650" s="11" t="s">
        <v>180</v>
      </c>
      <c r="D650" s="11" t="s">
        <v>2578</v>
      </c>
      <c r="E650" s="11" t="s">
        <v>2579</v>
      </c>
      <c r="F650" s="11" t="s">
        <v>2487</v>
      </c>
      <c r="G650" s="11">
        <v>23.49</v>
      </c>
      <c r="H650" s="11" t="s">
        <v>168</v>
      </c>
      <c r="I650" s="12">
        <v>8300.0</v>
      </c>
      <c r="J650" s="12">
        <v>9550.0</v>
      </c>
      <c r="K650" s="11">
        <v>10000.0</v>
      </c>
      <c r="L650" s="11" t="s">
        <v>2580</v>
      </c>
      <c r="M650" s="11" t="s">
        <v>2581</v>
      </c>
      <c r="N650" s="11" t="s">
        <v>903</v>
      </c>
      <c r="O650" s="11" t="s">
        <v>57</v>
      </c>
      <c r="P650" s="11" t="s">
        <v>48</v>
      </c>
      <c r="Q650" s="13" t="str">
        <f>IFERROR(VLOOKUP(E650,'SF Churn Data'!E:R,14,0),"")</f>
        <v/>
      </c>
    </row>
    <row r="651" hidden="1">
      <c r="A651" s="11" t="s">
        <v>282</v>
      </c>
      <c r="B651" s="11" t="s">
        <v>44</v>
      </c>
      <c r="C651" s="11" t="s">
        <v>64</v>
      </c>
      <c r="D651" s="11" t="s">
        <v>2582</v>
      </c>
      <c r="E651" s="11" t="s">
        <v>2583</v>
      </c>
      <c r="F651" s="11" t="s">
        <v>2487</v>
      </c>
      <c r="G651" s="11">
        <v>17.59</v>
      </c>
      <c r="H651" s="11" t="s">
        <v>120</v>
      </c>
      <c r="I651" s="12">
        <v>5767.0</v>
      </c>
      <c r="J651" s="12">
        <v>6950.0</v>
      </c>
      <c r="K651" s="12">
        <v>7000.0</v>
      </c>
      <c r="L651" s="11" t="s">
        <v>2584</v>
      </c>
      <c r="M651" s="11" t="s">
        <v>2585</v>
      </c>
      <c r="N651" s="11" t="s">
        <v>143</v>
      </c>
      <c r="O651" s="11" t="s">
        <v>41</v>
      </c>
      <c r="P651" s="11" t="s">
        <v>63</v>
      </c>
      <c r="Q651" s="13" t="str">
        <f>IFERROR(VLOOKUP(E651,'SF Churn Data'!E:R,14,0),"")</f>
        <v/>
      </c>
    </row>
    <row r="652" hidden="1">
      <c r="A652" s="11" t="s">
        <v>282</v>
      </c>
      <c r="B652" s="11" t="s">
        <v>44</v>
      </c>
      <c r="C652" s="11" t="s">
        <v>76</v>
      </c>
      <c r="D652" s="11" t="s">
        <v>2586</v>
      </c>
      <c r="E652" s="11" t="s">
        <v>2587</v>
      </c>
      <c r="F652" s="11" t="s">
        <v>2487</v>
      </c>
      <c r="G652" s="11">
        <v>19.8</v>
      </c>
      <c r="H652" s="11" t="s">
        <v>168</v>
      </c>
      <c r="I652" s="12">
        <v>6499.0</v>
      </c>
      <c r="J652" s="12">
        <v>7800.0</v>
      </c>
      <c r="K652" s="11">
        <v>7800.0</v>
      </c>
      <c r="L652" s="11" t="s">
        <v>2588</v>
      </c>
      <c r="M652" s="11" t="s">
        <v>2589</v>
      </c>
      <c r="N652" s="11" t="s">
        <v>806</v>
      </c>
      <c r="O652" s="11" t="s">
        <v>57</v>
      </c>
      <c r="P652" s="11" t="s">
        <v>63</v>
      </c>
      <c r="Q652" s="13" t="str">
        <f>IFERROR(VLOOKUP(E652,'SF Churn Data'!E:R,14,0),"")</f>
        <v/>
      </c>
    </row>
    <row r="653" hidden="1">
      <c r="A653" s="11" t="s">
        <v>145</v>
      </c>
      <c r="B653" s="11" t="s">
        <v>44</v>
      </c>
      <c r="C653" s="11" t="s">
        <v>64</v>
      </c>
      <c r="D653" s="11" t="s">
        <v>2590</v>
      </c>
      <c r="E653" s="11" t="s">
        <v>2591</v>
      </c>
      <c r="F653" s="11" t="s">
        <v>2487</v>
      </c>
      <c r="G653" s="11">
        <v>17.0</v>
      </c>
      <c r="H653" s="11" t="s">
        <v>56</v>
      </c>
      <c r="I653" s="12">
        <v>9022.0</v>
      </c>
      <c r="J653" s="12">
        <v>9950.0</v>
      </c>
      <c r="K653" s="11">
        <v>10900.0</v>
      </c>
      <c r="L653" s="11"/>
      <c r="M653" s="11"/>
      <c r="N653" s="11"/>
      <c r="O653" s="11" t="s">
        <v>151</v>
      </c>
      <c r="P653" s="11" t="s">
        <v>63</v>
      </c>
      <c r="Q653" s="13" t="str">
        <f>IFERROR(VLOOKUP(E653,'SF Churn Data'!E:R,14,0),"")</f>
        <v/>
      </c>
    </row>
    <row r="654" hidden="1">
      <c r="A654" s="11" t="s">
        <v>145</v>
      </c>
      <c r="B654" s="11" t="s">
        <v>44</v>
      </c>
      <c r="C654" s="11" t="s">
        <v>64</v>
      </c>
      <c r="D654" s="11" t="s">
        <v>2592</v>
      </c>
      <c r="E654" s="11" t="s">
        <v>2593</v>
      </c>
      <c r="F654" s="11" t="s">
        <v>2487</v>
      </c>
      <c r="G654" s="11">
        <v>17.3</v>
      </c>
      <c r="H654" s="11" t="s">
        <v>56</v>
      </c>
      <c r="I654" s="12">
        <v>9022.0</v>
      </c>
      <c r="J654" s="12">
        <v>9950.0</v>
      </c>
      <c r="K654" s="11">
        <v>10900.0</v>
      </c>
      <c r="L654" s="11"/>
      <c r="M654" s="11"/>
      <c r="N654" s="11"/>
      <c r="O654" s="11" t="s">
        <v>151</v>
      </c>
      <c r="P654" s="11" t="s">
        <v>63</v>
      </c>
      <c r="Q654" s="13" t="str">
        <f>IFERROR(VLOOKUP(E654,'SF Churn Data'!E:R,14,0),"")</f>
        <v/>
      </c>
    </row>
    <row r="655" hidden="1">
      <c r="A655" s="11" t="s">
        <v>145</v>
      </c>
      <c r="B655" s="11" t="s">
        <v>44</v>
      </c>
      <c r="C655" s="11" t="s">
        <v>53</v>
      </c>
      <c r="D655" s="11" t="s">
        <v>2594</v>
      </c>
      <c r="E655" s="11" t="s">
        <v>2595</v>
      </c>
      <c r="F655" s="11" t="s">
        <v>2487</v>
      </c>
      <c r="G655" s="11">
        <v>15.9</v>
      </c>
      <c r="H655" s="11" t="s">
        <v>56</v>
      </c>
      <c r="I655" s="12">
        <v>8592.0</v>
      </c>
      <c r="J655" s="12">
        <v>9500.0</v>
      </c>
      <c r="K655" s="11">
        <v>10350.0</v>
      </c>
      <c r="L655" s="11"/>
      <c r="M655" s="11"/>
      <c r="N655" s="11"/>
      <c r="O655" s="11" t="s">
        <v>57</v>
      </c>
      <c r="P655" s="11" t="s">
        <v>63</v>
      </c>
      <c r="Q655" s="13" t="str">
        <f>IFERROR(VLOOKUP(E655,'SF Churn Data'!E:R,14,0),"")</f>
        <v/>
      </c>
    </row>
    <row r="656" hidden="1">
      <c r="A656" s="11" t="s">
        <v>158</v>
      </c>
      <c r="B656" s="11" t="s">
        <v>44</v>
      </c>
      <c r="C656" s="11" t="s">
        <v>133</v>
      </c>
      <c r="D656" s="11" t="s">
        <v>2596</v>
      </c>
      <c r="E656" s="11" t="s">
        <v>2597</v>
      </c>
      <c r="F656" s="11" t="s">
        <v>2487</v>
      </c>
      <c r="G656" s="11">
        <v>14.54</v>
      </c>
      <c r="H656" s="11" t="s">
        <v>56</v>
      </c>
      <c r="I656" s="12">
        <v>4666.0</v>
      </c>
      <c r="J656" s="12">
        <v>4700.0</v>
      </c>
      <c r="K656" s="12">
        <v>5650.0</v>
      </c>
      <c r="L656" s="11"/>
      <c r="M656" s="11"/>
      <c r="N656" s="11"/>
      <c r="O656" s="11" t="s">
        <v>161</v>
      </c>
      <c r="P656" s="11" t="s">
        <v>162</v>
      </c>
      <c r="Q656" s="13" t="str">
        <f>IFERROR(VLOOKUP(E656,'SF Churn Data'!E:R,14,0),"")</f>
        <v/>
      </c>
    </row>
    <row r="657" hidden="1">
      <c r="A657" s="11" t="s">
        <v>145</v>
      </c>
      <c r="B657" s="11" t="s">
        <v>44</v>
      </c>
      <c r="C657" s="11" t="s">
        <v>64</v>
      </c>
      <c r="D657" s="11" t="s">
        <v>2598</v>
      </c>
      <c r="E657" s="11" t="s">
        <v>2599</v>
      </c>
      <c r="F657" s="11" t="s">
        <v>2487</v>
      </c>
      <c r="G657" s="11">
        <v>18.0</v>
      </c>
      <c r="H657" s="11" t="s">
        <v>56</v>
      </c>
      <c r="I657" s="12">
        <v>9022.0</v>
      </c>
      <c r="J657" s="12">
        <v>9950.0</v>
      </c>
      <c r="K657" s="12">
        <v>10900.0</v>
      </c>
      <c r="L657" s="11"/>
      <c r="M657" s="11"/>
      <c r="N657" s="11"/>
      <c r="O657" s="11" t="s">
        <v>151</v>
      </c>
      <c r="P657" s="11" t="s">
        <v>63</v>
      </c>
      <c r="Q657" s="13" t="str">
        <f>IFERROR(VLOOKUP(E657,'SF Churn Data'!E:R,14,0),"")</f>
        <v/>
      </c>
    </row>
    <row r="658" hidden="1">
      <c r="A658" s="11" t="s">
        <v>2526</v>
      </c>
      <c r="B658" s="11" t="s">
        <v>44</v>
      </c>
      <c r="C658" s="11" t="s">
        <v>76</v>
      </c>
      <c r="D658" s="11" t="s">
        <v>2600</v>
      </c>
      <c r="E658" s="11" t="s">
        <v>2601</v>
      </c>
      <c r="F658" s="11" t="s">
        <v>2487</v>
      </c>
      <c r="G658" s="11">
        <v>19.38</v>
      </c>
      <c r="H658" s="11" t="s">
        <v>120</v>
      </c>
      <c r="I658" s="12">
        <v>9000.0</v>
      </c>
      <c r="J658" s="12">
        <v>9900.0</v>
      </c>
      <c r="K658" s="12"/>
      <c r="L658" s="11"/>
      <c r="M658" s="11"/>
      <c r="N658" s="11"/>
      <c r="O658" s="11" t="s">
        <v>41</v>
      </c>
      <c r="P658" s="11" t="s">
        <v>42</v>
      </c>
      <c r="Q658" s="13" t="str">
        <f>IFERROR(VLOOKUP(E658,'SF Churn Data'!E:R,14,0),"")</f>
        <v/>
      </c>
    </row>
    <row r="659" hidden="1">
      <c r="A659" s="11" t="s">
        <v>145</v>
      </c>
      <c r="B659" s="11" t="s">
        <v>44</v>
      </c>
      <c r="C659" s="11" t="s">
        <v>64</v>
      </c>
      <c r="D659" s="11" t="s">
        <v>2602</v>
      </c>
      <c r="E659" s="11" t="s">
        <v>2603</v>
      </c>
      <c r="F659" s="11" t="s">
        <v>2487</v>
      </c>
      <c r="G659" s="11">
        <v>17.0</v>
      </c>
      <c r="H659" s="11" t="s">
        <v>56</v>
      </c>
      <c r="I659" s="12">
        <v>9022.0</v>
      </c>
      <c r="J659" s="12">
        <v>9950.0</v>
      </c>
      <c r="K659" s="12">
        <v>10900.0</v>
      </c>
      <c r="L659" s="11"/>
      <c r="M659" s="11"/>
      <c r="N659" s="11"/>
      <c r="O659" s="11" t="s">
        <v>151</v>
      </c>
      <c r="P659" s="11" t="s">
        <v>63</v>
      </c>
      <c r="Q659" s="13" t="str">
        <f>IFERROR(VLOOKUP(E659,'SF Churn Data'!E:R,14,0),"")</f>
        <v/>
      </c>
    </row>
    <row r="660" hidden="1">
      <c r="A660" s="11" t="s">
        <v>145</v>
      </c>
      <c r="B660" s="11" t="s">
        <v>44</v>
      </c>
      <c r="C660" s="11" t="s">
        <v>53</v>
      </c>
      <c r="D660" s="11" t="s">
        <v>2604</v>
      </c>
      <c r="E660" s="11" t="s">
        <v>2605</v>
      </c>
      <c r="F660" s="11" t="s">
        <v>2487</v>
      </c>
      <c r="G660" s="11">
        <v>16.5</v>
      </c>
      <c r="H660" s="11" t="s">
        <v>56</v>
      </c>
      <c r="I660" s="12">
        <v>8592.0</v>
      </c>
      <c r="J660" s="12">
        <v>9500.0</v>
      </c>
      <c r="K660" s="11">
        <v>10350.0</v>
      </c>
      <c r="L660" s="11"/>
      <c r="M660" s="11"/>
      <c r="N660" s="11"/>
      <c r="O660" s="11" t="s">
        <v>57</v>
      </c>
      <c r="P660" s="11" t="s">
        <v>63</v>
      </c>
      <c r="Q660" s="13" t="str">
        <f>IFERROR(VLOOKUP(E660,'SF Churn Data'!E:R,14,0),"")</f>
        <v/>
      </c>
    </row>
    <row r="661" hidden="1">
      <c r="A661" s="11" t="s">
        <v>158</v>
      </c>
      <c r="B661" s="11" t="s">
        <v>44</v>
      </c>
      <c r="C661" s="11" t="s">
        <v>133</v>
      </c>
      <c r="D661" s="11" t="s">
        <v>2606</v>
      </c>
      <c r="E661" s="11" t="s">
        <v>2607</v>
      </c>
      <c r="F661" s="11" t="s">
        <v>2487</v>
      </c>
      <c r="G661" s="11">
        <v>14.0</v>
      </c>
      <c r="H661" s="11" t="s">
        <v>56</v>
      </c>
      <c r="I661" s="12">
        <v>4666.0</v>
      </c>
      <c r="J661" s="12">
        <v>4700.0</v>
      </c>
      <c r="K661" s="11">
        <v>5650.0</v>
      </c>
      <c r="L661" s="11"/>
      <c r="M661" s="11"/>
      <c r="N661" s="11"/>
      <c r="O661" s="11" t="s">
        <v>41</v>
      </c>
      <c r="P661" s="11" t="s">
        <v>162</v>
      </c>
      <c r="Q661" s="13" t="str">
        <f>IFERROR(VLOOKUP(E661,'SF Churn Data'!E:R,14,0),"")</f>
        <v/>
      </c>
    </row>
    <row r="662" hidden="1">
      <c r="A662" s="11" t="s">
        <v>145</v>
      </c>
      <c r="B662" s="11" t="s">
        <v>45</v>
      </c>
      <c r="C662" s="11" t="s">
        <v>45</v>
      </c>
      <c r="D662" s="11" t="s">
        <v>2608</v>
      </c>
      <c r="E662" s="11" t="s">
        <v>2609</v>
      </c>
      <c r="F662" s="11" t="s">
        <v>2487</v>
      </c>
      <c r="G662" s="11">
        <v>7.1</v>
      </c>
      <c r="H662" s="11" t="s">
        <v>45</v>
      </c>
      <c r="I662" s="12">
        <v>4215.0</v>
      </c>
      <c r="J662" s="12">
        <v>4650.0</v>
      </c>
      <c r="K662" s="11">
        <v>5100.0</v>
      </c>
      <c r="L662" s="11"/>
      <c r="M662" s="11"/>
      <c r="N662" s="11"/>
      <c r="O662" s="11" t="s">
        <v>57</v>
      </c>
      <c r="P662" s="11" t="s">
        <v>63</v>
      </c>
      <c r="Q662" s="13" t="str">
        <f>IFERROR(VLOOKUP(E662,'SF Churn Data'!E:R,14,0),"")</f>
        <v/>
      </c>
    </row>
    <row r="663" hidden="1">
      <c r="A663" s="11" t="s">
        <v>158</v>
      </c>
      <c r="B663" s="11" t="s">
        <v>45</v>
      </c>
      <c r="C663" s="11" t="s">
        <v>45</v>
      </c>
      <c r="D663" s="11" t="s">
        <v>2610</v>
      </c>
      <c r="E663" s="11" t="s">
        <v>2611</v>
      </c>
      <c r="F663" s="11" t="s">
        <v>2487</v>
      </c>
      <c r="G663" s="11">
        <v>6.5</v>
      </c>
      <c r="H663" s="11" t="s">
        <v>45</v>
      </c>
      <c r="I663" s="12">
        <v>2542.0</v>
      </c>
      <c r="J663" s="12">
        <v>2550.0</v>
      </c>
      <c r="K663" s="12">
        <v>3100.0</v>
      </c>
      <c r="L663" s="11"/>
      <c r="M663" s="11"/>
      <c r="N663" s="11"/>
      <c r="O663" s="11" t="s">
        <v>41</v>
      </c>
      <c r="P663" s="11" t="s">
        <v>162</v>
      </c>
      <c r="Q663" s="13" t="str">
        <f>IFERROR(VLOOKUP(E663,'SF Churn Data'!E:R,14,0),"")</f>
        <v/>
      </c>
    </row>
    <row r="664" hidden="1">
      <c r="A664" s="11" t="s">
        <v>145</v>
      </c>
      <c r="B664" s="11" t="s">
        <v>44</v>
      </c>
      <c r="C664" s="11" t="s">
        <v>53</v>
      </c>
      <c r="D664" s="11" t="s">
        <v>2612</v>
      </c>
      <c r="E664" s="11" t="s">
        <v>2613</v>
      </c>
      <c r="F664" s="11" t="s">
        <v>2487</v>
      </c>
      <c r="G664" s="11">
        <v>16.0</v>
      </c>
      <c r="H664" s="11" t="s">
        <v>56</v>
      </c>
      <c r="I664" s="12">
        <v>8592.0</v>
      </c>
      <c r="J664" s="12">
        <v>9500.0</v>
      </c>
      <c r="K664" s="12">
        <v>10350.0</v>
      </c>
      <c r="L664" s="11"/>
      <c r="M664" s="11"/>
      <c r="N664" s="11"/>
      <c r="O664" s="11" t="s">
        <v>57</v>
      </c>
      <c r="P664" s="11" t="s">
        <v>63</v>
      </c>
      <c r="Q664" s="13" t="str">
        <f>IFERROR(VLOOKUP(E664,'SF Churn Data'!E:R,14,0),"")</f>
        <v/>
      </c>
    </row>
    <row r="665" hidden="1">
      <c r="A665" s="11" t="s">
        <v>145</v>
      </c>
      <c r="B665" s="11" t="s">
        <v>45</v>
      </c>
      <c r="C665" s="11" t="s">
        <v>45</v>
      </c>
      <c r="D665" s="11" t="s">
        <v>2614</v>
      </c>
      <c r="E665" s="11" t="s">
        <v>2615</v>
      </c>
      <c r="F665" s="11" t="s">
        <v>2487</v>
      </c>
      <c r="G665" s="11">
        <v>7.2</v>
      </c>
      <c r="H665" s="11" t="s">
        <v>45</v>
      </c>
      <c r="I665" s="12">
        <v>4215.0</v>
      </c>
      <c r="J665" s="12">
        <v>4650.0</v>
      </c>
      <c r="K665" s="11">
        <v>5100.0</v>
      </c>
      <c r="L665" s="11"/>
      <c r="M665" s="11"/>
      <c r="N665" s="11"/>
      <c r="O665" s="11" t="s">
        <v>57</v>
      </c>
      <c r="P665" s="11" t="s">
        <v>63</v>
      </c>
      <c r="Q665" s="13" t="str">
        <f>IFERROR(VLOOKUP(E665,'SF Churn Data'!E:R,14,0),"")</f>
        <v/>
      </c>
    </row>
    <row r="666" hidden="1">
      <c r="A666" s="11" t="s">
        <v>225</v>
      </c>
      <c r="B666" s="11" t="s">
        <v>44</v>
      </c>
      <c r="C666" s="11" t="s">
        <v>133</v>
      </c>
      <c r="D666" s="11" t="s">
        <v>2616</v>
      </c>
      <c r="E666" s="11" t="s">
        <v>2617</v>
      </c>
      <c r="F666" s="11" t="s">
        <v>2487</v>
      </c>
      <c r="G666" s="11">
        <v>14.0</v>
      </c>
      <c r="H666" s="11" t="s">
        <v>56</v>
      </c>
      <c r="I666" s="12">
        <v>4650.0</v>
      </c>
      <c r="J666" s="12">
        <v>6050.0</v>
      </c>
      <c r="K666" s="12">
        <v>5400.0</v>
      </c>
      <c r="L666" s="11"/>
      <c r="M666" s="11"/>
      <c r="N666" s="11"/>
      <c r="O666" s="11" t="s">
        <v>41</v>
      </c>
      <c r="P666" s="11" t="s">
        <v>162</v>
      </c>
      <c r="Q666" s="13" t="str">
        <f>IFERROR(VLOOKUP(E666,'SF Churn Data'!E:R,14,0),"")</f>
        <v/>
      </c>
    </row>
    <row r="667" hidden="1">
      <c r="A667" s="11" t="s">
        <v>145</v>
      </c>
      <c r="B667" s="11" t="s">
        <v>44</v>
      </c>
      <c r="C667" s="11" t="s">
        <v>53</v>
      </c>
      <c r="D667" s="11" t="s">
        <v>2618</v>
      </c>
      <c r="E667" s="11" t="s">
        <v>2619</v>
      </c>
      <c r="F667" s="11" t="s">
        <v>2487</v>
      </c>
      <c r="G667" s="11">
        <v>15.5</v>
      </c>
      <c r="H667" s="11" t="s">
        <v>56</v>
      </c>
      <c r="I667" s="12">
        <v>8592.0</v>
      </c>
      <c r="J667" s="12">
        <v>9500.0</v>
      </c>
      <c r="K667" s="11">
        <v>10350.0</v>
      </c>
      <c r="L667" s="11"/>
      <c r="M667" s="11"/>
      <c r="N667" s="11"/>
      <c r="O667" s="11" t="s">
        <v>57</v>
      </c>
      <c r="P667" s="11" t="s">
        <v>63</v>
      </c>
      <c r="Q667" s="13" t="str">
        <f>IFERROR(VLOOKUP(E667,'SF Churn Data'!E:R,14,0),"")</f>
        <v/>
      </c>
    </row>
    <row r="668" hidden="1">
      <c r="A668" s="11" t="s">
        <v>148</v>
      </c>
      <c r="B668" s="11" t="s">
        <v>44</v>
      </c>
      <c r="C668" s="11" t="s">
        <v>76</v>
      </c>
      <c r="D668" s="11" t="s">
        <v>2620</v>
      </c>
      <c r="E668" s="11" t="s">
        <v>2621</v>
      </c>
      <c r="F668" s="11" t="s">
        <v>2487</v>
      </c>
      <c r="G668" s="11">
        <v>21.0</v>
      </c>
      <c r="H668" s="11" t="s">
        <v>56</v>
      </c>
      <c r="I668" s="12">
        <v>8349.0</v>
      </c>
      <c r="J668" s="12">
        <v>8350.0</v>
      </c>
      <c r="K668" s="12">
        <v>10050.0</v>
      </c>
      <c r="L668" s="11"/>
      <c r="M668" s="11"/>
      <c r="N668" s="11"/>
      <c r="O668" s="11" t="s">
        <v>151</v>
      </c>
      <c r="P668" s="11" t="s">
        <v>48</v>
      </c>
      <c r="Q668" s="13" t="str">
        <f>IFERROR(VLOOKUP(E668,'SF Churn Data'!E:R,14,0),"")</f>
        <v/>
      </c>
    </row>
    <row r="669" hidden="1">
      <c r="A669" s="11" t="s">
        <v>148</v>
      </c>
      <c r="B669" s="11" t="s">
        <v>44</v>
      </c>
      <c r="C669" s="11" t="s">
        <v>76</v>
      </c>
      <c r="D669" s="11" t="s">
        <v>2622</v>
      </c>
      <c r="E669" s="11" t="s">
        <v>2623</v>
      </c>
      <c r="F669" s="11" t="s">
        <v>2487</v>
      </c>
      <c r="G669" s="11">
        <v>21.0</v>
      </c>
      <c r="H669" s="11" t="s">
        <v>56</v>
      </c>
      <c r="I669" s="12">
        <v>8349.0</v>
      </c>
      <c r="J669" s="12">
        <v>8350.0</v>
      </c>
      <c r="K669" s="12">
        <v>10050.0</v>
      </c>
      <c r="L669" s="11"/>
      <c r="M669" s="11"/>
      <c r="N669" s="11"/>
      <c r="O669" s="11" t="s">
        <v>151</v>
      </c>
      <c r="P669" s="11" t="s">
        <v>48</v>
      </c>
      <c r="Q669" s="13" t="str">
        <f>IFERROR(VLOOKUP(E669,'SF Churn Data'!E:R,14,0),"")</f>
        <v/>
      </c>
    </row>
    <row r="670" hidden="1">
      <c r="A670" s="11" t="s">
        <v>148</v>
      </c>
      <c r="B670" s="11" t="s">
        <v>44</v>
      </c>
      <c r="C670" s="11" t="s">
        <v>64</v>
      </c>
      <c r="D670" s="11" t="s">
        <v>2624</v>
      </c>
      <c r="E670" s="11" t="s">
        <v>2625</v>
      </c>
      <c r="F670" s="11" t="s">
        <v>2487</v>
      </c>
      <c r="G670" s="11">
        <v>17.0</v>
      </c>
      <c r="H670" s="11" t="s">
        <v>56</v>
      </c>
      <c r="I670" s="12">
        <v>7096.0</v>
      </c>
      <c r="J670" s="12">
        <v>7100.0</v>
      </c>
      <c r="K670" s="12">
        <v>8550.0</v>
      </c>
      <c r="L670" s="11"/>
      <c r="M670" s="11"/>
      <c r="N670" s="11"/>
      <c r="O670" s="11" t="s">
        <v>151</v>
      </c>
      <c r="P670" s="11" t="s">
        <v>48</v>
      </c>
      <c r="Q670" s="13" t="str">
        <f>IFERROR(VLOOKUP(E670,'SF Churn Data'!E:R,14,0),"")</f>
        <v/>
      </c>
    </row>
    <row r="671" hidden="1">
      <c r="A671" s="11" t="s">
        <v>148</v>
      </c>
      <c r="B671" s="11" t="s">
        <v>44</v>
      </c>
      <c r="C671" s="11" t="s">
        <v>64</v>
      </c>
      <c r="D671" s="11" t="s">
        <v>2626</v>
      </c>
      <c r="E671" s="11" t="s">
        <v>2627</v>
      </c>
      <c r="F671" s="11" t="s">
        <v>2487</v>
      </c>
      <c r="G671" s="11">
        <v>17.0</v>
      </c>
      <c r="H671" s="11" t="s">
        <v>56</v>
      </c>
      <c r="I671" s="12">
        <v>7096.0</v>
      </c>
      <c r="J671" s="12">
        <v>7100.0</v>
      </c>
      <c r="K671" s="12">
        <v>8550.0</v>
      </c>
      <c r="L671" s="11"/>
      <c r="M671" s="11"/>
      <c r="N671" s="11"/>
      <c r="O671" s="11" t="s">
        <v>57</v>
      </c>
      <c r="P671" s="11" t="s">
        <v>48</v>
      </c>
      <c r="Q671" s="13" t="str">
        <f>IFERROR(VLOOKUP(E671,'SF Churn Data'!E:R,14,0),"")</f>
        <v/>
      </c>
    </row>
    <row r="672" hidden="1">
      <c r="A672" s="11" t="s">
        <v>148</v>
      </c>
      <c r="B672" s="11" t="s">
        <v>44</v>
      </c>
      <c r="C672" s="11" t="s">
        <v>53</v>
      </c>
      <c r="D672" s="11" t="s">
        <v>2628</v>
      </c>
      <c r="E672" s="11" t="s">
        <v>2629</v>
      </c>
      <c r="F672" s="11" t="s">
        <v>2487</v>
      </c>
      <c r="G672" s="11">
        <v>16.0</v>
      </c>
      <c r="H672" s="11" t="s">
        <v>56</v>
      </c>
      <c r="I672" s="12">
        <v>6678.0</v>
      </c>
      <c r="J672" s="12">
        <v>6700.0</v>
      </c>
      <c r="K672" s="12">
        <v>8050.0</v>
      </c>
      <c r="L672" s="11"/>
      <c r="M672" s="11"/>
      <c r="N672" s="11"/>
      <c r="O672" s="11" t="s">
        <v>57</v>
      </c>
      <c r="P672" s="11" t="s">
        <v>48</v>
      </c>
      <c r="Q672" s="13" t="str">
        <f>IFERROR(VLOOKUP(E672,'SF Churn Data'!E:R,14,0),"")</f>
        <v/>
      </c>
    </row>
    <row r="673" hidden="1">
      <c r="A673" s="11" t="s">
        <v>148</v>
      </c>
      <c r="B673" s="11" t="s">
        <v>44</v>
      </c>
      <c r="C673" s="11" t="s">
        <v>76</v>
      </c>
      <c r="D673" s="11" t="s">
        <v>2630</v>
      </c>
      <c r="E673" s="11" t="s">
        <v>2631</v>
      </c>
      <c r="F673" s="11" t="s">
        <v>2487</v>
      </c>
      <c r="G673" s="11">
        <v>19.4</v>
      </c>
      <c r="H673" s="11" t="s">
        <v>56</v>
      </c>
      <c r="I673" s="12">
        <v>7514.0</v>
      </c>
      <c r="J673" s="12">
        <v>7550.0</v>
      </c>
      <c r="K673" s="11">
        <v>9100.0</v>
      </c>
      <c r="L673" s="11"/>
      <c r="M673" s="11"/>
      <c r="N673" s="11"/>
      <c r="O673" s="11" t="s">
        <v>57</v>
      </c>
      <c r="P673" s="11" t="s">
        <v>48</v>
      </c>
      <c r="Q673" s="13" t="str">
        <f>IFERROR(VLOOKUP(E673,'SF Churn Data'!E:R,14,0),"")</f>
        <v/>
      </c>
    </row>
    <row r="674" hidden="1">
      <c r="A674" s="11" t="s">
        <v>148</v>
      </c>
      <c r="B674" s="11" t="s">
        <v>44</v>
      </c>
      <c r="C674" s="11" t="s">
        <v>76</v>
      </c>
      <c r="D674" s="11" t="s">
        <v>2632</v>
      </c>
      <c r="E674" s="11" t="s">
        <v>2633</v>
      </c>
      <c r="F674" s="11" t="s">
        <v>2487</v>
      </c>
      <c r="G674" s="11">
        <v>20.0</v>
      </c>
      <c r="H674" s="11" t="s">
        <v>56</v>
      </c>
      <c r="I674" s="12">
        <v>7514.0</v>
      </c>
      <c r="J674" s="12">
        <v>7550.0</v>
      </c>
      <c r="K674" s="12">
        <v>9100.0</v>
      </c>
      <c r="L674" s="11"/>
      <c r="M674" s="11"/>
      <c r="N674" s="11"/>
      <c r="O674" s="11" t="s">
        <v>57</v>
      </c>
      <c r="P674" s="11" t="s">
        <v>48</v>
      </c>
      <c r="Q674" s="13" t="str">
        <f>IFERROR(VLOOKUP(E674,'SF Churn Data'!E:R,14,0),"")</f>
        <v/>
      </c>
    </row>
    <row r="675" hidden="1">
      <c r="A675" s="11" t="s">
        <v>148</v>
      </c>
      <c r="B675" s="11" t="s">
        <v>44</v>
      </c>
      <c r="C675" s="11" t="s">
        <v>76</v>
      </c>
      <c r="D675" s="11" t="s">
        <v>2634</v>
      </c>
      <c r="E675" s="11" t="s">
        <v>2635</v>
      </c>
      <c r="F675" s="11" t="s">
        <v>2487</v>
      </c>
      <c r="G675" s="11">
        <v>20.0</v>
      </c>
      <c r="H675" s="11" t="s">
        <v>56</v>
      </c>
      <c r="I675" s="12">
        <v>7514.0</v>
      </c>
      <c r="J675" s="12">
        <v>7550.0</v>
      </c>
      <c r="K675" s="11">
        <v>9100.0</v>
      </c>
      <c r="L675" s="11"/>
      <c r="M675" s="11"/>
      <c r="N675" s="11"/>
      <c r="O675" s="11" t="s">
        <v>57</v>
      </c>
      <c r="P675" s="11" t="s">
        <v>48</v>
      </c>
      <c r="Q675" s="13" t="str">
        <f>IFERROR(VLOOKUP(E675,'SF Churn Data'!E:R,14,0),"")</f>
        <v/>
      </c>
    </row>
    <row r="676" hidden="1">
      <c r="A676" s="11" t="s">
        <v>148</v>
      </c>
      <c r="B676" s="11" t="s">
        <v>44</v>
      </c>
      <c r="C676" s="11" t="s">
        <v>64</v>
      </c>
      <c r="D676" s="11" t="s">
        <v>2636</v>
      </c>
      <c r="E676" s="11" t="s">
        <v>2637</v>
      </c>
      <c r="F676" s="11" t="s">
        <v>2487</v>
      </c>
      <c r="G676" s="11">
        <v>17.6</v>
      </c>
      <c r="H676" s="11" t="s">
        <v>56</v>
      </c>
      <c r="I676" s="12">
        <v>7096.0</v>
      </c>
      <c r="J676" s="12">
        <v>7100.0</v>
      </c>
      <c r="K676" s="11">
        <v>8550.0</v>
      </c>
      <c r="L676" s="11"/>
      <c r="M676" s="11"/>
      <c r="N676" s="11"/>
      <c r="O676" s="11" t="s">
        <v>57</v>
      </c>
      <c r="P676" s="11" t="s">
        <v>48</v>
      </c>
      <c r="Q676" s="13" t="str">
        <f>IFERROR(VLOOKUP(E676,'SF Churn Data'!E:R,14,0),"")</f>
        <v/>
      </c>
    </row>
    <row r="677" hidden="1">
      <c r="A677" s="11" t="s">
        <v>154</v>
      </c>
      <c r="B677" s="11" t="s">
        <v>44</v>
      </c>
      <c r="C677" s="11" t="s">
        <v>76</v>
      </c>
      <c r="D677" s="11" t="s">
        <v>2638</v>
      </c>
      <c r="E677" s="11" t="s">
        <v>2639</v>
      </c>
      <c r="F677" s="11" t="s">
        <v>2487</v>
      </c>
      <c r="G677" s="11">
        <v>20.0</v>
      </c>
      <c r="H677" s="11" t="s">
        <v>56</v>
      </c>
      <c r="I677" s="12">
        <v>6090.0</v>
      </c>
      <c r="J677" s="12">
        <v>8550.0</v>
      </c>
      <c r="K677" s="12">
        <v>7350.0</v>
      </c>
      <c r="L677" s="11"/>
      <c r="M677" s="11"/>
      <c r="N677" s="11"/>
      <c r="O677" s="11" t="s">
        <v>151</v>
      </c>
      <c r="P677" s="11" t="s">
        <v>157</v>
      </c>
      <c r="Q677" s="13" t="str">
        <f>IFERROR(VLOOKUP(E677,'SF Churn Data'!E:R,14,0),"")</f>
        <v/>
      </c>
    </row>
    <row r="678" hidden="1">
      <c r="A678" s="11" t="s">
        <v>148</v>
      </c>
      <c r="B678" s="11" t="s">
        <v>44</v>
      </c>
      <c r="C678" s="11" t="s">
        <v>76</v>
      </c>
      <c r="D678" s="11" t="s">
        <v>2640</v>
      </c>
      <c r="E678" s="11" t="s">
        <v>2641</v>
      </c>
      <c r="F678" s="11" t="s">
        <v>2487</v>
      </c>
      <c r="G678" s="11">
        <v>20.0</v>
      </c>
      <c r="H678" s="11" t="s">
        <v>56</v>
      </c>
      <c r="I678" s="12">
        <v>7514.0</v>
      </c>
      <c r="J678" s="12">
        <v>7550.0</v>
      </c>
      <c r="K678" s="12">
        <v>9100.0</v>
      </c>
      <c r="L678" s="11"/>
      <c r="M678" s="11"/>
      <c r="N678" s="11"/>
      <c r="O678" s="11" t="s">
        <v>57</v>
      </c>
      <c r="P678" s="11" t="s">
        <v>48</v>
      </c>
      <c r="Q678" s="13" t="str">
        <f>IFERROR(VLOOKUP(E678,'SF Churn Data'!E:R,14,0),"")</f>
        <v/>
      </c>
    </row>
    <row r="679" hidden="1">
      <c r="A679" s="11" t="s">
        <v>148</v>
      </c>
      <c r="B679" s="11" t="s">
        <v>44</v>
      </c>
      <c r="C679" s="11" t="s">
        <v>76</v>
      </c>
      <c r="D679" s="11" t="s">
        <v>2642</v>
      </c>
      <c r="E679" s="11" t="s">
        <v>2643</v>
      </c>
      <c r="F679" s="11" t="s">
        <v>2487</v>
      </c>
      <c r="G679" s="11">
        <v>19.5</v>
      </c>
      <c r="H679" s="11" t="s">
        <v>56</v>
      </c>
      <c r="I679" s="12">
        <v>7514.0</v>
      </c>
      <c r="J679" s="12">
        <v>7550.0</v>
      </c>
      <c r="K679" s="11">
        <v>9100.0</v>
      </c>
      <c r="L679" s="11"/>
      <c r="M679" s="11"/>
      <c r="N679" s="11"/>
      <c r="O679" s="11" t="s">
        <v>57</v>
      </c>
      <c r="P679" s="11" t="s">
        <v>48</v>
      </c>
      <c r="Q679" s="13" t="str">
        <f>IFERROR(VLOOKUP(E679,'SF Churn Data'!E:R,14,0),"")</f>
        <v/>
      </c>
    </row>
    <row r="680" hidden="1">
      <c r="A680" s="11" t="s">
        <v>148</v>
      </c>
      <c r="B680" s="11" t="s">
        <v>44</v>
      </c>
      <c r="C680" s="11" t="s">
        <v>423</v>
      </c>
      <c r="D680" s="11" t="s">
        <v>2644</v>
      </c>
      <c r="E680" s="11" t="s">
        <v>2645</v>
      </c>
      <c r="F680" s="11" t="s">
        <v>2487</v>
      </c>
      <c r="G680" s="11">
        <v>28.54</v>
      </c>
      <c r="H680" s="11" t="s">
        <v>168</v>
      </c>
      <c r="I680" s="12">
        <v>10857.0</v>
      </c>
      <c r="J680" s="12">
        <v>10900.0</v>
      </c>
      <c r="K680" s="11">
        <v>13100.0</v>
      </c>
      <c r="L680" s="11"/>
      <c r="M680" s="11"/>
      <c r="N680" s="11"/>
      <c r="O680" s="11" t="s">
        <v>57</v>
      </c>
      <c r="P680" s="11" t="s">
        <v>48</v>
      </c>
      <c r="Q680" s="13" t="str">
        <f>IFERROR(VLOOKUP(E680,'SF Churn Data'!E:R,14,0),"")</f>
        <v/>
      </c>
    </row>
    <row r="681" hidden="1">
      <c r="A681" s="11" t="s">
        <v>148</v>
      </c>
      <c r="B681" s="11" t="s">
        <v>44</v>
      </c>
      <c r="C681" s="11" t="s">
        <v>76</v>
      </c>
      <c r="D681" s="11" t="s">
        <v>2646</v>
      </c>
      <c r="E681" s="11" t="s">
        <v>2647</v>
      </c>
      <c r="F681" s="11" t="s">
        <v>2487</v>
      </c>
      <c r="G681" s="11">
        <v>19.7</v>
      </c>
      <c r="H681" s="11" t="s">
        <v>56</v>
      </c>
      <c r="I681" s="12">
        <v>7514.0</v>
      </c>
      <c r="J681" s="12">
        <v>7550.0</v>
      </c>
      <c r="K681" s="11">
        <v>9100.0</v>
      </c>
      <c r="L681" s="11"/>
      <c r="M681" s="11"/>
      <c r="N681" s="11"/>
      <c r="O681" s="11" t="s">
        <v>57</v>
      </c>
      <c r="P681" s="11" t="s">
        <v>48</v>
      </c>
      <c r="Q681" s="13" t="str">
        <f>IFERROR(VLOOKUP(E681,'SF Churn Data'!E:R,14,0),"")</f>
        <v/>
      </c>
    </row>
    <row r="682" hidden="1">
      <c r="A682" s="11" t="s">
        <v>148</v>
      </c>
      <c r="B682" s="11" t="s">
        <v>44</v>
      </c>
      <c r="C682" s="11" t="s">
        <v>76</v>
      </c>
      <c r="D682" s="11" t="s">
        <v>2648</v>
      </c>
      <c r="E682" s="11" t="s">
        <v>2649</v>
      </c>
      <c r="F682" s="11" t="s">
        <v>2487</v>
      </c>
      <c r="G682" s="11">
        <v>20.0</v>
      </c>
      <c r="H682" s="11" t="s">
        <v>56</v>
      </c>
      <c r="I682" s="12">
        <v>7514.0</v>
      </c>
      <c r="J682" s="12">
        <v>7550.0</v>
      </c>
      <c r="K682" s="12">
        <v>9100.0</v>
      </c>
      <c r="L682" s="11"/>
      <c r="M682" s="11"/>
      <c r="N682" s="11"/>
      <c r="O682" s="11" t="s">
        <v>57</v>
      </c>
      <c r="P682" s="11" t="s">
        <v>48</v>
      </c>
      <c r="Q682" s="13" t="str">
        <f>IFERROR(VLOOKUP(E682,'SF Churn Data'!E:R,14,0),"")</f>
        <v/>
      </c>
    </row>
    <row r="683" hidden="1">
      <c r="A683" s="11" t="s">
        <v>154</v>
      </c>
      <c r="B683" s="11" t="s">
        <v>44</v>
      </c>
      <c r="C683" s="11" t="s">
        <v>53</v>
      </c>
      <c r="D683" s="11" t="s">
        <v>2650</v>
      </c>
      <c r="E683" s="11" t="s">
        <v>2651</v>
      </c>
      <c r="F683" s="11" t="s">
        <v>2487</v>
      </c>
      <c r="G683" s="11">
        <v>16.0</v>
      </c>
      <c r="H683" s="11" t="s">
        <v>56</v>
      </c>
      <c r="I683" s="12">
        <v>4799.0</v>
      </c>
      <c r="J683" s="12">
        <v>6750.0</v>
      </c>
      <c r="K683" s="11">
        <v>5800.0</v>
      </c>
      <c r="L683" s="11"/>
      <c r="M683" s="11"/>
      <c r="N683" s="11"/>
      <c r="O683" s="11" t="s">
        <v>151</v>
      </c>
      <c r="P683" s="11" t="s">
        <v>157</v>
      </c>
      <c r="Q683" s="13" t="str">
        <f>IFERROR(VLOOKUP(E683,'SF Churn Data'!E:R,14,0),"")</f>
        <v/>
      </c>
    </row>
    <row r="684" hidden="1">
      <c r="A684" s="11" t="s">
        <v>154</v>
      </c>
      <c r="B684" s="11" t="s">
        <v>44</v>
      </c>
      <c r="C684" s="11" t="s">
        <v>180</v>
      </c>
      <c r="D684" s="11" t="s">
        <v>2652</v>
      </c>
      <c r="E684" s="11" t="s">
        <v>2653</v>
      </c>
      <c r="F684" s="11" t="s">
        <v>2487</v>
      </c>
      <c r="G684" s="11">
        <v>22.0</v>
      </c>
      <c r="H684" s="11" t="s">
        <v>56</v>
      </c>
      <c r="I684" s="12">
        <v>6090.0</v>
      </c>
      <c r="J684" s="12">
        <v>8550.0</v>
      </c>
      <c r="K684" s="11">
        <v>7350.0</v>
      </c>
      <c r="L684" s="11"/>
      <c r="M684" s="11"/>
      <c r="N684" s="11"/>
      <c r="O684" s="11" t="s">
        <v>151</v>
      </c>
      <c r="P684" s="11" t="s">
        <v>157</v>
      </c>
      <c r="Q684" s="13" t="str">
        <f>IFERROR(VLOOKUP(E684,'SF Churn Data'!E:R,14,0),"")</f>
        <v/>
      </c>
    </row>
    <row r="685" hidden="1">
      <c r="A685" s="11" t="s">
        <v>158</v>
      </c>
      <c r="B685" s="11" t="s">
        <v>44</v>
      </c>
      <c r="C685" s="11" t="s">
        <v>133</v>
      </c>
      <c r="D685" s="11" t="s">
        <v>2654</v>
      </c>
      <c r="E685" s="11" t="s">
        <v>2655</v>
      </c>
      <c r="F685" s="11" t="s">
        <v>2487</v>
      </c>
      <c r="G685" s="11">
        <v>14.0</v>
      </c>
      <c r="H685" s="11" t="s">
        <v>56</v>
      </c>
      <c r="I685" s="12">
        <v>4666.0</v>
      </c>
      <c r="J685" s="12">
        <v>4700.0</v>
      </c>
      <c r="K685" s="11">
        <v>5650.0</v>
      </c>
      <c r="L685" s="11"/>
      <c r="M685" s="11"/>
      <c r="N685" s="11"/>
      <c r="O685" s="11" t="s">
        <v>41</v>
      </c>
      <c r="P685" s="11" t="s">
        <v>162</v>
      </c>
      <c r="Q685" s="13" t="str">
        <f>IFERROR(VLOOKUP(E685,'SF Churn Data'!E:R,14,0),"")</f>
        <v/>
      </c>
    </row>
    <row r="686" hidden="1">
      <c r="A686" s="11" t="s">
        <v>158</v>
      </c>
      <c r="B686" s="11" t="s">
        <v>44</v>
      </c>
      <c r="C686" s="11" t="s">
        <v>113</v>
      </c>
      <c r="D686" s="11" t="s">
        <v>2656</v>
      </c>
      <c r="E686" s="11" t="s">
        <v>2657</v>
      </c>
      <c r="F686" s="11" t="s">
        <v>2487</v>
      </c>
      <c r="G686" s="11">
        <v>12.9</v>
      </c>
      <c r="H686" s="11" t="s">
        <v>56</v>
      </c>
      <c r="I686" s="12">
        <v>4242.0</v>
      </c>
      <c r="J686" s="12">
        <v>4250.0</v>
      </c>
      <c r="K686" s="11">
        <v>5100.0</v>
      </c>
      <c r="L686" s="11"/>
      <c r="M686" s="11"/>
      <c r="N686" s="11"/>
      <c r="O686" s="11" t="s">
        <v>161</v>
      </c>
      <c r="P686" s="11" t="s">
        <v>162</v>
      </c>
      <c r="Q686" s="13" t="str">
        <f>IFERROR(VLOOKUP(E686,'SF Churn Data'!E:R,14,0),"")</f>
        <v/>
      </c>
    </row>
    <row r="687" hidden="1">
      <c r="A687" s="11" t="s">
        <v>158</v>
      </c>
      <c r="B687" s="11" t="s">
        <v>44</v>
      </c>
      <c r="C687" s="11" t="s">
        <v>133</v>
      </c>
      <c r="D687" s="11" t="s">
        <v>2658</v>
      </c>
      <c r="E687" s="11" t="s">
        <v>2659</v>
      </c>
      <c r="F687" s="11" t="s">
        <v>2487</v>
      </c>
      <c r="G687" s="11">
        <v>14.52</v>
      </c>
      <c r="H687" s="11" t="s">
        <v>56</v>
      </c>
      <c r="I687" s="12">
        <v>4666.0</v>
      </c>
      <c r="J687" s="12">
        <v>4700.0</v>
      </c>
      <c r="K687" s="11">
        <v>5650.0</v>
      </c>
      <c r="L687" s="11"/>
      <c r="M687" s="11"/>
      <c r="N687" s="11"/>
      <c r="O687" s="11" t="s">
        <v>41</v>
      </c>
      <c r="P687" s="11" t="s">
        <v>162</v>
      </c>
      <c r="Q687" s="13" t="str">
        <f>IFERROR(VLOOKUP(E687,'SF Churn Data'!E:R,14,0),"")</f>
        <v/>
      </c>
    </row>
    <row r="688" hidden="1">
      <c r="A688" s="11" t="s">
        <v>225</v>
      </c>
      <c r="B688" s="11" t="s">
        <v>44</v>
      </c>
      <c r="C688" s="11" t="s">
        <v>133</v>
      </c>
      <c r="D688" s="11" t="s">
        <v>2660</v>
      </c>
      <c r="E688" s="11" t="s">
        <v>2661</v>
      </c>
      <c r="F688" s="11" t="s">
        <v>2487</v>
      </c>
      <c r="G688" s="11">
        <v>14.5</v>
      </c>
      <c r="H688" s="11" t="s">
        <v>56</v>
      </c>
      <c r="I688" s="12">
        <v>4650.0</v>
      </c>
      <c r="J688" s="12">
        <v>6050.0</v>
      </c>
      <c r="K688" s="11">
        <v>5400.0</v>
      </c>
      <c r="L688" s="11"/>
      <c r="M688" s="11"/>
      <c r="N688" s="11"/>
      <c r="O688" s="11" t="s">
        <v>161</v>
      </c>
      <c r="P688" s="11" t="s">
        <v>162</v>
      </c>
      <c r="Q688" s="13" t="str">
        <f>IFERROR(VLOOKUP(E688,'SF Churn Data'!E:R,14,0),"")</f>
        <v/>
      </c>
    </row>
    <row r="689" hidden="1">
      <c r="A689" s="11" t="s">
        <v>158</v>
      </c>
      <c r="B689" s="11" t="s">
        <v>44</v>
      </c>
      <c r="C689" s="11" t="s">
        <v>64</v>
      </c>
      <c r="D689" s="11" t="s">
        <v>2662</v>
      </c>
      <c r="E689" s="11" t="s">
        <v>2663</v>
      </c>
      <c r="F689" s="11" t="s">
        <v>2487</v>
      </c>
      <c r="G689" s="11">
        <v>18.12</v>
      </c>
      <c r="H689" s="11" t="s">
        <v>120</v>
      </c>
      <c r="I689" s="12">
        <v>5516.0</v>
      </c>
      <c r="J689" s="12">
        <v>5550.0</v>
      </c>
      <c r="K689" s="11">
        <v>6700.0</v>
      </c>
      <c r="L689" s="11"/>
      <c r="M689" s="11"/>
      <c r="N689" s="11"/>
      <c r="O689" s="11" t="s">
        <v>161</v>
      </c>
      <c r="P689" s="11" t="s">
        <v>162</v>
      </c>
      <c r="Q689" s="13" t="str">
        <f>IFERROR(VLOOKUP(E689,'SF Churn Data'!E:R,14,0),"")</f>
        <v/>
      </c>
    </row>
    <row r="690" hidden="1">
      <c r="A690" s="11" t="s">
        <v>158</v>
      </c>
      <c r="B690" s="11" t="s">
        <v>44</v>
      </c>
      <c r="C690" s="11" t="s">
        <v>64</v>
      </c>
      <c r="D690" s="11" t="s">
        <v>2664</v>
      </c>
      <c r="E690" s="11" t="s">
        <v>2665</v>
      </c>
      <c r="F690" s="11" t="s">
        <v>2487</v>
      </c>
      <c r="G690" s="11">
        <v>18.12</v>
      </c>
      <c r="H690" s="11" t="s">
        <v>120</v>
      </c>
      <c r="I690" s="12">
        <v>5516.0</v>
      </c>
      <c r="J690" s="12">
        <v>5550.0</v>
      </c>
      <c r="K690" s="12">
        <v>6700.0</v>
      </c>
      <c r="L690" s="11"/>
      <c r="M690" s="11"/>
      <c r="N690" s="11"/>
      <c r="O690" s="11" t="s">
        <v>161</v>
      </c>
      <c r="P690" s="11" t="s">
        <v>162</v>
      </c>
      <c r="Q690" s="13" t="str">
        <f>IFERROR(VLOOKUP(E690,'SF Churn Data'!E:R,14,0),"")</f>
        <v/>
      </c>
    </row>
    <row r="691" hidden="1">
      <c r="A691" s="11" t="s">
        <v>158</v>
      </c>
      <c r="B691" s="11" t="s">
        <v>44</v>
      </c>
      <c r="C691" s="11" t="s">
        <v>133</v>
      </c>
      <c r="D691" s="11" t="s">
        <v>2666</v>
      </c>
      <c r="E691" s="11" t="s">
        <v>2667</v>
      </c>
      <c r="F691" s="11" t="s">
        <v>2487</v>
      </c>
      <c r="G691" s="11">
        <v>13.75</v>
      </c>
      <c r="H691" s="11" t="s">
        <v>56</v>
      </c>
      <c r="I691" s="12">
        <v>4242.0</v>
      </c>
      <c r="J691" s="12">
        <v>4250.0</v>
      </c>
      <c r="K691" s="11">
        <v>5100.0</v>
      </c>
      <c r="L691" s="11"/>
      <c r="M691" s="11"/>
      <c r="N691" s="11"/>
      <c r="O691" s="11" t="s">
        <v>161</v>
      </c>
      <c r="P691" s="11" t="s">
        <v>162</v>
      </c>
      <c r="Q691" s="13" t="str">
        <f>IFERROR(VLOOKUP(E691,'SF Churn Data'!E:R,14,0),"")</f>
        <v/>
      </c>
    </row>
    <row r="692" hidden="1">
      <c r="A692" s="11" t="s">
        <v>132</v>
      </c>
      <c r="B692" s="11" t="s">
        <v>44</v>
      </c>
      <c r="C692" s="11" t="s">
        <v>53</v>
      </c>
      <c r="D692" s="11" t="s">
        <v>2668</v>
      </c>
      <c r="E692" s="11" t="s">
        <v>2669</v>
      </c>
      <c r="F692" s="11" t="s">
        <v>2487</v>
      </c>
      <c r="G692" s="11">
        <v>16.35</v>
      </c>
      <c r="H692" s="11" t="s">
        <v>62</v>
      </c>
      <c r="I692" s="12">
        <v>3888.56</v>
      </c>
      <c r="J692" s="12">
        <v>3150.0</v>
      </c>
      <c r="K692" s="11">
        <v>4800.0</v>
      </c>
      <c r="L692" s="11"/>
      <c r="M692" s="11"/>
      <c r="N692" s="11"/>
      <c r="O692" s="11" t="s">
        <v>57</v>
      </c>
      <c r="P692" s="11"/>
      <c r="Q692" s="13" t="str">
        <f>IFERROR(VLOOKUP(E692,'SF Churn Data'!E:R,14,0),"")</f>
        <v/>
      </c>
    </row>
    <row r="693" hidden="1">
      <c r="A693" s="11" t="s">
        <v>132</v>
      </c>
      <c r="B693" s="11" t="s">
        <v>44</v>
      </c>
      <c r="C693" s="11" t="s">
        <v>53</v>
      </c>
      <c r="D693" s="11" t="s">
        <v>2670</v>
      </c>
      <c r="E693" s="11" t="s">
        <v>2671</v>
      </c>
      <c r="F693" s="11" t="s">
        <v>2487</v>
      </c>
      <c r="G693" s="11">
        <v>16.21</v>
      </c>
      <c r="H693" s="11" t="s">
        <v>62</v>
      </c>
      <c r="I693" s="12">
        <v>3888.56</v>
      </c>
      <c r="J693" s="12">
        <v>3150.0</v>
      </c>
      <c r="K693" s="12">
        <v>4500.0</v>
      </c>
      <c r="L693" s="11"/>
      <c r="M693" s="11"/>
      <c r="N693" s="11"/>
      <c r="O693" s="11" t="s">
        <v>57</v>
      </c>
      <c r="P693" s="11"/>
      <c r="Q693" s="13" t="str">
        <f>IFERROR(VLOOKUP(E693,'SF Churn Data'!E:R,14,0),"")</f>
        <v/>
      </c>
    </row>
    <row r="694" hidden="1">
      <c r="A694" s="11" t="s">
        <v>132</v>
      </c>
      <c r="B694" s="11" t="s">
        <v>44</v>
      </c>
      <c r="C694" s="11" t="s">
        <v>133</v>
      </c>
      <c r="D694" s="11" t="s">
        <v>2672</v>
      </c>
      <c r="E694" s="11" t="s">
        <v>2673</v>
      </c>
      <c r="F694" s="11" t="s">
        <v>2487</v>
      </c>
      <c r="G694" s="11">
        <v>14.82</v>
      </c>
      <c r="H694" s="11" t="s">
        <v>62</v>
      </c>
      <c r="I694" s="12">
        <v>2975.44</v>
      </c>
      <c r="J694" s="12">
        <v>2400.0</v>
      </c>
      <c r="K694" s="12">
        <v>4800.0</v>
      </c>
      <c r="L694" s="11"/>
      <c r="M694" s="11"/>
      <c r="N694" s="11"/>
      <c r="O694" s="11" t="s">
        <v>57</v>
      </c>
      <c r="P694" s="11"/>
      <c r="Q694" s="13" t="str">
        <f>IFERROR(VLOOKUP(E694,'SF Churn Data'!E:R,14,0),"")</f>
        <v/>
      </c>
    </row>
    <row r="695" hidden="1">
      <c r="A695" s="11" t="s">
        <v>132</v>
      </c>
      <c r="B695" s="11" t="s">
        <v>44</v>
      </c>
      <c r="C695" s="11" t="s">
        <v>76</v>
      </c>
      <c r="D695" s="11" t="s">
        <v>2674</v>
      </c>
      <c r="E695" s="11" t="s">
        <v>2675</v>
      </c>
      <c r="F695" s="11" t="s">
        <v>2487</v>
      </c>
      <c r="G695" s="11">
        <v>21.21</v>
      </c>
      <c r="H695" s="11" t="s">
        <v>67</v>
      </c>
      <c r="I695" s="12">
        <v>4118.4</v>
      </c>
      <c r="J695" s="12">
        <v>3300.0</v>
      </c>
      <c r="K695" s="12">
        <v>4800.0</v>
      </c>
      <c r="L695" s="11"/>
      <c r="M695" s="11"/>
      <c r="N695" s="11"/>
      <c r="O695" s="11" t="s">
        <v>57</v>
      </c>
      <c r="P695" s="11"/>
      <c r="Q695" s="13" t="str">
        <f>IFERROR(VLOOKUP(E695,'SF Churn Data'!E:R,14,0),"")</f>
        <v/>
      </c>
    </row>
    <row r="696" hidden="1">
      <c r="A696" s="11" t="s">
        <v>132</v>
      </c>
      <c r="B696" s="11" t="s">
        <v>44</v>
      </c>
      <c r="C696" s="11" t="s">
        <v>180</v>
      </c>
      <c r="D696" s="11" t="s">
        <v>2676</v>
      </c>
      <c r="E696" s="11" t="s">
        <v>2677</v>
      </c>
      <c r="F696" s="11" t="s">
        <v>2487</v>
      </c>
      <c r="G696" s="11">
        <v>22.33</v>
      </c>
      <c r="H696" s="11" t="s">
        <v>574</v>
      </c>
      <c r="I696" s="12">
        <v>4348.5</v>
      </c>
      <c r="J696" s="12">
        <v>3500.0</v>
      </c>
      <c r="K696" s="12">
        <v>2200.0</v>
      </c>
      <c r="L696" s="11"/>
      <c r="M696" s="11"/>
      <c r="N696" s="11"/>
      <c r="O696" s="11" t="s">
        <v>57</v>
      </c>
      <c r="P696" s="11"/>
      <c r="Q696" s="13" t="str">
        <f>IFERROR(VLOOKUP(E696,'SF Churn Data'!E:R,14,0),"")</f>
        <v/>
      </c>
    </row>
    <row r="697" hidden="1">
      <c r="A697" s="11" t="s">
        <v>132</v>
      </c>
      <c r="B697" s="11" t="s">
        <v>44</v>
      </c>
      <c r="C697" s="11" t="s">
        <v>53</v>
      </c>
      <c r="D697" s="11" t="s">
        <v>2678</v>
      </c>
      <c r="E697" s="11" t="s">
        <v>2679</v>
      </c>
      <c r="F697" s="11" t="s">
        <v>2487</v>
      </c>
      <c r="G697" s="11">
        <v>15.88</v>
      </c>
      <c r="H697" s="11" t="s">
        <v>62</v>
      </c>
      <c r="I697" s="12">
        <v>3888.56</v>
      </c>
      <c r="J697" s="12">
        <v>3150.0</v>
      </c>
      <c r="K697" s="12">
        <v>4800.0</v>
      </c>
      <c r="L697" s="11"/>
      <c r="M697" s="11"/>
      <c r="N697" s="11"/>
      <c r="O697" s="11" t="s">
        <v>41</v>
      </c>
      <c r="P697" s="11"/>
      <c r="Q697" s="13" t="str">
        <f>IFERROR(VLOOKUP(E697,'SF Churn Data'!E:R,14,0),"")</f>
        <v/>
      </c>
    </row>
    <row r="698" hidden="1">
      <c r="A698" s="11" t="s">
        <v>2526</v>
      </c>
      <c r="B698" s="11" t="s">
        <v>44</v>
      </c>
      <c r="C698" s="11" t="s">
        <v>53</v>
      </c>
      <c r="D698" s="11" t="s">
        <v>2680</v>
      </c>
      <c r="E698" s="11" t="s">
        <v>2681</v>
      </c>
      <c r="F698" s="11" t="s">
        <v>2487</v>
      </c>
      <c r="G698" s="11">
        <v>15.04</v>
      </c>
      <c r="H698" s="11" t="s">
        <v>56</v>
      </c>
      <c r="I698" s="12">
        <v>7900.0</v>
      </c>
      <c r="J698" s="12">
        <v>8700.0</v>
      </c>
      <c r="K698" s="12"/>
      <c r="L698" s="11"/>
      <c r="M698" s="11"/>
      <c r="N698" s="11"/>
      <c r="O698" s="11" t="s">
        <v>2531</v>
      </c>
      <c r="P698" s="11" t="s">
        <v>42</v>
      </c>
      <c r="Q698" s="13" t="str">
        <f>IFERROR(VLOOKUP(E698,'SF Churn Data'!E:R,14,0),"")</f>
        <v/>
      </c>
    </row>
    <row r="699" hidden="1">
      <c r="A699" s="11" t="s">
        <v>2526</v>
      </c>
      <c r="B699" s="11" t="s">
        <v>44</v>
      </c>
      <c r="C699" s="11" t="s">
        <v>64</v>
      </c>
      <c r="D699" s="11" t="s">
        <v>2682</v>
      </c>
      <c r="E699" s="11" t="s">
        <v>2683</v>
      </c>
      <c r="F699" s="11" t="s">
        <v>2487</v>
      </c>
      <c r="G699" s="11">
        <v>17.05</v>
      </c>
      <c r="H699" s="11" t="s">
        <v>120</v>
      </c>
      <c r="I699" s="12">
        <v>8400.0</v>
      </c>
      <c r="J699" s="12">
        <v>9250.0</v>
      </c>
      <c r="K699" s="12"/>
      <c r="L699" s="11"/>
      <c r="M699" s="11"/>
      <c r="N699" s="11"/>
      <c r="O699" s="11" t="s">
        <v>2531</v>
      </c>
      <c r="P699" s="11" t="s">
        <v>42</v>
      </c>
      <c r="Q699" s="13" t="str">
        <f>IFERROR(VLOOKUP(E699,'SF Churn Data'!E:R,14,0),"")</f>
        <v/>
      </c>
    </row>
    <row r="700" hidden="1">
      <c r="A700" s="11" t="s">
        <v>2526</v>
      </c>
      <c r="B700" s="11" t="s">
        <v>44</v>
      </c>
      <c r="C700" s="11" t="s">
        <v>53</v>
      </c>
      <c r="D700" s="11" t="s">
        <v>2684</v>
      </c>
      <c r="E700" s="11" t="s">
        <v>2685</v>
      </c>
      <c r="F700" s="11" t="s">
        <v>2487</v>
      </c>
      <c r="G700" s="11">
        <v>15.01</v>
      </c>
      <c r="H700" s="11" t="s">
        <v>56</v>
      </c>
      <c r="I700" s="12">
        <v>7900.0</v>
      </c>
      <c r="J700" s="12">
        <v>8700.0</v>
      </c>
      <c r="K700" s="11"/>
      <c r="L700" s="11"/>
      <c r="M700" s="11"/>
      <c r="N700" s="11"/>
      <c r="O700" s="11" t="s">
        <v>2531</v>
      </c>
      <c r="P700" s="11" t="s">
        <v>42</v>
      </c>
      <c r="Q700" s="13" t="str">
        <f>IFERROR(VLOOKUP(E700,'SF Churn Data'!E:R,14,0),"")</f>
        <v/>
      </c>
    </row>
    <row r="701" hidden="1">
      <c r="A701" s="11" t="s">
        <v>2526</v>
      </c>
      <c r="B701" s="11" t="s">
        <v>44</v>
      </c>
      <c r="C701" s="11" t="s">
        <v>64</v>
      </c>
      <c r="D701" s="11" t="s">
        <v>2686</v>
      </c>
      <c r="E701" s="11" t="s">
        <v>2687</v>
      </c>
      <c r="F701" s="11" t="s">
        <v>2487</v>
      </c>
      <c r="G701" s="11">
        <v>17.22</v>
      </c>
      <c r="H701" s="11" t="s">
        <v>120</v>
      </c>
      <c r="I701" s="12">
        <v>8400.0</v>
      </c>
      <c r="J701" s="12">
        <v>9250.0</v>
      </c>
      <c r="K701" s="12"/>
      <c r="L701" s="11"/>
      <c r="M701" s="11"/>
      <c r="N701" s="11"/>
      <c r="O701" s="11" t="s">
        <v>2688</v>
      </c>
      <c r="P701" s="11" t="s">
        <v>42</v>
      </c>
      <c r="Q701" s="13" t="str">
        <f>IFERROR(VLOOKUP(E701,'SF Churn Data'!E:R,14,0),"")</f>
        <v/>
      </c>
    </row>
    <row r="702" hidden="1">
      <c r="A702" s="11" t="s">
        <v>2526</v>
      </c>
      <c r="B702" s="11" t="s">
        <v>44</v>
      </c>
      <c r="C702" s="11" t="s">
        <v>76</v>
      </c>
      <c r="D702" s="11" t="s">
        <v>2689</v>
      </c>
      <c r="E702" s="11" t="s">
        <v>2690</v>
      </c>
      <c r="F702" s="11" t="s">
        <v>2487</v>
      </c>
      <c r="G702" s="11">
        <v>19.71</v>
      </c>
      <c r="H702" s="11" t="s">
        <v>120</v>
      </c>
      <c r="I702" s="12">
        <v>9000.0</v>
      </c>
      <c r="J702" s="12">
        <v>9900.0</v>
      </c>
      <c r="K702" s="11"/>
      <c r="L702" s="11"/>
      <c r="M702" s="11"/>
      <c r="N702" s="11"/>
      <c r="O702" s="11" t="s">
        <v>2688</v>
      </c>
      <c r="P702" s="11" t="s">
        <v>42</v>
      </c>
      <c r="Q702" s="13" t="str">
        <f>IFERROR(VLOOKUP(E702,'SF Churn Data'!E:R,14,0),"")</f>
        <v/>
      </c>
    </row>
    <row r="703" hidden="1">
      <c r="A703" s="11" t="s">
        <v>132</v>
      </c>
      <c r="B703" s="11" t="s">
        <v>44</v>
      </c>
      <c r="C703" s="11" t="s">
        <v>37</v>
      </c>
      <c r="D703" s="11" t="s">
        <v>2691</v>
      </c>
      <c r="E703" s="11" t="s">
        <v>2692</v>
      </c>
      <c r="F703" s="11" t="s">
        <v>2487</v>
      </c>
      <c r="G703" s="11">
        <v>60.33</v>
      </c>
      <c r="H703" s="11" t="s">
        <v>574</v>
      </c>
      <c r="I703" s="12">
        <v>5765.76</v>
      </c>
      <c r="J703" s="12">
        <v>4650.0</v>
      </c>
      <c r="K703" s="11"/>
      <c r="L703" s="11"/>
      <c r="M703" s="11"/>
      <c r="N703" s="11"/>
      <c r="O703" s="11" t="s">
        <v>57</v>
      </c>
      <c r="P703" s="11"/>
      <c r="Q703" s="13" t="str">
        <f>IFERROR(VLOOKUP(E703,'SF Churn Data'!E:R,14,0),"")</f>
        <v/>
      </c>
    </row>
    <row r="704" hidden="1">
      <c r="A704" s="11" t="s">
        <v>2526</v>
      </c>
      <c r="B704" s="11" t="s">
        <v>44</v>
      </c>
      <c r="C704" s="11" t="s">
        <v>180</v>
      </c>
      <c r="D704" s="11" t="s">
        <v>2693</v>
      </c>
      <c r="E704" s="11" t="s">
        <v>2694</v>
      </c>
      <c r="F704" s="11" t="s">
        <v>2487</v>
      </c>
      <c r="G704" s="11">
        <v>22.08</v>
      </c>
      <c r="H704" s="11" t="s">
        <v>168</v>
      </c>
      <c r="I704" s="12">
        <v>9500.0</v>
      </c>
      <c r="J704" s="12">
        <v>10450.0</v>
      </c>
      <c r="K704" s="12"/>
      <c r="L704" s="11"/>
      <c r="M704" s="11"/>
      <c r="N704" s="11"/>
      <c r="O704" s="11" t="s">
        <v>2531</v>
      </c>
      <c r="P704" s="11" t="s">
        <v>42</v>
      </c>
      <c r="Q704" s="13" t="str">
        <f>IFERROR(VLOOKUP(E704,'SF Churn Data'!E:R,14,0),"")</f>
        <v/>
      </c>
    </row>
    <row r="705" hidden="1">
      <c r="A705" s="11" t="s">
        <v>2526</v>
      </c>
      <c r="B705" s="11" t="s">
        <v>44</v>
      </c>
      <c r="C705" s="11" t="s">
        <v>53</v>
      </c>
      <c r="D705" s="11" t="s">
        <v>2695</v>
      </c>
      <c r="E705" s="11" t="s">
        <v>2696</v>
      </c>
      <c r="F705" s="11" t="s">
        <v>2487</v>
      </c>
      <c r="G705" s="11">
        <v>15.35</v>
      </c>
      <c r="H705" s="11" t="s">
        <v>56</v>
      </c>
      <c r="I705" s="12">
        <v>7900.0</v>
      </c>
      <c r="J705" s="12">
        <v>8700.0</v>
      </c>
      <c r="K705" s="12"/>
      <c r="L705" s="11"/>
      <c r="M705" s="11"/>
      <c r="N705" s="11"/>
      <c r="O705" s="11" t="s">
        <v>2688</v>
      </c>
      <c r="P705" s="11" t="s">
        <v>42</v>
      </c>
      <c r="Q705" s="13" t="str">
        <f>IFERROR(VLOOKUP(E705,'SF Churn Data'!E:R,14,0),"")</f>
        <v/>
      </c>
    </row>
    <row r="706" hidden="1">
      <c r="A706" s="11" t="s">
        <v>2526</v>
      </c>
      <c r="B706" s="11" t="s">
        <v>44</v>
      </c>
      <c r="C706" s="11" t="s">
        <v>53</v>
      </c>
      <c r="D706" s="11" t="s">
        <v>2697</v>
      </c>
      <c r="E706" s="11" t="s">
        <v>2698</v>
      </c>
      <c r="F706" s="11" t="s">
        <v>2487</v>
      </c>
      <c r="G706" s="11">
        <v>15.01</v>
      </c>
      <c r="H706" s="11" t="s">
        <v>56</v>
      </c>
      <c r="I706" s="12">
        <v>7900.0</v>
      </c>
      <c r="J706" s="12">
        <v>8700.0</v>
      </c>
      <c r="K706" s="12"/>
      <c r="L706" s="11"/>
      <c r="M706" s="11"/>
      <c r="N706" s="11"/>
      <c r="O706" s="11" t="s">
        <v>2531</v>
      </c>
      <c r="P706" s="11" t="s">
        <v>42</v>
      </c>
      <c r="Q706" s="13" t="str">
        <f>IFERROR(VLOOKUP(E706,'SF Churn Data'!E:R,14,0),"")</f>
        <v/>
      </c>
    </row>
    <row r="707" hidden="1">
      <c r="A707" s="11" t="s">
        <v>2526</v>
      </c>
      <c r="B707" s="11" t="s">
        <v>44</v>
      </c>
      <c r="C707" s="11" t="s">
        <v>76</v>
      </c>
      <c r="D707" s="11" t="s">
        <v>2699</v>
      </c>
      <c r="E707" s="11" t="s">
        <v>2700</v>
      </c>
      <c r="F707" s="11" t="s">
        <v>2487</v>
      </c>
      <c r="G707" s="11">
        <v>19.06</v>
      </c>
      <c r="H707" s="11" t="s">
        <v>120</v>
      </c>
      <c r="I707" s="12">
        <v>9000.0</v>
      </c>
      <c r="J707" s="12">
        <v>9900.0</v>
      </c>
      <c r="K707" s="12"/>
      <c r="L707" s="11"/>
      <c r="M707" s="11"/>
      <c r="N707" s="11"/>
      <c r="O707" s="11" t="s">
        <v>2531</v>
      </c>
      <c r="P707" s="11" t="s">
        <v>42</v>
      </c>
      <c r="Q707" s="13" t="str">
        <f>IFERROR(VLOOKUP(E707,'SF Churn Data'!E:R,14,0),"")</f>
        <v/>
      </c>
    </row>
    <row r="708" hidden="1">
      <c r="A708" s="11" t="s">
        <v>1029</v>
      </c>
      <c r="B708" s="11" t="s">
        <v>44</v>
      </c>
      <c r="C708" s="11" t="s">
        <v>53</v>
      </c>
      <c r="D708" s="11" t="s">
        <v>2701</v>
      </c>
      <c r="E708" s="11" t="s">
        <v>2702</v>
      </c>
      <c r="F708" s="11" t="s">
        <v>2487</v>
      </c>
      <c r="G708" s="11">
        <v>15.66</v>
      </c>
      <c r="H708" s="11" t="s">
        <v>56</v>
      </c>
      <c r="I708" s="12">
        <v>450.0</v>
      </c>
      <c r="J708" s="12">
        <v>360.0</v>
      </c>
      <c r="K708" s="11"/>
      <c r="L708" s="11"/>
      <c r="M708" s="11"/>
      <c r="N708" s="11"/>
      <c r="O708" s="11" t="s">
        <v>57</v>
      </c>
      <c r="P708" s="11"/>
      <c r="Q708" s="13" t="str">
        <f>IFERROR(VLOOKUP(E708,'SF Churn Data'!E:R,14,0),"")</f>
        <v/>
      </c>
    </row>
    <row r="709" hidden="1">
      <c r="A709" s="11" t="s">
        <v>1029</v>
      </c>
      <c r="B709" s="11" t="s">
        <v>44</v>
      </c>
      <c r="C709" s="11" t="s">
        <v>53</v>
      </c>
      <c r="D709" s="11" t="s">
        <v>2703</v>
      </c>
      <c r="E709" s="11" t="s">
        <v>2704</v>
      </c>
      <c r="F709" s="11" t="s">
        <v>2487</v>
      </c>
      <c r="G709" s="11">
        <v>15.88</v>
      </c>
      <c r="H709" s="11" t="s">
        <v>56</v>
      </c>
      <c r="I709" s="12">
        <v>450.0</v>
      </c>
      <c r="J709" s="12">
        <v>360.0</v>
      </c>
      <c r="K709" s="11"/>
      <c r="L709" s="11"/>
      <c r="M709" s="11"/>
      <c r="N709" s="11"/>
      <c r="O709" s="11" t="s">
        <v>57</v>
      </c>
      <c r="P709" s="11"/>
      <c r="Q709" s="13" t="str">
        <f>IFERROR(VLOOKUP(E709,'SF Churn Data'!E:R,14,0),"")</f>
        <v/>
      </c>
    </row>
    <row r="710" hidden="1">
      <c r="A710" s="11" t="s">
        <v>2526</v>
      </c>
      <c r="B710" s="11" t="s">
        <v>44</v>
      </c>
      <c r="C710" s="11" t="s">
        <v>133</v>
      </c>
      <c r="D710" s="11" t="s">
        <v>2705</v>
      </c>
      <c r="E710" s="11" t="s">
        <v>2706</v>
      </c>
      <c r="F710" s="11" t="s">
        <v>2487</v>
      </c>
      <c r="G710" s="11">
        <v>14.78</v>
      </c>
      <c r="H710" s="11" t="s">
        <v>168</v>
      </c>
      <c r="I710" s="12">
        <v>7400.0</v>
      </c>
      <c r="J710" s="12">
        <v>8150.0</v>
      </c>
      <c r="K710" s="12"/>
      <c r="L710" s="11"/>
      <c r="M710" s="11"/>
      <c r="N710" s="11"/>
      <c r="O710" s="11" t="s">
        <v>2531</v>
      </c>
      <c r="P710" s="11" t="s">
        <v>42</v>
      </c>
      <c r="Q710" s="13" t="str">
        <f>IFERROR(VLOOKUP(E710,'SF Churn Data'!E:R,14,0),"")</f>
        <v/>
      </c>
    </row>
    <row r="711" hidden="1">
      <c r="A711" s="11" t="s">
        <v>2526</v>
      </c>
      <c r="B711" s="11" t="s">
        <v>44</v>
      </c>
      <c r="C711" s="11" t="s">
        <v>53</v>
      </c>
      <c r="D711" s="11" t="s">
        <v>2707</v>
      </c>
      <c r="E711" s="11" t="s">
        <v>2708</v>
      </c>
      <c r="F711" s="11" t="s">
        <v>2487</v>
      </c>
      <c r="G711" s="11">
        <v>15.18</v>
      </c>
      <c r="H711" s="11" t="s">
        <v>168</v>
      </c>
      <c r="I711" s="12">
        <v>7900.0</v>
      </c>
      <c r="J711" s="12">
        <v>8700.0</v>
      </c>
      <c r="K711" s="11"/>
      <c r="L711" s="11"/>
      <c r="M711" s="11"/>
      <c r="N711" s="11"/>
      <c r="O711" s="11" t="s">
        <v>2531</v>
      </c>
      <c r="P711" s="11" t="s">
        <v>42</v>
      </c>
      <c r="Q711" s="13" t="str">
        <f>IFERROR(VLOOKUP(E711,'SF Churn Data'!E:R,14,0),"")</f>
        <v/>
      </c>
    </row>
    <row r="712" hidden="1">
      <c r="A712" s="11" t="s">
        <v>165</v>
      </c>
      <c r="B712" s="11" t="s">
        <v>44</v>
      </c>
      <c r="C712" s="11" t="s">
        <v>53</v>
      </c>
      <c r="D712" s="11" t="s">
        <v>2709</v>
      </c>
      <c r="E712" s="11" t="s">
        <v>2710</v>
      </c>
      <c r="F712" s="11" t="s">
        <v>2487</v>
      </c>
      <c r="G712" s="11">
        <v>16.75</v>
      </c>
      <c r="H712" s="11" t="s">
        <v>56</v>
      </c>
      <c r="I712" s="12">
        <v>3563.0</v>
      </c>
      <c r="J712" s="12">
        <v>4300.0</v>
      </c>
      <c r="K712" s="11">
        <v>4350.0</v>
      </c>
      <c r="L712" s="11"/>
      <c r="M712" s="11"/>
      <c r="N712" s="11"/>
      <c r="O712" s="11" t="s">
        <v>117</v>
      </c>
      <c r="P712" s="11"/>
      <c r="Q712" s="13" t="str">
        <f>IFERROR(VLOOKUP(E712,'SF Churn Data'!E:R,14,0),"")</f>
        <v/>
      </c>
    </row>
    <row r="713" hidden="1">
      <c r="A713" s="11" t="s">
        <v>165</v>
      </c>
      <c r="B713" s="11" t="s">
        <v>44</v>
      </c>
      <c r="C713" s="11" t="s">
        <v>64</v>
      </c>
      <c r="D713" s="11" t="s">
        <v>2711</v>
      </c>
      <c r="E713" s="11" t="s">
        <v>2712</v>
      </c>
      <c r="F713" s="11" t="s">
        <v>2487</v>
      </c>
      <c r="G713" s="11">
        <v>17.39</v>
      </c>
      <c r="H713" s="11" t="s">
        <v>120</v>
      </c>
      <c r="I713" s="12">
        <v>4039.0</v>
      </c>
      <c r="J713" s="12">
        <v>4850.0</v>
      </c>
      <c r="K713" s="12">
        <v>4900.0</v>
      </c>
      <c r="L713" s="11"/>
      <c r="M713" s="11"/>
      <c r="N713" s="11"/>
      <c r="O713" s="11" t="s">
        <v>117</v>
      </c>
      <c r="P713" s="11"/>
      <c r="Q713" s="13" t="str">
        <f>IFERROR(VLOOKUP(E713,'SF Churn Data'!E:R,14,0),"")</f>
        <v/>
      </c>
    </row>
    <row r="714" hidden="1">
      <c r="A714" s="11" t="s">
        <v>165</v>
      </c>
      <c r="B714" s="11" t="s">
        <v>44</v>
      </c>
      <c r="C714" s="11" t="s">
        <v>53</v>
      </c>
      <c r="D714" s="11" t="s">
        <v>2713</v>
      </c>
      <c r="E714" s="11" t="s">
        <v>2714</v>
      </c>
      <c r="F714" s="11" t="s">
        <v>2487</v>
      </c>
      <c r="G714" s="11">
        <v>15.5</v>
      </c>
      <c r="H714" s="11" t="s">
        <v>56</v>
      </c>
      <c r="I714" s="12">
        <v>3563.0</v>
      </c>
      <c r="J714" s="12">
        <v>4300.0</v>
      </c>
      <c r="K714" s="12">
        <v>4350.0</v>
      </c>
      <c r="L714" s="11"/>
      <c r="M714" s="11"/>
      <c r="N714" s="11"/>
      <c r="O714" s="11" t="s">
        <v>117</v>
      </c>
      <c r="P714" s="11"/>
      <c r="Q714" s="13" t="str">
        <f>IFERROR(VLOOKUP(E714,'SF Churn Data'!E:R,14,0),"")</f>
        <v/>
      </c>
    </row>
    <row r="715" hidden="1">
      <c r="A715" s="11" t="s">
        <v>1822</v>
      </c>
      <c r="B715" s="11" t="s">
        <v>44</v>
      </c>
      <c r="C715" s="11" t="s">
        <v>53</v>
      </c>
      <c r="D715" s="11" t="s">
        <v>2715</v>
      </c>
      <c r="E715" s="11" t="s">
        <v>2716</v>
      </c>
      <c r="F715" s="11" t="s">
        <v>2487</v>
      </c>
      <c r="G715" s="11">
        <v>15.01</v>
      </c>
      <c r="H715" s="11" t="s">
        <v>56</v>
      </c>
      <c r="I715" s="12">
        <v>3700.0</v>
      </c>
      <c r="J715" s="12">
        <v>4100.0</v>
      </c>
      <c r="K715" s="11"/>
      <c r="L715" s="11"/>
      <c r="M715" s="11"/>
      <c r="N715" s="11"/>
      <c r="O715" s="11" t="s">
        <v>57</v>
      </c>
      <c r="P715" s="11"/>
      <c r="Q715" s="13" t="str">
        <f>IFERROR(VLOOKUP(E715,'SF Churn Data'!E:R,14,0),"")</f>
        <v/>
      </c>
    </row>
    <row r="716" hidden="1">
      <c r="A716" s="11" t="s">
        <v>165</v>
      </c>
      <c r="B716" s="11" t="s">
        <v>44</v>
      </c>
      <c r="C716" s="11" t="s">
        <v>64</v>
      </c>
      <c r="D716" s="11" t="s">
        <v>2717</v>
      </c>
      <c r="E716" s="11" t="s">
        <v>2718</v>
      </c>
      <c r="F716" s="11" t="s">
        <v>2487</v>
      </c>
      <c r="G716" s="11">
        <v>17.39</v>
      </c>
      <c r="H716" s="11" t="s">
        <v>120</v>
      </c>
      <c r="I716" s="12">
        <v>4039.0</v>
      </c>
      <c r="J716" s="12">
        <v>4850.0</v>
      </c>
      <c r="K716" s="11">
        <v>4900.0</v>
      </c>
      <c r="L716" s="11"/>
      <c r="M716" s="11"/>
      <c r="N716" s="11"/>
      <c r="O716" s="11" t="s">
        <v>117</v>
      </c>
      <c r="P716" s="11"/>
      <c r="Q716" s="13" t="str">
        <f>IFERROR(VLOOKUP(E716,'SF Churn Data'!E:R,14,0),"")</f>
        <v/>
      </c>
    </row>
    <row r="717" hidden="1">
      <c r="A717" s="11" t="s">
        <v>165</v>
      </c>
      <c r="B717" s="11" t="s">
        <v>44</v>
      </c>
      <c r="C717" s="11" t="s">
        <v>64</v>
      </c>
      <c r="D717" s="11" t="s">
        <v>2719</v>
      </c>
      <c r="E717" s="11" t="s">
        <v>2720</v>
      </c>
      <c r="F717" s="11" t="s">
        <v>2487</v>
      </c>
      <c r="G717" s="11">
        <v>17.39</v>
      </c>
      <c r="H717" s="11" t="s">
        <v>120</v>
      </c>
      <c r="I717" s="12">
        <v>4039.0</v>
      </c>
      <c r="J717" s="12">
        <v>4850.0</v>
      </c>
      <c r="K717" s="12">
        <v>4900.0</v>
      </c>
      <c r="L717" s="11"/>
      <c r="M717" s="11"/>
      <c r="N717" s="11"/>
      <c r="O717" s="11" t="s">
        <v>117</v>
      </c>
      <c r="P717" s="11"/>
      <c r="Q717" s="13" t="str">
        <f>IFERROR(VLOOKUP(E717,'SF Churn Data'!E:R,14,0),"")</f>
        <v/>
      </c>
    </row>
    <row r="718" hidden="1">
      <c r="A718" s="11" t="s">
        <v>165</v>
      </c>
      <c r="B718" s="11" t="s">
        <v>44</v>
      </c>
      <c r="C718" s="11" t="s">
        <v>76</v>
      </c>
      <c r="D718" s="11" t="s">
        <v>2721</v>
      </c>
      <c r="E718" s="11" t="s">
        <v>2722</v>
      </c>
      <c r="F718" s="11" t="s">
        <v>2487</v>
      </c>
      <c r="G718" s="11">
        <v>20.78</v>
      </c>
      <c r="H718" s="11" t="s">
        <v>120</v>
      </c>
      <c r="I718" s="12">
        <v>4275.0</v>
      </c>
      <c r="J718" s="12">
        <v>5150.0</v>
      </c>
      <c r="K718" s="12">
        <v>5200.0</v>
      </c>
      <c r="L718" s="11"/>
      <c r="M718" s="11"/>
      <c r="N718" s="11"/>
      <c r="O718" s="11" t="s">
        <v>117</v>
      </c>
      <c r="P718" s="11"/>
      <c r="Q718" s="13" t="str">
        <f>IFERROR(VLOOKUP(E718,'SF Churn Data'!E:R,14,0),"")</f>
        <v/>
      </c>
    </row>
    <row r="719" hidden="1">
      <c r="A719" s="11" t="s">
        <v>1822</v>
      </c>
      <c r="B719" s="11" t="s">
        <v>44</v>
      </c>
      <c r="C719" s="11" t="s">
        <v>76</v>
      </c>
      <c r="D719" s="11" t="s">
        <v>2723</v>
      </c>
      <c r="E719" s="11" t="s">
        <v>2724</v>
      </c>
      <c r="F719" s="11" t="s">
        <v>2487</v>
      </c>
      <c r="G719" s="11">
        <v>21.06</v>
      </c>
      <c r="H719" s="11" t="s">
        <v>120</v>
      </c>
      <c r="I719" s="12">
        <v>4200.0</v>
      </c>
      <c r="J719" s="12">
        <v>4650.0</v>
      </c>
      <c r="K719" s="12"/>
      <c r="L719" s="11"/>
      <c r="M719" s="11"/>
      <c r="N719" s="11"/>
      <c r="O719" s="11" t="s">
        <v>57</v>
      </c>
      <c r="P719" s="11"/>
      <c r="Q719" s="13" t="str">
        <f>IFERROR(VLOOKUP(E719,'SF Churn Data'!E:R,14,0),"")</f>
        <v/>
      </c>
    </row>
    <row r="720" hidden="1">
      <c r="A720" s="11" t="s">
        <v>1822</v>
      </c>
      <c r="B720" s="11" t="s">
        <v>44</v>
      </c>
      <c r="C720" s="11" t="s">
        <v>64</v>
      </c>
      <c r="D720" s="11" t="s">
        <v>2725</v>
      </c>
      <c r="E720" s="11" t="s">
        <v>2726</v>
      </c>
      <c r="F720" s="11" t="s">
        <v>2487</v>
      </c>
      <c r="G720" s="11">
        <v>17.06</v>
      </c>
      <c r="H720" s="11" t="s">
        <v>120</v>
      </c>
      <c r="I720" s="12">
        <v>4000.0</v>
      </c>
      <c r="J720" s="12">
        <v>4400.0</v>
      </c>
      <c r="K720" s="11"/>
      <c r="L720" s="11"/>
      <c r="M720" s="11"/>
      <c r="N720" s="11"/>
      <c r="O720" s="11" t="s">
        <v>57</v>
      </c>
      <c r="P720" s="11"/>
      <c r="Q720" s="13" t="str">
        <f>IFERROR(VLOOKUP(E720,'SF Churn Data'!E:R,14,0),"")</f>
        <v/>
      </c>
    </row>
    <row r="721" hidden="1">
      <c r="A721" s="11" t="s">
        <v>1822</v>
      </c>
      <c r="B721" s="11" t="s">
        <v>44</v>
      </c>
      <c r="C721" s="11" t="s">
        <v>64</v>
      </c>
      <c r="D721" s="11" t="s">
        <v>2727</v>
      </c>
      <c r="E721" s="11" t="s">
        <v>2728</v>
      </c>
      <c r="F721" s="11" t="s">
        <v>2487</v>
      </c>
      <c r="G721" s="11">
        <v>17.06</v>
      </c>
      <c r="H721" s="11" t="s">
        <v>120</v>
      </c>
      <c r="I721" s="12">
        <v>4000.0</v>
      </c>
      <c r="J721" s="12">
        <v>4400.0</v>
      </c>
      <c r="K721" s="12"/>
      <c r="L721" s="11"/>
      <c r="M721" s="11"/>
      <c r="N721" s="11"/>
      <c r="O721" s="11" t="s">
        <v>57</v>
      </c>
      <c r="P721" s="11"/>
      <c r="Q721" s="13" t="str">
        <f>IFERROR(VLOOKUP(E721,'SF Churn Data'!E:R,14,0),"")</f>
        <v/>
      </c>
    </row>
    <row r="722" hidden="1">
      <c r="A722" s="11" t="s">
        <v>1822</v>
      </c>
      <c r="B722" s="11" t="s">
        <v>44</v>
      </c>
      <c r="C722" s="11" t="s">
        <v>76</v>
      </c>
      <c r="D722" s="11" t="s">
        <v>2729</v>
      </c>
      <c r="E722" s="11" t="s">
        <v>2730</v>
      </c>
      <c r="F722" s="11" t="s">
        <v>2487</v>
      </c>
      <c r="G722" s="11">
        <v>21.52</v>
      </c>
      <c r="H722" s="11" t="s">
        <v>120</v>
      </c>
      <c r="I722" s="12">
        <v>4200.0</v>
      </c>
      <c r="J722" s="12">
        <v>4650.0</v>
      </c>
      <c r="K722" s="11"/>
      <c r="L722" s="11"/>
      <c r="M722" s="11"/>
      <c r="N722" s="11"/>
      <c r="O722" s="11" t="s">
        <v>57</v>
      </c>
      <c r="P722" s="11"/>
      <c r="Q722" s="13" t="str">
        <f>IFERROR(VLOOKUP(E722,'SF Churn Data'!E:R,14,0),"")</f>
        <v/>
      </c>
    </row>
    <row r="723" hidden="1">
      <c r="A723" s="11" t="s">
        <v>1822</v>
      </c>
      <c r="B723" s="11" t="s">
        <v>44</v>
      </c>
      <c r="C723" s="11" t="s">
        <v>64</v>
      </c>
      <c r="D723" s="11" t="s">
        <v>2731</v>
      </c>
      <c r="E723" s="11" t="s">
        <v>2732</v>
      </c>
      <c r="F723" s="11" t="s">
        <v>2487</v>
      </c>
      <c r="G723" s="11">
        <v>17.19</v>
      </c>
      <c r="H723" s="11" t="s">
        <v>120</v>
      </c>
      <c r="I723" s="12">
        <v>4000.0</v>
      </c>
      <c r="J723" s="12">
        <v>4400.0</v>
      </c>
      <c r="K723" s="11"/>
      <c r="L723" s="11"/>
      <c r="M723" s="11"/>
      <c r="N723" s="11"/>
      <c r="O723" s="11" t="s">
        <v>57</v>
      </c>
      <c r="P723" s="11"/>
      <c r="Q723" s="13" t="str">
        <f>IFERROR(VLOOKUP(E723,'SF Churn Data'!E:R,14,0),"")</f>
        <v/>
      </c>
    </row>
    <row r="724" hidden="1">
      <c r="A724" s="11" t="s">
        <v>138</v>
      </c>
      <c r="B724" s="11" t="s">
        <v>45</v>
      </c>
      <c r="C724" s="11" t="s">
        <v>45</v>
      </c>
      <c r="D724" s="11" t="s">
        <v>2733</v>
      </c>
      <c r="E724" s="11" t="s">
        <v>2734</v>
      </c>
      <c r="F724" s="11" t="s">
        <v>2487</v>
      </c>
      <c r="G724" s="11">
        <v>9.99</v>
      </c>
      <c r="H724" s="11" t="s">
        <v>45</v>
      </c>
      <c r="I724" s="12">
        <v>1652.0</v>
      </c>
      <c r="J724" s="12">
        <v>2400.0</v>
      </c>
      <c r="K724" s="11">
        <v>2050.0</v>
      </c>
      <c r="L724" s="11"/>
      <c r="M724" s="11"/>
      <c r="N724" s="11"/>
      <c r="O724" s="11" t="s">
        <v>83</v>
      </c>
      <c r="P724" s="11" t="s">
        <v>144</v>
      </c>
      <c r="Q724" s="13" t="str">
        <f>IFERROR(VLOOKUP(E724,'SF Churn Data'!E:R,14,0),"")</f>
        <v/>
      </c>
    </row>
    <row r="725" hidden="1">
      <c r="A725" s="11" t="s">
        <v>2735</v>
      </c>
      <c r="B725" s="11" t="s">
        <v>44</v>
      </c>
      <c r="C725" s="11" t="s">
        <v>76</v>
      </c>
      <c r="D725" s="11" t="s">
        <v>2736</v>
      </c>
      <c r="E725" s="11" t="s">
        <v>2737</v>
      </c>
      <c r="F725" s="11" t="s">
        <v>2487</v>
      </c>
      <c r="G725" s="11">
        <v>19.3</v>
      </c>
      <c r="H725" s="11" t="s">
        <v>120</v>
      </c>
      <c r="I725" s="12">
        <v>4700.0</v>
      </c>
      <c r="J725" s="12"/>
      <c r="K725" s="11"/>
      <c r="L725" s="11"/>
      <c r="M725" s="11"/>
      <c r="N725" s="11"/>
      <c r="O725" s="11" t="s">
        <v>57</v>
      </c>
      <c r="P725" s="11"/>
      <c r="Q725" s="13" t="str">
        <f>IFERROR(VLOOKUP(E725,'SF Churn Data'!E:R,14,0),"")</f>
        <v/>
      </c>
    </row>
    <row r="726" hidden="1">
      <c r="A726" s="11" t="s">
        <v>2735</v>
      </c>
      <c r="B726" s="11" t="s">
        <v>44</v>
      </c>
      <c r="C726" s="11" t="s">
        <v>133</v>
      </c>
      <c r="D726" s="11" t="s">
        <v>2738</v>
      </c>
      <c r="E726" s="11" t="s">
        <v>2739</v>
      </c>
      <c r="F726" s="11" t="s">
        <v>2487</v>
      </c>
      <c r="G726" s="11">
        <v>13.32</v>
      </c>
      <c r="H726" s="11" t="s">
        <v>56</v>
      </c>
      <c r="I726" s="12">
        <v>3900.0</v>
      </c>
      <c r="J726" s="12"/>
      <c r="K726" s="11"/>
      <c r="L726" s="11"/>
      <c r="M726" s="11"/>
      <c r="N726" s="11"/>
      <c r="O726" s="11" t="s">
        <v>57</v>
      </c>
      <c r="P726" s="11"/>
      <c r="Q726" s="13" t="str">
        <f>IFERROR(VLOOKUP(E726,'SF Churn Data'!E:R,14,0),"")</f>
        <v/>
      </c>
    </row>
    <row r="727" hidden="1">
      <c r="A727" s="11" t="s">
        <v>138</v>
      </c>
      <c r="B727" s="11" t="s">
        <v>44</v>
      </c>
      <c r="C727" s="11" t="s">
        <v>76</v>
      </c>
      <c r="D727" s="11" t="s">
        <v>2740</v>
      </c>
      <c r="E727" s="11" t="s">
        <v>2741</v>
      </c>
      <c r="F727" s="11" t="s">
        <v>2487</v>
      </c>
      <c r="G727" s="11">
        <v>21.51</v>
      </c>
      <c r="H727" s="11" t="s">
        <v>168</v>
      </c>
      <c r="I727" s="12">
        <v>4359.0</v>
      </c>
      <c r="J727" s="12">
        <v>6350.0</v>
      </c>
      <c r="K727" s="12">
        <v>5300.0</v>
      </c>
      <c r="L727" s="11"/>
      <c r="M727" s="11"/>
      <c r="N727" s="11"/>
      <c r="O727" s="11" t="s">
        <v>57</v>
      </c>
      <c r="P727" s="11" t="s">
        <v>144</v>
      </c>
      <c r="Q727" s="13" t="str">
        <f>IFERROR(VLOOKUP(E727,'SF Churn Data'!E:R,14,0),"")</f>
        <v/>
      </c>
    </row>
    <row r="728" hidden="1">
      <c r="A728" s="11" t="s">
        <v>2735</v>
      </c>
      <c r="B728" s="11" t="s">
        <v>44</v>
      </c>
      <c r="C728" s="11" t="s">
        <v>76</v>
      </c>
      <c r="D728" s="11" t="s">
        <v>2742</v>
      </c>
      <c r="E728" s="11" t="s">
        <v>2743</v>
      </c>
      <c r="F728" s="11" t="s">
        <v>2487</v>
      </c>
      <c r="G728" s="11">
        <v>19.16</v>
      </c>
      <c r="H728" s="11" t="s">
        <v>120</v>
      </c>
      <c r="I728" s="12">
        <v>4700.0</v>
      </c>
      <c r="J728" s="12"/>
      <c r="K728" s="12"/>
      <c r="L728" s="11"/>
      <c r="M728" s="11"/>
      <c r="N728" s="11"/>
      <c r="O728" s="11" t="s">
        <v>41</v>
      </c>
      <c r="P728" s="11"/>
      <c r="Q728" s="13" t="str">
        <f>IFERROR(VLOOKUP(E728,'SF Churn Data'!E:R,14,0),"")</f>
        <v/>
      </c>
    </row>
    <row r="729" hidden="1">
      <c r="A729" s="11" t="s">
        <v>2735</v>
      </c>
      <c r="B729" s="11" t="s">
        <v>44</v>
      </c>
      <c r="C729" s="11" t="s">
        <v>133</v>
      </c>
      <c r="D729" s="11" t="s">
        <v>2744</v>
      </c>
      <c r="E729" s="11" t="s">
        <v>2745</v>
      </c>
      <c r="F729" s="11" t="s">
        <v>2487</v>
      </c>
      <c r="G729" s="11">
        <v>14.19</v>
      </c>
      <c r="H729" s="11" t="s">
        <v>56</v>
      </c>
      <c r="I729" s="12">
        <v>3900.0</v>
      </c>
      <c r="J729" s="12"/>
      <c r="K729" s="12"/>
      <c r="L729" s="11"/>
      <c r="M729" s="11"/>
      <c r="N729" s="11"/>
      <c r="O729" s="11" t="s">
        <v>57</v>
      </c>
      <c r="P729" s="11"/>
      <c r="Q729" s="13" t="str">
        <f>IFERROR(VLOOKUP(E729,'SF Churn Data'!E:R,14,0),"")</f>
        <v/>
      </c>
    </row>
    <row r="730" hidden="1">
      <c r="A730" s="11" t="s">
        <v>154</v>
      </c>
      <c r="B730" s="11" t="s">
        <v>45</v>
      </c>
      <c r="C730" s="11" t="s">
        <v>45</v>
      </c>
      <c r="D730" s="11" t="s">
        <v>2746</v>
      </c>
      <c r="E730" s="11" t="s">
        <v>2747</v>
      </c>
      <c r="F730" s="11" t="s">
        <v>2487</v>
      </c>
      <c r="G730" s="11">
        <v>13.15</v>
      </c>
      <c r="H730" s="11" t="s">
        <v>45</v>
      </c>
      <c r="I730" s="12">
        <v>3580.0</v>
      </c>
      <c r="J730" s="12">
        <v>5050.0</v>
      </c>
      <c r="K730" s="11">
        <v>4350.0</v>
      </c>
      <c r="L730" s="11"/>
      <c r="M730" s="11"/>
      <c r="N730" s="11"/>
      <c r="O730" s="11" t="s">
        <v>151</v>
      </c>
      <c r="P730" s="11" t="s">
        <v>157</v>
      </c>
      <c r="Q730" s="13" t="str">
        <f>IFERROR(VLOOKUP(E730,'SF Churn Data'!E:R,14,0),"")</f>
        <v/>
      </c>
    </row>
    <row r="731">
      <c r="A731" s="11" t="s">
        <v>2735</v>
      </c>
      <c r="B731" s="11" t="s">
        <v>44</v>
      </c>
      <c r="C731" s="11" t="s">
        <v>180</v>
      </c>
      <c r="D731" s="11" t="s">
        <v>2748</v>
      </c>
      <c r="E731" s="11" t="s">
        <v>2749</v>
      </c>
      <c r="F731" s="11" t="s">
        <v>2487</v>
      </c>
      <c r="G731" s="11">
        <v>22.68</v>
      </c>
      <c r="H731" s="11" t="s">
        <v>168</v>
      </c>
      <c r="I731" s="12">
        <v>5000.0</v>
      </c>
      <c r="J731" s="12"/>
      <c r="K731" s="11"/>
      <c r="L731" s="11"/>
      <c r="M731" s="11"/>
      <c r="N731" s="11"/>
      <c r="O731" s="11" t="s">
        <v>41</v>
      </c>
      <c r="P731" s="11"/>
      <c r="Q731" s="13" t="str">
        <f>IFERROR(VLOOKUP(E731,'SF Churn Data'!E:R,14,0),"")</f>
        <v/>
      </c>
    </row>
    <row r="732">
      <c r="A732" s="11" t="s">
        <v>2735</v>
      </c>
      <c r="B732" s="11" t="s">
        <v>44</v>
      </c>
      <c r="C732" s="11" t="s">
        <v>76</v>
      </c>
      <c r="D732" s="11" t="s">
        <v>2750</v>
      </c>
      <c r="E732" s="11" t="s">
        <v>2751</v>
      </c>
      <c r="F732" s="11" t="s">
        <v>2487</v>
      </c>
      <c r="G732" s="11">
        <v>20.1</v>
      </c>
      <c r="H732" s="11" t="s">
        <v>120</v>
      </c>
      <c r="I732" s="12">
        <v>4700.0</v>
      </c>
      <c r="J732" s="12"/>
      <c r="K732" s="12"/>
      <c r="L732" s="11"/>
      <c r="M732" s="11"/>
      <c r="N732" s="11"/>
      <c r="O732" s="11" t="s">
        <v>41</v>
      </c>
      <c r="P732" s="11"/>
      <c r="Q732" s="13" t="str">
        <f>IFERROR(VLOOKUP(E732,'SF Churn Data'!E:R,14,0),"")</f>
        <v/>
      </c>
    </row>
    <row r="733" hidden="1">
      <c r="A733" s="11" t="s">
        <v>2735</v>
      </c>
      <c r="B733" s="11" t="s">
        <v>44</v>
      </c>
      <c r="C733" s="11" t="s">
        <v>53</v>
      </c>
      <c r="D733" s="11" t="s">
        <v>2752</v>
      </c>
      <c r="E733" s="11" t="s">
        <v>2753</v>
      </c>
      <c r="F733" s="11" t="s">
        <v>2487</v>
      </c>
      <c r="G733" s="11">
        <v>15.13</v>
      </c>
      <c r="H733" s="11" t="s">
        <v>56</v>
      </c>
      <c r="I733" s="12">
        <v>4200.0</v>
      </c>
      <c r="J733" s="12"/>
      <c r="K733" s="11"/>
      <c r="L733" s="11"/>
      <c r="M733" s="11"/>
      <c r="N733" s="11"/>
      <c r="O733" s="11" t="s">
        <v>41</v>
      </c>
      <c r="P733" s="11"/>
      <c r="Q733" s="13" t="str">
        <f>IFERROR(VLOOKUP(E733,'SF Churn Data'!E:R,14,0),"")</f>
        <v/>
      </c>
    </row>
    <row r="734">
      <c r="A734" s="11" t="s">
        <v>2735</v>
      </c>
      <c r="B734" s="11" t="s">
        <v>44</v>
      </c>
      <c r="C734" s="11" t="s">
        <v>76</v>
      </c>
      <c r="D734" s="11" t="s">
        <v>2754</v>
      </c>
      <c r="E734" s="11" t="s">
        <v>2755</v>
      </c>
      <c r="F734" s="11" t="s">
        <v>2487</v>
      </c>
      <c r="G734" s="11">
        <v>19.87</v>
      </c>
      <c r="H734" s="11" t="s">
        <v>120</v>
      </c>
      <c r="I734" s="12">
        <v>4700.0</v>
      </c>
      <c r="J734" s="12"/>
      <c r="K734" s="11"/>
      <c r="L734" s="11"/>
      <c r="M734" s="11"/>
      <c r="N734" s="11"/>
      <c r="O734" s="11" t="s">
        <v>41</v>
      </c>
      <c r="P734" s="11"/>
      <c r="Q734" s="13" t="str">
        <f>IFERROR(VLOOKUP(E734,'SF Churn Data'!E:R,14,0),"")</f>
        <v/>
      </c>
    </row>
    <row r="735">
      <c r="A735" s="11" t="s">
        <v>2735</v>
      </c>
      <c r="B735" s="11" t="s">
        <v>44</v>
      </c>
      <c r="C735" s="11" t="s">
        <v>76</v>
      </c>
      <c r="D735" s="11" t="s">
        <v>2756</v>
      </c>
      <c r="E735" s="11" t="s">
        <v>2757</v>
      </c>
      <c r="F735" s="11" t="s">
        <v>2487</v>
      </c>
      <c r="G735" s="11">
        <v>20.41</v>
      </c>
      <c r="H735" s="11" t="s">
        <v>120</v>
      </c>
      <c r="I735" s="12">
        <v>4700.0</v>
      </c>
      <c r="J735" s="12"/>
      <c r="K735" s="12"/>
      <c r="L735" s="11"/>
      <c r="M735" s="11"/>
      <c r="N735" s="11"/>
      <c r="O735" s="11" t="s">
        <v>41</v>
      </c>
      <c r="P735" s="11"/>
      <c r="Q735" s="13" t="str">
        <f>IFERROR(VLOOKUP(E735,'SF Churn Data'!E:R,14,0),"")</f>
        <v/>
      </c>
    </row>
    <row r="736" hidden="1">
      <c r="A736" s="11" t="s">
        <v>2735</v>
      </c>
      <c r="B736" s="11" t="s">
        <v>44</v>
      </c>
      <c r="C736" s="11" t="s">
        <v>64</v>
      </c>
      <c r="D736" s="11" t="s">
        <v>2758</v>
      </c>
      <c r="E736" s="11" t="s">
        <v>2759</v>
      </c>
      <c r="F736" s="11" t="s">
        <v>2487</v>
      </c>
      <c r="G736" s="11">
        <v>17.02</v>
      </c>
      <c r="H736" s="11" t="s">
        <v>120</v>
      </c>
      <c r="I736" s="12">
        <v>4400.0</v>
      </c>
      <c r="J736" s="12"/>
      <c r="K736" s="11"/>
      <c r="L736" s="11"/>
      <c r="M736" s="11"/>
      <c r="N736" s="11"/>
      <c r="O736" s="11" t="s">
        <v>41</v>
      </c>
      <c r="P736" s="11"/>
      <c r="Q736" s="13" t="str">
        <f>IFERROR(VLOOKUP(E736,'SF Churn Data'!E:R,14,0),"")</f>
        <v/>
      </c>
    </row>
    <row r="737">
      <c r="A737" s="11" t="s">
        <v>2735</v>
      </c>
      <c r="B737" s="11" t="s">
        <v>44</v>
      </c>
      <c r="C737" s="11" t="s">
        <v>76</v>
      </c>
      <c r="D737" s="11" t="s">
        <v>2760</v>
      </c>
      <c r="E737" s="11" t="s">
        <v>2761</v>
      </c>
      <c r="F737" s="11" t="s">
        <v>2487</v>
      </c>
      <c r="G737" s="11">
        <v>19.42</v>
      </c>
      <c r="H737" s="11" t="s">
        <v>120</v>
      </c>
      <c r="I737" s="12">
        <v>4700.0</v>
      </c>
      <c r="J737" s="12"/>
      <c r="K737" s="11"/>
      <c r="L737" s="11"/>
      <c r="M737" s="11"/>
      <c r="N737" s="11"/>
      <c r="O737" s="11" t="s">
        <v>57</v>
      </c>
      <c r="P737" s="11"/>
      <c r="Q737" s="13" t="str">
        <f>IFERROR(VLOOKUP(E737,'SF Churn Data'!E:R,14,0),"")</f>
        <v/>
      </c>
    </row>
    <row r="738">
      <c r="A738" s="11" t="s">
        <v>2735</v>
      </c>
      <c r="B738" s="11" t="s">
        <v>44</v>
      </c>
      <c r="C738" s="11" t="s">
        <v>76</v>
      </c>
      <c r="D738" s="11" t="s">
        <v>2762</v>
      </c>
      <c r="E738" s="11" t="s">
        <v>2763</v>
      </c>
      <c r="F738" s="11" t="s">
        <v>2487</v>
      </c>
      <c r="G738" s="11">
        <v>19.84</v>
      </c>
      <c r="H738" s="11" t="s">
        <v>120</v>
      </c>
      <c r="I738" s="12">
        <v>4700.0</v>
      </c>
      <c r="J738" s="12"/>
      <c r="K738" s="11"/>
      <c r="L738" s="11"/>
      <c r="M738" s="11"/>
      <c r="N738" s="11"/>
      <c r="O738" s="11" t="s">
        <v>57</v>
      </c>
      <c r="P738" s="11"/>
      <c r="Q738" s="13" t="str">
        <f>IFERROR(VLOOKUP(E738,'SF Churn Data'!E:R,14,0),"")</f>
        <v/>
      </c>
    </row>
    <row r="739">
      <c r="A739" s="11" t="s">
        <v>2735</v>
      </c>
      <c r="B739" s="11" t="s">
        <v>44</v>
      </c>
      <c r="C739" s="11" t="s">
        <v>76</v>
      </c>
      <c r="D739" s="11" t="s">
        <v>2764</v>
      </c>
      <c r="E739" s="11" t="s">
        <v>2765</v>
      </c>
      <c r="F739" s="11" t="s">
        <v>2487</v>
      </c>
      <c r="G739" s="11">
        <v>20.24</v>
      </c>
      <c r="H739" s="11" t="s">
        <v>120</v>
      </c>
      <c r="I739" s="12">
        <v>4700.0</v>
      </c>
      <c r="J739" s="12"/>
      <c r="K739" s="12"/>
      <c r="L739" s="11"/>
      <c r="M739" s="11"/>
      <c r="N739" s="11"/>
      <c r="O739" s="11" t="s">
        <v>57</v>
      </c>
      <c r="P739" s="11"/>
      <c r="Q739" s="13" t="str">
        <f>IFERROR(VLOOKUP(E739,'SF Churn Data'!E:R,14,0),"")</f>
        <v/>
      </c>
    </row>
    <row r="740">
      <c r="A740" s="11" t="s">
        <v>2735</v>
      </c>
      <c r="B740" s="11" t="s">
        <v>44</v>
      </c>
      <c r="C740" s="11" t="s">
        <v>151</v>
      </c>
      <c r="D740" s="11" t="s">
        <v>2766</v>
      </c>
      <c r="E740" s="11" t="s">
        <v>2767</v>
      </c>
      <c r="F740" s="11" t="s">
        <v>2487</v>
      </c>
      <c r="G740" s="11">
        <v>26.0</v>
      </c>
      <c r="H740" s="11" t="s">
        <v>168</v>
      </c>
      <c r="I740" s="12">
        <v>5300.0</v>
      </c>
      <c r="J740" s="12"/>
      <c r="K740" s="12"/>
      <c r="L740" s="11"/>
      <c r="M740" s="11"/>
      <c r="N740" s="11"/>
      <c r="O740" s="11" t="s">
        <v>57</v>
      </c>
      <c r="P740" s="11"/>
      <c r="Q740" s="13" t="str">
        <f>IFERROR(VLOOKUP(E740,'SF Churn Data'!E:R,14,0),"")</f>
        <v/>
      </c>
    </row>
    <row r="741">
      <c r="A741" s="11" t="s">
        <v>2735</v>
      </c>
      <c r="B741" s="11" t="s">
        <v>44</v>
      </c>
      <c r="C741" s="11" t="s">
        <v>76</v>
      </c>
      <c r="D741" s="11" t="s">
        <v>2768</v>
      </c>
      <c r="E741" s="11" t="s">
        <v>2769</v>
      </c>
      <c r="F741" s="11" t="s">
        <v>2487</v>
      </c>
      <c r="G741" s="11">
        <v>20.16</v>
      </c>
      <c r="H741" s="11" t="s">
        <v>120</v>
      </c>
      <c r="I741" s="12">
        <v>4700.0</v>
      </c>
      <c r="J741" s="12"/>
      <c r="K741" s="11"/>
      <c r="L741" s="11"/>
      <c r="M741" s="11"/>
      <c r="N741" s="11"/>
      <c r="O741" s="11" t="s">
        <v>57</v>
      </c>
      <c r="P741" s="11"/>
      <c r="Q741" s="13" t="str">
        <f>IFERROR(VLOOKUP(E741,'SF Churn Data'!E:R,14,0),"")</f>
        <v/>
      </c>
    </row>
    <row r="742">
      <c r="A742" s="11" t="s">
        <v>2735</v>
      </c>
      <c r="B742" s="11" t="s">
        <v>44</v>
      </c>
      <c r="C742" s="11" t="s">
        <v>133</v>
      </c>
      <c r="D742" s="11" t="s">
        <v>2770</v>
      </c>
      <c r="E742" s="11" t="s">
        <v>2771</v>
      </c>
      <c r="F742" s="11" t="s">
        <v>2487</v>
      </c>
      <c r="G742" s="11">
        <v>14.92</v>
      </c>
      <c r="H742" s="11" t="s">
        <v>56</v>
      </c>
      <c r="I742" s="12">
        <v>3900.0</v>
      </c>
      <c r="J742" s="12"/>
      <c r="K742" s="11"/>
      <c r="L742" s="11"/>
      <c r="M742" s="11"/>
      <c r="N742" s="11"/>
      <c r="O742" s="11" t="s">
        <v>57</v>
      </c>
      <c r="P742" s="11"/>
      <c r="Q742" s="13" t="str">
        <f>IFERROR(VLOOKUP(E742,'SF Churn Data'!E:R,14,0),"")</f>
        <v/>
      </c>
    </row>
    <row r="743">
      <c r="A743" s="11" t="s">
        <v>2735</v>
      </c>
      <c r="B743" s="11" t="s">
        <v>44</v>
      </c>
      <c r="C743" s="11" t="s">
        <v>133</v>
      </c>
      <c r="D743" s="11" t="s">
        <v>2772</v>
      </c>
      <c r="E743" s="11" t="s">
        <v>2773</v>
      </c>
      <c r="F743" s="11" t="s">
        <v>2487</v>
      </c>
      <c r="G743" s="11">
        <v>13.8</v>
      </c>
      <c r="H743" s="11" t="s">
        <v>56</v>
      </c>
      <c r="I743" s="12">
        <v>3900.0</v>
      </c>
      <c r="J743" s="12"/>
      <c r="K743" s="12"/>
      <c r="L743" s="11"/>
      <c r="M743" s="11"/>
      <c r="N743" s="11"/>
      <c r="O743" s="11" t="s">
        <v>57</v>
      </c>
      <c r="P743" s="11"/>
      <c r="Q743" s="13" t="str">
        <f>IFERROR(VLOOKUP(E743,'SF Churn Data'!E:R,14,0),"")</f>
        <v/>
      </c>
    </row>
    <row r="744">
      <c r="A744" s="11" t="s">
        <v>2735</v>
      </c>
      <c r="B744" s="11" t="s">
        <v>44</v>
      </c>
      <c r="C744" s="11" t="s">
        <v>180</v>
      </c>
      <c r="D744" s="11" t="s">
        <v>2774</v>
      </c>
      <c r="E744" s="11" t="s">
        <v>2775</v>
      </c>
      <c r="F744" s="11" t="s">
        <v>2487</v>
      </c>
      <c r="G744" s="11">
        <v>22.28</v>
      </c>
      <c r="H744" s="11" t="s">
        <v>168</v>
      </c>
      <c r="I744" s="12">
        <v>5000.0</v>
      </c>
      <c r="J744" s="12"/>
      <c r="K744" s="11"/>
      <c r="L744" s="11"/>
      <c r="M744" s="11"/>
      <c r="N744" s="11"/>
      <c r="O744" s="11" t="s">
        <v>57</v>
      </c>
      <c r="P744" s="11"/>
      <c r="Q744" s="13" t="str">
        <f>IFERROR(VLOOKUP(E744,'SF Churn Data'!E:R,14,0),"")</f>
        <v/>
      </c>
    </row>
    <row r="745">
      <c r="A745" s="11" t="s">
        <v>2735</v>
      </c>
      <c r="B745" s="11" t="s">
        <v>44</v>
      </c>
      <c r="C745" s="11" t="s">
        <v>180</v>
      </c>
      <c r="D745" s="11" t="s">
        <v>2776</v>
      </c>
      <c r="E745" s="11" t="s">
        <v>2777</v>
      </c>
      <c r="F745" s="11" t="s">
        <v>2487</v>
      </c>
      <c r="G745" s="11">
        <v>22.13</v>
      </c>
      <c r="H745" s="11" t="s">
        <v>168</v>
      </c>
      <c r="I745" s="12">
        <v>5000.0</v>
      </c>
      <c r="J745" s="12"/>
      <c r="K745" s="12"/>
      <c r="L745" s="11"/>
      <c r="M745" s="11"/>
      <c r="N745" s="11"/>
      <c r="O745" s="11" t="s">
        <v>41</v>
      </c>
      <c r="P745" s="11"/>
      <c r="Q745" s="13" t="str">
        <f>IFERROR(VLOOKUP(E745,'SF Churn Data'!E:R,14,0),"")</f>
        <v/>
      </c>
    </row>
    <row r="746">
      <c r="A746" s="11" t="s">
        <v>138</v>
      </c>
      <c r="B746" s="11" t="s">
        <v>44</v>
      </c>
      <c r="C746" s="11" t="s">
        <v>113</v>
      </c>
      <c r="D746" s="11" t="s">
        <v>2778</v>
      </c>
      <c r="E746" s="11" t="s">
        <v>2779</v>
      </c>
      <c r="F746" s="11" t="s">
        <v>2487</v>
      </c>
      <c r="G746" s="11">
        <v>14.22</v>
      </c>
      <c r="H746" s="11" t="s">
        <v>116</v>
      </c>
      <c r="I746" s="12">
        <v>2482.0</v>
      </c>
      <c r="J746" s="12">
        <v>3600.0</v>
      </c>
      <c r="K746" s="12">
        <v>3000.0</v>
      </c>
      <c r="L746" s="11"/>
      <c r="M746" s="11"/>
      <c r="N746" s="11"/>
      <c r="O746" s="11" t="s">
        <v>41</v>
      </c>
      <c r="P746" s="11" t="s">
        <v>144</v>
      </c>
      <c r="Q746" s="13" t="str">
        <f>IFERROR(VLOOKUP(E746,'SF Churn Data'!E:R,14,0),"")</f>
        <v/>
      </c>
    </row>
    <row r="747">
      <c r="A747" s="11" t="s">
        <v>2780</v>
      </c>
      <c r="B747" s="11" t="s">
        <v>36</v>
      </c>
      <c r="C747" s="11" t="s">
        <v>37</v>
      </c>
      <c r="D747" s="11" t="s">
        <v>2781</v>
      </c>
      <c r="E747" s="11" t="s">
        <v>2782</v>
      </c>
      <c r="F747" s="11" t="s">
        <v>2487</v>
      </c>
      <c r="G747" s="11">
        <v>52.93</v>
      </c>
      <c r="H747" s="11" t="s">
        <v>168</v>
      </c>
      <c r="I747" s="12">
        <v>4760.0</v>
      </c>
      <c r="J747" s="12">
        <v>5750.0</v>
      </c>
      <c r="K747" s="12"/>
      <c r="L747" s="11"/>
      <c r="M747" s="11"/>
      <c r="N747" s="11"/>
      <c r="O747" s="11"/>
      <c r="P747" s="11" t="s">
        <v>144</v>
      </c>
      <c r="Q747" s="13" t="str">
        <f>IFERROR(VLOOKUP(E747,'SF Churn Data'!E:R,14,0),"")</f>
        <v/>
      </c>
    </row>
    <row r="748">
      <c r="A748" s="11" t="s">
        <v>2780</v>
      </c>
      <c r="B748" s="11" t="s">
        <v>36</v>
      </c>
      <c r="C748" s="11" t="s">
        <v>37</v>
      </c>
      <c r="D748" s="11" t="s">
        <v>2783</v>
      </c>
      <c r="E748" s="11" t="s">
        <v>2784</v>
      </c>
      <c r="F748" s="11" t="s">
        <v>2487</v>
      </c>
      <c r="G748" s="11">
        <v>49.94</v>
      </c>
      <c r="H748" s="11" t="s">
        <v>168</v>
      </c>
      <c r="I748" s="12">
        <v>4760.0</v>
      </c>
      <c r="J748" s="12">
        <v>5750.0</v>
      </c>
      <c r="K748" s="11"/>
      <c r="L748" s="11"/>
      <c r="M748" s="11"/>
      <c r="N748" s="11"/>
      <c r="O748" s="11"/>
      <c r="P748" s="11" t="s">
        <v>144</v>
      </c>
      <c r="Q748" s="13" t="str">
        <f>IFERROR(VLOOKUP(E748,'SF Churn Data'!E:R,14,0),"")</f>
        <v/>
      </c>
    </row>
    <row r="749">
      <c r="A749" s="11" t="s">
        <v>2780</v>
      </c>
      <c r="B749" s="11" t="s">
        <v>36</v>
      </c>
      <c r="C749" s="11" t="s">
        <v>37</v>
      </c>
      <c r="D749" s="11" t="s">
        <v>2785</v>
      </c>
      <c r="E749" s="11" t="s">
        <v>2786</v>
      </c>
      <c r="F749" s="11" t="s">
        <v>2487</v>
      </c>
      <c r="G749" s="11">
        <v>49.77</v>
      </c>
      <c r="H749" s="11" t="s">
        <v>168</v>
      </c>
      <c r="I749" s="12">
        <v>4760.0</v>
      </c>
      <c r="J749" s="12">
        <v>5750.0</v>
      </c>
      <c r="K749" s="11"/>
      <c r="L749" s="11"/>
      <c r="M749" s="11"/>
      <c r="N749" s="11"/>
      <c r="O749" s="11"/>
      <c r="P749" s="11" t="s">
        <v>144</v>
      </c>
      <c r="Q749" s="13" t="str">
        <f>IFERROR(VLOOKUP(E749,'SF Churn Data'!E:R,14,0),"")</f>
        <v/>
      </c>
    </row>
    <row r="750">
      <c r="A750" s="11" t="s">
        <v>2780</v>
      </c>
      <c r="B750" s="11" t="s">
        <v>36</v>
      </c>
      <c r="C750" s="11" t="s">
        <v>37</v>
      </c>
      <c r="D750" s="11" t="s">
        <v>2787</v>
      </c>
      <c r="E750" s="11" t="s">
        <v>2788</v>
      </c>
      <c r="F750" s="11" t="s">
        <v>2487</v>
      </c>
      <c r="G750" s="11">
        <v>52.88</v>
      </c>
      <c r="H750" s="11" t="s">
        <v>168</v>
      </c>
      <c r="I750" s="12">
        <v>4760.0</v>
      </c>
      <c r="J750" s="12">
        <v>5750.0</v>
      </c>
      <c r="K750" s="11"/>
      <c r="L750" s="11"/>
      <c r="M750" s="11"/>
      <c r="N750" s="11"/>
      <c r="O750" s="11"/>
      <c r="P750" s="11" t="s">
        <v>144</v>
      </c>
      <c r="Q750" s="13" t="str">
        <f>IFERROR(VLOOKUP(E750,'SF Churn Data'!E:R,14,0),"")</f>
        <v/>
      </c>
    </row>
    <row r="751">
      <c r="A751" s="11" t="s">
        <v>2780</v>
      </c>
      <c r="B751" s="11" t="s">
        <v>36</v>
      </c>
      <c r="C751" s="11" t="s">
        <v>37</v>
      </c>
      <c r="D751" s="11" t="s">
        <v>2789</v>
      </c>
      <c r="E751" s="11" t="s">
        <v>2790</v>
      </c>
      <c r="F751" s="11" t="s">
        <v>2487</v>
      </c>
      <c r="G751" s="11">
        <v>52.68</v>
      </c>
      <c r="H751" s="11" t="s">
        <v>168</v>
      </c>
      <c r="I751" s="12">
        <v>4760.0</v>
      </c>
      <c r="J751" s="12">
        <v>5750.0</v>
      </c>
      <c r="K751" s="12"/>
      <c r="L751" s="11"/>
      <c r="M751" s="11"/>
      <c r="N751" s="11"/>
      <c r="O751" s="11"/>
      <c r="P751" s="11" t="s">
        <v>144</v>
      </c>
      <c r="Q751" s="13" t="str">
        <f>IFERROR(VLOOKUP(E751,'SF Churn Data'!E:R,14,0),"")</f>
        <v/>
      </c>
    </row>
    <row r="752" hidden="1">
      <c r="A752" s="11" t="s">
        <v>2780</v>
      </c>
      <c r="B752" s="11" t="s">
        <v>36</v>
      </c>
      <c r="C752" s="11" t="s">
        <v>37</v>
      </c>
      <c r="D752" s="11" t="s">
        <v>2791</v>
      </c>
      <c r="E752" s="11" t="s">
        <v>2792</v>
      </c>
      <c r="F752" s="11" t="s">
        <v>2487</v>
      </c>
      <c r="G752" s="11">
        <v>51.32</v>
      </c>
      <c r="H752" s="11" t="s">
        <v>168</v>
      </c>
      <c r="I752" s="12">
        <v>4760.0</v>
      </c>
      <c r="J752" s="12">
        <v>5750.0</v>
      </c>
      <c r="K752" s="12"/>
      <c r="L752" s="11"/>
      <c r="M752" s="11"/>
      <c r="N752" s="11"/>
      <c r="O752" s="11"/>
      <c r="P752" s="11" t="s">
        <v>144</v>
      </c>
      <c r="Q752" s="13" t="str">
        <f>IFERROR(VLOOKUP(E752,'SF Churn Data'!E:R,14,0),"")</f>
        <v/>
      </c>
    </row>
    <row r="753" hidden="1">
      <c r="A753" s="11" t="s">
        <v>2780</v>
      </c>
      <c r="B753" s="11" t="s">
        <v>36</v>
      </c>
      <c r="C753" s="11" t="s">
        <v>37</v>
      </c>
      <c r="D753" s="11" t="s">
        <v>2793</v>
      </c>
      <c r="E753" s="11" t="s">
        <v>2794</v>
      </c>
      <c r="F753" s="11" t="s">
        <v>2487</v>
      </c>
      <c r="G753" s="11">
        <v>51.56</v>
      </c>
      <c r="H753" s="11" t="s">
        <v>168</v>
      </c>
      <c r="I753" s="12">
        <v>4760.0</v>
      </c>
      <c r="J753" s="12">
        <v>5750.0</v>
      </c>
      <c r="K753" s="11"/>
      <c r="L753" s="11"/>
      <c r="M753" s="11"/>
      <c r="N753" s="11"/>
      <c r="O753" s="11"/>
      <c r="P753" s="11" t="s">
        <v>144</v>
      </c>
      <c r="Q753" s="13" t="str">
        <f>IFERROR(VLOOKUP(E753,'SF Churn Data'!E:R,14,0),"")</f>
        <v/>
      </c>
    </row>
    <row r="754" hidden="1">
      <c r="A754" s="11" t="s">
        <v>2780</v>
      </c>
      <c r="B754" s="11" t="s">
        <v>36</v>
      </c>
      <c r="C754" s="11" t="s">
        <v>37</v>
      </c>
      <c r="D754" s="11" t="s">
        <v>2795</v>
      </c>
      <c r="E754" s="11" t="s">
        <v>2796</v>
      </c>
      <c r="F754" s="11" t="s">
        <v>2487</v>
      </c>
      <c r="G754" s="11">
        <v>52.68</v>
      </c>
      <c r="H754" s="11" t="s">
        <v>168</v>
      </c>
      <c r="I754" s="12">
        <v>4760.0</v>
      </c>
      <c r="J754" s="12">
        <v>5750.0</v>
      </c>
      <c r="K754" s="12"/>
      <c r="L754" s="11"/>
      <c r="M754" s="11"/>
      <c r="N754" s="11"/>
      <c r="O754" s="11"/>
      <c r="P754" s="11" t="s">
        <v>144</v>
      </c>
      <c r="Q754" s="13" t="str">
        <f>IFERROR(VLOOKUP(E754,'SF Churn Data'!E:R,14,0),"")</f>
        <v/>
      </c>
    </row>
    <row r="755" hidden="1">
      <c r="A755" s="11" t="s">
        <v>2780</v>
      </c>
      <c r="B755" s="11" t="s">
        <v>36</v>
      </c>
      <c r="C755" s="11" t="s">
        <v>37</v>
      </c>
      <c r="D755" s="11" t="s">
        <v>2797</v>
      </c>
      <c r="E755" s="11" t="s">
        <v>2798</v>
      </c>
      <c r="F755" s="11" t="s">
        <v>2487</v>
      </c>
      <c r="G755" s="11">
        <v>52.68</v>
      </c>
      <c r="H755" s="11" t="s">
        <v>168</v>
      </c>
      <c r="I755" s="12">
        <v>4760.0</v>
      </c>
      <c r="J755" s="12">
        <v>5750.0</v>
      </c>
      <c r="K755" s="11"/>
      <c r="L755" s="11"/>
      <c r="M755" s="11"/>
      <c r="N755" s="11"/>
      <c r="O755" s="11"/>
      <c r="P755" s="11" t="s">
        <v>144</v>
      </c>
      <c r="Q755" s="13" t="str">
        <f>IFERROR(VLOOKUP(E755,'SF Churn Data'!E:R,14,0),"")</f>
        <v/>
      </c>
    </row>
    <row r="756" hidden="1">
      <c r="A756" s="11" t="s">
        <v>2780</v>
      </c>
      <c r="B756" s="11" t="s">
        <v>36</v>
      </c>
      <c r="C756" s="11" t="s">
        <v>37</v>
      </c>
      <c r="D756" s="11" t="s">
        <v>2799</v>
      </c>
      <c r="E756" s="11" t="s">
        <v>2800</v>
      </c>
      <c r="F756" s="11" t="s">
        <v>2487</v>
      </c>
      <c r="G756" s="11">
        <v>49.81</v>
      </c>
      <c r="H756" s="11" t="s">
        <v>168</v>
      </c>
      <c r="I756" s="12">
        <v>4760.0</v>
      </c>
      <c r="J756" s="12">
        <v>5750.0</v>
      </c>
      <c r="K756" s="12"/>
      <c r="L756" s="11"/>
      <c r="M756" s="11"/>
      <c r="N756" s="11"/>
      <c r="O756" s="11"/>
      <c r="P756" s="11" t="s">
        <v>144</v>
      </c>
      <c r="Q756" s="13" t="str">
        <f>IFERROR(VLOOKUP(E756,'SF Churn Data'!E:R,14,0),"")</f>
        <v/>
      </c>
    </row>
    <row r="757" hidden="1">
      <c r="A757" s="11" t="s">
        <v>2780</v>
      </c>
      <c r="B757" s="11" t="s">
        <v>36</v>
      </c>
      <c r="C757" s="11" t="s">
        <v>37</v>
      </c>
      <c r="D757" s="11" t="s">
        <v>2801</v>
      </c>
      <c r="E757" s="11" t="s">
        <v>2802</v>
      </c>
      <c r="F757" s="11" t="s">
        <v>2487</v>
      </c>
      <c r="G757" s="11">
        <v>49.75</v>
      </c>
      <c r="H757" s="11" t="s">
        <v>168</v>
      </c>
      <c r="I757" s="12">
        <v>4760.0</v>
      </c>
      <c r="J757" s="12">
        <v>5750.0</v>
      </c>
      <c r="K757" s="12"/>
      <c r="L757" s="11"/>
      <c r="M757" s="11"/>
      <c r="N757" s="11"/>
      <c r="O757" s="11"/>
      <c r="P757" s="11" t="s">
        <v>144</v>
      </c>
      <c r="Q757" s="13" t="str">
        <f>IFERROR(VLOOKUP(E757,'SF Churn Data'!E:R,14,0),"")</f>
        <v/>
      </c>
    </row>
    <row r="758" hidden="1">
      <c r="A758" s="11" t="s">
        <v>2780</v>
      </c>
      <c r="B758" s="11" t="s">
        <v>36</v>
      </c>
      <c r="C758" s="11" t="s">
        <v>37</v>
      </c>
      <c r="D758" s="11" t="s">
        <v>2803</v>
      </c>
      <c r="E758" s="11" t="s">
        <v>2804</v>
      </c>
      <c r="F758" s="11" t="s">
        <v>2487</v>
      </c>
      <c r="G758" s="11">
        <v>51.29</v>
      </c>
      <c r="H758" s="11" t="s">
        <v>168</v>
      </c>
      <c r="I758" s="12">
        <v>4760.0</v>
      </c>
      <c r="J758" s="12">
        <v>5750.0</v>
      </c>
      <c r="K758" s="12"/>
      <c r="L758" s="11"/>
      <c r="M758" s="11"/>
      <c r="N758" s="11"/>
      <c r="O758" s="11"/>
      <c r="P758" s="11" t="s">
        <v>144</v>
      </c>
      <c r="Q758" s="13" t="str">
        <f>IFERROR(VLOOKUP(E758,'SF Churn Data'!E:R,14,0),"")</f>
        <v/>
      </c>
    </row>
    <row r="759" hidden="1">
      <c r="A759" s="11" t="s">
        <v>49</v>
      </c>
      <c r="B759" s="11" t="s">
        <v>44</v>
      </c>
      <c r="C759" s="11" t="s">
        <v>76</v>
      </c>
      <c r="D759" s="11" t="s">
        <v>2805</v>
      </c>
      <c r="E759" s="11" t="s">
        <v>2806</v>
      </c>
      <c r="F759" s="11" t="s">
        <v>2487</v>
      </c>
      <c r="G759" s="11">
        <v>19.11</v>
      </c>
      <c r="H759" s="11" t="s">
        <v>120</v>
      </c>
      <c r="I759" s="12">
        <v>7320.0</v>
      </c>
      <c r="J759" s="12">
        <v>8450.0</v>
      </c>
      <c r="K759" s="11">
        <v>8850.0</v>
      </c>
      <c r="L759" s="11"/>
      <c r="M759" s="11"/>
      <c r="N759" s="11"/>
      <c r="O759" s="11" t="s">
        <v>57</v>
      </c>
      <c r="P759" s="11" t="s">
        <v>48</v>
      </c>
      <c r="Q759" s="13" t="str">
        <f>IFERROR(VLOOKUP(E759,'SF Churn Data'!E:R,14,0),"")</f>
        <v/>
      </c>
    </row>
    <row r="760" hidden="1">
      <c r="A760" s="11" t="s">
        <v>49</v>
      </c>
      <c r="B760" s="11" t="s">
        <v>45</v>
      </c>
      <c r="C760" s="11" t="s">
        <v>50</v>
      </c>
      <c r="D760" s="11" t="s">
        <v>2807</v>
      </c>
      <c r="E760" s="11" t="s">
        <v>2808</v>
      </c>
      <c r="F760" s="11" t="s">
        <v>2487</v>
      </c>
      <c r="G760" s="11">
        <v>10.67</v>
      </c>
      <c r="H760" s="11" t="s">
        <v>40</v>
      </c>
      <c r="I760" s="12">
        <v>3551.0</v>
      </c>
      <c r="J760" s="12">
        <v>4100.0</v>
      </c>
      <c r="K760" s="11">
        <v>4350.0</v>
      </c>
      <c r="L760" s="11"/>
      <c r="M760" s="11"/>
      <c r="N760" s="11"/>
      <c r="O760" s="11" t="s">
        <v>57</v>
      </c>
      <c r="P760" s="11" t="s">
        <v>48</v>
      </c>
      <c r="Q760" s="13" t="str">
        <f>IFERROR(VLOOKUP(E760,'SF Churn Data'!E:R,14,0),"")</f>
        <v/>
      </c>
    </row>
    <row r="761" hidden="1">
      <c r="A761" s="11" t="s">
        <v>49</v>
      </c>
      <c r="B761" s="11" t="s">
        <v>45</v>
      </c>
      <c r="C761" s="11" t="s">
        <v>50</v>
      </c>
      <c r="D761" s="11" t="s">
        <v>2809</v>
      </c>
      <c r="E761" s="11" t="s">
        <v>2810</v>
      </c>
      <c r="F761" s="11" t="s">
        <v>2487</v>
      </c>
      <c r="G761" s="11">
        <v>8.7</v>
      </c>
      <c r="H761" s="11" t="s">
        <v>40</v>
      </c>
      <c r="I761" s="12">
        <v>3551.0</v>
      </c>
      <c r="J761" s="12">
        <v>4100.0</v>
      </c>
      <c r="K761" s="11">
        <v>4350.0</v>
      </c>
      <c r="L761" s="11"/>
      <c r="M761" s="11"/>
      <c r="N761" s="11"/>
      <c r="O761" s="11" t="s">
        <v>57</v>
      </c>
      <c r="P761" s="11" t="s">
        <v>48</v>
      </c>
      <c r="Q761" s="13" t="str">
        <f>IFERROR(VLOOKUP(E761,'SF Churn Data'!E:R,14,0),"")</f>
        <v/>
      </c>
    </row>
    <row r="762" hidden="1">
      <c r="A762" s="11" t="s">
        <v>49</v>
      </c>
      <c r="B762" s="11" t="s">
        <v>44</v>
      </c>
      <c r="C762" s="11" t="s">
        <v>76</v>
      </c>
      <c r="D762" s="11" t="s">
        <v>2811</v>
      </c>
      <c r="E762" s="11" t="s">
        <v>2812</v>
      </c>
      <c r="F762" s="11" t="s">
        <v>2487</v>
      </c>
      <c r="G762" s="11">
        <v>21.13</v>
      </c>
      <c r="H762" s="11" t="s">
        <v>120</v>
      </c>
      <c r="I762" s="12">
        <v>7320.0</v>
      </c>
      <c r="J762" s="12">
        <v>8450.0</v>
      </c>
      <c r="K762" s="12">
        <v>8850.0</v>
      </c>
      <c r="L762" s="11"/>
      <c r="M762" s="11"/>
      <c r="N762" s="11"/>
      <c r="O762" s="11" t="s">
        <v>57</v>
      </c>
      <c r="P762" s="11" t="s">
        <v>48</v>
      </c>
      <c r="Q762" s="13" t="str">
        <f>IFERROR(VLOOKUP(E762,'SF Churn Data'!E:R,14,0),"")</f>
        <v/>
      </c>
    </row>
    <row r="763" hidden="1">
      <c r="A763" s="11" t="s">
        <v>171</v>
      </c>
      <c r="B763" s="11" t="s">
        <v>44</v>
      </c>
      <c r="C763" s="11" t="s">
        <v>53</v>
      </c>
      <c r="D763" s="11" t="s">
        <v>2813</v>
      </c>
      <c r="E763" s="11" t="s">
        <v>2814</v>
      </c>
      <c r="F763" s="11" t="s">
        <v>2487</v>
      </c>
      <c r="G763" s="11">
        <v>15.13</v>
      </c>
      <c r="H763" s="11" t="s">
        <v>56</v>
      </c>
      <c r="I763" s="12">
        <v>4250.0</v>
      </c>
      <c r="J763" s="12">
        <v>4900.0</v>
      </c>
      <c r="K763" s="11">
        <v>5100.0</v>
      </c>
      <c r="L763" s="11"/>
      <c r="M763" s="11"/>
      <c r="N763" s="11"/>
      <c r="O763" s="11" t="s">
        <v>117</v>
      </c>
      <c r="P763" s="11"/>
      <c r="Q763" s="13" t="str">
        <f>IFERROR(VLOOKUP(E763,'SF Churn Data'!E:R,14,0),"")</f>
        <v/>
      </c>
    </row>
    <row r="764" hidden="1">
      <c r="A764" s="11" t="s">
        <v>171</v>
      </c>
      <c r="B764" s="11" t="s">
        <v>44</v>
      </c>
      <c r="C764" s="11" t="s">
        <v>53</v>
      </c>
      <c r="D764" s="11" t="s">
        <v>2815</v>
      </c>
      <c r="E764" s="11" t="s">
        <v>2816</v>
      </c>
      <c r="F764" s="11" t="s">
        <v>2487</v>
      </c>
      <c r="G764" s="11">
        <v>15.04</v>
      </c>
      <c r="H764" s="11" t="s">
        <v>56</v>
      </c>
      <c r="I764" s="12">
        <v>4250.0</v>
      </c>
      <c r="J764" s="12">
        <v>4900.0</v>
      </c>
      <c r="K764" s="12">
        <v>5100.0</v>
      </c>
      <c r="L764" s="11"/>
      <c r="M764" s="11"/>
      <c r="N764" s="11"/>
      <c r="O764" s="11" t="s">
        <v>117</v>
      </c>
      <c r="P764" s="11"/>
      <c r="Q764" s="13" t="str">
        <f>IFERROR(VLOOKUP(E764,'SF Churn Data'!E:R,14,0),"")</f>
        <v/>
      </c>
    </row>
    <row r="765" hidden="1">
      <c r="A765" s="11" t="s">
        <v>171</v>
      </c>
      <c r="B765" s="11" t="s">
        <v>44</v>
      </c>
      <c r="C765" s="11" t="s">
        <v>113</v>
      </c>
      <c r="D765" s="11" t="s">
        <v>2817</v>
      </c>
      <c r="E765" s="11" t="s">
        <v>2818</v>
      </c>
      <c r="F765" s="11" t="s">
        <v>2487</v>
      </c>
      <c r="G765" s="11">
        <v>8.99</v>
      </c>
      <c r="H765" s="11" t="s">
        <v>116</v>
      </c>
      <c r="I765" s="12">
        <v>2990.0</v>
      </c>
      <c r="J765" s="12">
        <v>3450.0</v>
      </c>
      <c r="K765" s="11">
        <v>3600.0</v>
      </c>
      <c r="L765" s="11"/>
      <c r="M765" s="11"/>
      <c r="N765" s="11"/>
      <c r="O765" s="11" t="s">
        <v>117</v>
      </c>
      <c r="P765" s="11"/>
      <c r="Q765" s="13" t="str">
        <f>IFERROR(VLOOKUP(E765,'SF Churn Data'!E:R,14,0),"")</f>
        <v/>
      </c>
    </row>
    <row r="766" hidden="1">
      <c r="A766" s="11" t="s">
        <v>171</v>
      </c>
      <c r="B766" s="11" t="s">
        <v>44</v>
      </c>
      <c r="C766" s="11" t="s">
        <v>180</v>
      </c>
      <c r="D766" s="11" t="s">
        <v>2819</v>
      </c>
      <c r="E766" s="11" t="s">
        <v>2820</v>
      </c>
      <c r="F766" s="11" t="s">
        <v>2487</v>
      </c>
      <c r="G766" s="11">
        <v>23.41</v>
      </c>
      <c r="H766" s="11" t="s">
        <v>120</v>
      </c>
      <c r="I766" s="12">
        <v>5490.0</v>
      </c>
      <c r="J766" s="12">
        <v>6350.0</v>
      </c>
      <c r="K766" s="12">
        <v>6600.0</v>
      </c>
      <c r="L766" s="11"/>
      <c r="M766" s="11"/>
      <c r="N766" s="11"/>
      <c r="O766" s="11" t="s">
        <v>117</v>
      </c>
      <c r="P766" s="11"/>
      <c r="Q766" s="13" t="str">
        <f>IFERROR(VLOOKUP(E766,'SF Churn Data'!E:R,14,0),"")</f>
        <v/>
      </c>
    </row>
    <row r="767" hidden="1">
      <c r="A767" s="11" t="s">
        <v>171</v>
      </c>
      <c r="B767" s="11" t="s">
        <v>44</v>
      </c>
      <c r="C767" s="11" t="s">
        <v>53</v>
      </c>
      <c r="D767" s="11" t="s">
        <v>2821</v>
      </c>
      <c r="E767" s="11" t="s">
        <v>2822</v>
      </c>
      <c r="F767" s="11" t="s">
        <v>2487</v>
      </c>
      <c r="G767" s="11">
        <v>14.99</v>
      </c>
      <c r="H767" s="11" t="s">
        <v>56</v>
      </c>
      <c r="I767" s="12">
        <v>4250.0</v>
      </c>
      <c r="J767" s="12">
        <v>4900.0</v>
      </c>
      <c r="K767" s="11">
        <v>5100.0</v>
      </c>
      <c r="L767" s="11"/>
      <c r="M767" s="11"/>
      <c r="N767" s="11"/>
      <c r="O767" s="11" t="s">
        <v>117</v>
      </c>
      <c r="P767" s="11"/>
      <c r="Q767" s="13" t="str">
        <f>IFERROR(VLOOKUP(E767,'SF Churn Data'!E:R,14,0),"")</f>
        <v/>
      </c>
    </row>
    <row r="768" hidden="1">
      <c r="A768" s="11" t="s">
        <v>171</v>
      </c>
      <c r="B768" s="11" t="s">
        <v>44</v>
      </c>
      <c r="C768" s="11" t="s">
        <v>53</v>
      </c>
      <c r="D768" s="11" t="s">
        <v>2823</v>
      </c>
      <c r="E768" s="11" t="s">
        <v>2824</v>
      </c>
      <c r="F768" s="11" t="s">
        <v>2487</v>
      </c>
      <c r="G768" s="11">
        <v>16.13</v>
      </c>
      <c r="H768" s="11" t="s">
        <v>56</v>
      </c>
      <c r="I768" s="12">
        <v>4250.0</v>
      </c>
      <c r="J768" s="12">
        <v>4900.0</v>
      </c>
      <c r="K768" s="11">
        <v>5100.0</v>
      </c>
      <c r="L768" s="11"/>
      <c r="M768" s="11"/>
      <c r="N768" s="11"/>
      <c r="O768" s="11" t="s">
        <v>117</v>
      </c>
      <c r="P768" s="11"/>
      <c r="Q768" s="13" t="str">
        <f>IFERROR(VLOOKUP(E768,'SF Churn Data'!E:R,14,0),"")</f>
        <v/>
      </c>
    </row>
    <row r="769" hidden="1">
      <c r="A769" s="11" t="s">
        <v>171</v>
      </c>
      <c r="B769" s="11" t="s">
        <v>44</v>
      </c>
      <c r="C769" s="11" t="s">
        <v>53</v>
      </c>
      <c r="D769" s="11" t="s">
        <v>2825</v>
      </c>
      <c r="E769" s="11" t="s">
        <v>2826</v>
      </c>
      <c r="F769" s="11" t="s">
        <v>2487</v>
      </c>
      <c r="G769" s="11">
        <v>15.04</v>
      </c>
      <c r="H769" s="11" t="s">
        <v>56</v>
      </c>
      <c r="I769" s="12">
        <v>4250.0</v>
      </c>
      <c r="J769" s="12">
        <v>4900.0</v>
      </c>
      <c r="K769" s="12">
        <v>5100.0</v>
      </c>
      <c r="L769" s="11"/>
      <c r="M769" s="11"/>
      <c r="N769" s="11"/>
      <c r="O769" s="11" t="s">
        <v>41</v>
      </c>
      <c r="P769" s="11"/>
      <c r="Q769" s="13" t="str">
        <f>IFERROR(VLOOKUP(E769,'SF Churn Data'!E:R,14,0),"")</f>
        <v/>
      </c>
    </row>
    <row r="770" hidden="1">
      <c r="A770" s="11" t="s">
        <v>171</v>
      </c>
      <c r="B770" s="11" t="s">
        <v>44</v>
      </c>
      <c r="C770" s="11" t="s">
        <v>53</v>
      </c>
      <c r="D770" s="11" t="s">
        <v>2827</v>
      </c>
      <c r="E770" s="11" t="s">
        <v>2828</v>
      </c>
      <c r="F770" s="11" t="s">
        <v>2487</v>
      </c>
      <c r="G770" s="11">
        <v>15.13</v>
      </c>
      <c r="H770" s="11" t="s">
        <v>56</v>
      </c>
      <c r="I770" s="12">
        <v>4250.0</v>
      </c>
      <c r="J770" s="12">
        <v>4900.0</v>
      </c>
      <c r="K770" s="12">
        <v>5100.0</v>
      </c>
      <c r="L770" s="11"/>
      <c r="M770" s="11"/>
      <c r="N770" s="11"/>
      <c r="O770" s="11" t="s">
        <v>41</v>
      </c>
      <c r="P770" s="11"/>
      <c r="Q770" s="13" t="str">
        <f>IFERROR(VLOOKUP(E770,'SF Churn Data'!E:R,14,0),"")</f>
        <v/>
      </c>
    </row>
    <row r="771" hidden="1">
      <c r="A771" s="11" t="s">
        <v>171</v>
      </c>
      <c r="B771" s="11" t="s">
        <v>44</v>
      </c>
      <c r="C771" s="11" t="s">
        <v>53</v>
      </c>
      <c r="D771" s="11" t="s">
        <v>2829</v>
      </c>
      <c r="E771" s="11" t="s">
        <v>2830</v>
      </c>
      <c r="F771" s="11" t="s">
        <v>2487</v>
      </c>
      <c r="G771" s="11">
        <v>15.34</v>
      </c>
      <c r="H771" s="11" t="s">
        <v>56</v>
      </c>
      <c r="I771" s="12">
        <v>4250.0</v>
      </c>
      <c r="J771" s="12">
        <v>4900.0</v>
      </c>
      <c r="K771" s="12">
        <v>5100.0</v>
      </c>
      <c r="L771" s="11"/>
      <c r="M771" s="11"/>
      <c r="N771" s="11"/>
      <c r="O771" s="11" t="s">
        <v>41</v>
      </c>
      <c r="P771" s="11"/>
      <c r="Q771" s="13" t="str">
        <f>IFERROR(VLOOKUP(E771,'SF Churn Data'!E:R,14,0),"")</f>
        <v/>
      </c>
    </row>
    <row r="772" hidden="1">
      <c r="A772" s="11" t="s">
        <v>171</v>
      </c>
      <c r="B772" s="11" t="s">
        <v>44</v>
      </c>
      <c r="C772" s="11" t="s">
        <v>53</v>
      </c>
      <c r="D772" s="11" t="s">
        <v>2831</v>
      </c>
      <c r="E772" s="11" t="s">
        <v>2832</v>
      </c>
      <c r="F772" s="11" t="s">
        <v>2487</v>
      </c>
      <c r="G772" s="11">
        <v>15.0</v>
      </c>
      <c r="H772" s="11" t="s">
        <v>56</v>
      </c>
      <c r="I772" s="12">
        <v>4250.0</v>
      </c>
      <c r="J772" s="12">
        <v>4900.0</v>
      </c>
      <c r="K772" s="11">
        <v>5100.0</v>
      </c>
      <c r="L772" s="11"/>
      <c r="M772" s="11"/>
      <c r="N772" s="11"/>
      <c r="O772" s="11" t="s">
        <v>41</v>
      </c>
      <c r="P772" s="11"/>
      <c r="Q772" s="13" t="str">
        <f>IFERROR(VLOOKUP(E772,'SF Churn Data'!E:R,14,0),"")</f>
        <v/>
      </c>
    </row>
    <row r="773" hidden="1">
      <c r="A773" s="11" t="s">
        <v>912</v>
      </c>
      <c r="B773" s="11" t="s">
        <v>44</v>
      </c>
      <c r="C773" s="11" t="s">
        <v>133</v>
      </c>
      <c r="D773" s="11" t="s">
        <v>2833</v>
      </c>
      <c r="E773" s="11" t="s">
        <v>2834</v>
      </c>
      <c r="F773" s="11" t="s">
        <v>2487</v>
      </c>
      <c r="G773" s="11">
        <v>14.33</v>
      </c>
      <c r="H773" s="11" t="s">
        <v>56</v>
      </c>
      <c r="I773" s="12">
        <v>4650.0</v>
      </c>
      <c r="J773" s="12">
        <v>5850.0</v>
      </c>
      <c r="K773" s="12">
        <v>5400.0</v>
      </c>
      <c r="L773" s="11"/>
      <c r="M773" s="11"/>
      <c r="N773" s="11"/>
      <c r="O773" s="11" t="s">
        <v>41</v>
      </c>
      <c r="P773" s="11" t="s">
        <v>917</v>
      </c>
      <c r="Q773" s="13" t="str">
        <f>IFERROR(VLOOKUP(E773,'SF Churn Data'!E:R,14,0),"")</f>
        <v/>
      </c>
    </row>
    <row r="774" hidden="1">
      <c r="A774" s="11" t="s">
        <v>912</v>
      </c>
      <c r="B774" s="11" t="s">
        <v>44</v>
      </c>
      <c r="C774" s="11" t="s">
        <v>133</v>
      </c>
      <c r="D774" s="11" t="s">
        <v>2835</v>
      </c>
      <c r="E774" s="11" t="s">
        <v>2836</v>
      </c>
      <c r="F774" s="11" t="s">
        <v>2487</v>
      </c>
      <c r="G774" s="11">
        <v>13.83</v>
      </c>
      <c r="H774" s="11" t="s">
        <v>56</v>
      </c>
      <c r="I774" s="12">
        <v>4650.0</v>
      </c>
      <c r="J774" s="12">
        <v>5850.0</v>
      </c>
      <c r="K774" s="12">
        <v>5400.0</v>
      </c>
      <c r="L774" s="11"/>
      <c r="M774" s="11"/>
      <c r="N774" s="11"/>
      <c r="O774" s="11" t="s">
        <v>41</v>
      </c>
      <c r="P774" s="11" t="s">
        <v>917</v>
      </c>
      <c r="Q774" s="13" t="str">
        <f>IFERROR(VLOOKUP(E774,'SF Churn Data'!E:R,14,0),"")</f>
        <v/>
      </c>
    </row>
    <row r="775" hidden="1">
      <c r="A775" s="11" t="s">
        <v>912</v>
      </c>
      <c r="B775" s="11" t="s">
        <v>44</v>
      </c>
      <c r="C775" s="11" t="s">
        <v>180</v>
      </c>
      <c r="D775" s="11" t="s">
        <v>2837</v>
      </c>
      <c r="E775" s="11" t="s">
        <v>2838</v>
      </c>
      <c r="F775" s="11" t="s">
        <v>2487</v>
      </c>
      <c r="G775" s="11">
        <v>19.74</v>
      </c>
      <c r="H775" s="11" t="s">
        <v>168</v>
      </c>
      <c r="I775" s="12">
        <v>5700.0</v>
      </c>
      <c r="J775" s="12">
        <v>7150.0</v>
      </c>
      <c r="K775" s="12">
        <v>6600.0</v>
      </c>
      <c r="L775" s="11"/>
      <c r="M775" s="11"/>
      <c r="N775" s="11"/>
      <c r="O775" s="11" t="s">
        <v>57</v>
      </c>
      <c r="P775" s="11" t="s">
        <v>917</v>
      </c>
      <c r="Q775" s="13" t="str">
        <f>IFERROR(VLOOKUP(E775,'SF Churn Data'!E:R,14,0),"")</f>
        <v/>
      </c>
    </row>
    <row r="776" hidden="1">
      <c r="A776" s="11" t="s">
        <v>154</v>
      </c>
      <c r="B776" s="11" t="s">
        <v>44</v>
      </c>
      <c r="C776" s="11" t="s">
        <v>180</v>
      </c>
      <c r="D776" s="11" t="s">
        <v>2839</v>
      </c>
      <c r="E776" s="11" t="s">
        <v>2840</v>
      </c>
      <c r="F776" s="11" t="s">
        <v>2487</v>
      </c>
      <c r="G776" s="11">
        <v>22.0</v>
      </c>
      <c r="H776" s="11" t="s">
        <v>56</v>
      </c>
      <c r="I776" s="12">
        <v>6090.0</v>
      </c>
      <c r="J776" s="12">
        <v>8550.0</v>
      </c>
      <c r="K776" s="12">
        <v>7350.0</v>
      </c>
      <c r="L776" s="11"/>
      <c r="M776" s="11"/>
      <c r="N776" s="11"/>
      <c r="O776" s="11" t="s">
        <v>151</v>
      </c>
      <c r="P776" s="11" t="s">
        <v>157</v>
      </c>
      <c r="Q776" s="13" t="str">
        <f>IFERROR(VLOOKUP(E776,'SF Churn Data'!E:R,14,0),"")</f>
        <v/>
      </c>
    </row>
    <row r="777" hidden="1">
      <c r="A777" s="11" t="s">
        <v>154</v>
      </c>
      <c r="B777" s="11" t="s">
        <v>44</v>
      </c>
      <c r="C777" s="11" t="s">
        <v>64</v>
      </c>
      <c r="D777" s="11" t="s">
        <v>2841</v>
      </c>
      <c r="E777" s="11" t="s">
        <v>2842</v>
      </c>
      <c r="F777" s="11" t="s">
        <v>2487</v>
      </c>
      <c r="G777" s="11">
        <v>18.0</v>
      </c>
      <c r="H777" s="11" t="s">
        <v>56</v>
      </c>
      <c r="I777" s="12">
        <v>5731.0</v>
      </c>
      <c r="J777" s="12">
        <v>8050.0</v>
      </c>
      <c r="K777" s="12">
        <v>6900.0</v>
      </c>
      <c r="L777" s="11"/>
      <c r="M777" s="11"/>
      <c r="N777" s="11"/>
      <c r="O777" s="11" t="s">
        <v>151</v>
      </c>
      <c r="P777" s="11" t="s">
        <v>157</v>
      </c>
      <c r="Q777" s="13" t="str">
        <f>IFERROR(VLOOKUP(E777,'SF Churn Data'!E:R,14,0),"")</f>
        <v/>
      </c>
    </row>
    <row r="778" hidden="1">
      <c r="A778" s="11" t="s">
        <v>154</v>
      </c>
      <c r="B778" s="11" t="s">
        <v>44</v>
      </c>
      <c r="C778" s="11" t="s">
        <v>53</v>
      </c>
      <c r="D778" s="11" t="s">
        <v>2843</v>
      </c>
      <c r="E778" s="11" t="s">
        <v>2844</v>
      </c>
      <c r="F778" s="11" t="s">
        <v>2487</v>
      </c>
      <c r="G778" s="11">
        <v>16.0</v>
      </c>
      <c r="H778" s="11" t="s">
        <v>56</v>
      </c>
      <c r="I778" s="12">
        <v>4799.0</v>
      </c>
      <c r="J778" s="12">
        <v>6750.0</v>
      </c>
      <c r="K778" s="12">
        <v>5800.0</v>
      </c>
      <c r="L778" s="11"/>
      <c r="M778" s="11"/>
      <c r="N778" s="11"/>
      <c r="O778" s="11" t="s">
        <v>151</v>
      </c>
      <c r="P778" s="11" t="s">
        <v>157</v>
      </c>
      <c r="Q778" s="13" t="str">
        <f>IFERROR(VLOOKUP(E778,'SF Churn Data'!E:R,14,0),"")</f>
        <v/>
      </c>
    </row>
    <row r="779" hidden="1">
      <c r="A779" s="11" t="s">
        <v>154</v>
      </c>
      <c r="B779" s="11" t="s">
        <v>45</v>
      </c>
      <c r="C779" s="11" t="s">
        <v>45</v>
      </c>
      <c r="D779" s="11" t="s">
        <v>2845</v>
      </c>
      <c r="E779" s="11" t="s">
        <v>2846</v>
      </c>
      <c r="F779" s="11" t="s">
        <v>2487</v>
      </c>
      <c r="G779" s="11">
        <v>11.0</v>
      </c>
      <c r="H779" s="11" t="s">
        <v>45</v>
      </c>
      <c r="I779" s="12">
        <v>3580.0</v>
      </c>
      <c r="J779" s="12">
        <v>5050.0</v>
      </c>
      <c r="K779" s="11">
        <v>4350.0</v>
      </c>
      <c r="L779" s="11"/>
      <c r="M779" s="11"/>
      <c r="N779" s="11"/>
      <c r="O779" s="11" t="s">
        <v>151</v>
      </c>
      <c r="P779" s="11" t="s">
        <v>157</v>
      </c>
      <c r="Q779" s="13" t="str">
        <f>IFERROR(VLOOKUP(E779,'SF Churn Data'!E:R,14,0),"")</f>
        <v/>
      </c>
    </row>
    <row r="780" hidden="1">
      <c r="A780" s="11" t="s">
        <v>43</v>
      </c>
      <c r="B780" s="11" t="s">
        <v>44</v>
      </c>
      <c r="C780" s="11" t="s">
        <v>64</v>
      </c>
      <c r="D780" s="11" t="s">
        <v>2847</v>
      </c>
      <c r="E780" s="11" t="s">
        <v>2848</v>
      </c>
      <c r="F780" s="11" t="s">
        <v>2487</v>
      </c>
      <c r="G780" s="11">
        <v>17.4</v>
      </c>
      <c r="H780" s="11" t="s">
        <v>120</v>
      </c>
      <c r="I780" s="12">
        <v>6800.0</v>
      </c>
      <c r="J780" s="12">
        <v>8200.0</v>
      </c>
      <c r="K780" s="12"/>
      <c r="L780" s="11"/>
      <c r="M780" s="11"/>
      <c r="N780" s="11"/>
      <c r="O780" s="11" t="s">
        <v>41</v>
      </c>
      <c r="P780" s="11" t="s">
        <v>48</v>
      </c>
      <c r="Q780" s="13" t="str">
        <f>IFERROR(VLOOKUP(E780,'SF Churn Data'!E:R,14,0),"")</f>
        <v/>
      </c>
    </row>
    <row r="781" hidden="1">
      <c r="A781" s="11" t="s">
        <v>191</v>
      </c>
      <c r="B781" s="11" t="s">
        <v>44</v>
      </c>
      <c r="C781" s="11" t="s">
        <v>76</v>
      </c>
      <c r="D781" s="11" t="s">
        <v>2849</v>
      </c>
      <c r="E781" s="11" t="s">
        <v>2850</v>
      </c>
      <c r="F781" s="11" t="s">
        <v>2487</v>
      </c>
      <c r="G781" s="11">
        <v>19.54</v>
      </c>
      <c r="H781" s="11" t="s">
        <v>120</v>
      </c>
      <c r="I781" s="12">
        <v>6600.0</v>
      </c>
      <c r="J781" s="12">
        <v>8600.0</v>
      </c>
      <c r="K781" s="12"/>
      <c r="L781" s="11"/>
      <c r="M781" s="11"/>
      <c r="N781" s="11"/>
      <c r="O781" s="11" t="s">
        <v>57</v>
      </c>
      <c r="P781" s="11" t="s">
        <v>48</v>
      </c>
      <c r="Q781" s="13" t="str">
        <f>IFERROR(VLOOKUP(E781,'SF Churn Data'!E:R,14,0),"")</f>
        <v/>
      </c>
    </row>
    <row r="782" hidden="1">
      <c r="A782" s="11" t="s">
        <v>1029</v>
      </c>
      <c r="B782" s="11" t="s">
        <v>45</v>
      </c>
      <c r="C782" s="11" t="s">
        <v>45</v>
      </c>
      <c r="D782" s="11" t="s">
        <v>2851</v>
      </c>
      <c r="E782" s="11" t="s">
        <v>2852</v>
      </c>
      <c r="F782" s="11" t="s">
        <v>2487</v>
      </c>
      <c r="G782" s="11">
        <v>15.88</v>
      </c>
      <c r="H782" s="11"/>
      <c r="I782" s="12">
        <v>245.0</v>
      </c>
      <c r="J782" s="12">
        <v>200.0</v>
      </c>
      <c r="K782" s="12"/>
      <c r="L782" s="11"/>
      <c r="M782" s="11"/>
      <c r="N782" s="11"/>
      <c r="O782" s="11" t="s">
        <v>213</v>
      </c>
      <c r="P782" s="11"/>
      <c r="Q782" s="13" t="str">
        <f>IFERROR(VLOOKUP(E782,'SF Churn Data'!E:R,14,0),"")</f>
        <v/>
      </c>
    </row>
    <row r="783" hidden="1">
      <c r="A783" s="11" t="s">
        <v>1029</v>
      </c>
      <c r="B783" s="11" t="s">
        <v>45</v>
      </c>
      <c r="C783" s="11" t="s">
        <v>45</v>
      </c>
      <c r="D783" s="11" t="s">
        <v>2853</v>
      </c>
      <c r="E783" s="11" t="s">
        <v>2854</v>
      </c>
      <c r="F783" s="11" t="s">
        <v>2487</v>
      </c>
      <c r="G783" s="11">
        <v>16.29</v>
      </c>
      <c r="H783" s="11"/>
      <c r="I783" s="12">
        <v>245.0</v>
      </c>
      <c r="J783" s="12">
        <v>200.0</v>
      </c>
      <c r="K783" s="11"/>
      <c r="L783" s="11"/>
      <c r="M783" s="11"/>
      <c r="N783" s="11"/>
      <c r="O783" s="11" t="s">
        <v>213</v>
      </c>
      <c r="P783" s="11"/>
      <c r="Q783" s="13" t="str">
        <f>IFERROR(VLOOKUP(E783,'SF Churn Data'!E:R,14,0),"")</f>
        <v/>
      </c>
    </row>
    <row r="784" hidden="1">
      <c r="A784" s="11" t="s">
        <v>1029</v>
      </c>
      <c r="B784" s="11" t="s">
        <v>45</v>
      </c>
      <c r="C784" s="11" t="s">
        <v>45</v>
      </c>
      <c r="D784" s="11" t="s">
        <v>2855</v>
      </c>
      <c r="E784" s="11" t="s">
        <v>2856</v>
      </c>
      <c r="F784" s="11" t="s">
        <v>2487</v>
      </c>
      <c r="G784" s="11">
        <v>15.35</v>
      </c>
      <c r="H784" s="11"/>
      <c r="I784" s="12">
        <v>245.0</v>
      </c>
      <c r="J784" s="12">
        <v>200.0</v>
      </c>
      <c r="K784" s="11"/>
      <c r="L784" s="11"/>
      <c r="M784" s="11"/>
      <c r="N784" s="11"/>
      <c r="O784" s="11" t="s">
        <v>213</v>
      </c>
      <c r="P784" s="11"/>
      <c r="Q784" s="13" t="str">
        <f>IFERROR(VLOOKUP(E784,'SF Churn Data'!E:R,14,0),"")</f>
        <v/>
      </c>
    </row>
    <row r="785" hidden="1">
      <c r="A785" s="11" t="s">
        <v>1029</v>
      </c>
      <c r="B785" s="11" t="s">
        <v>45</v>
      </c>
      <c r="C785" s="11" t="s">
        <v>45</v>
      </c>
      <c r="D785" s="11" t="s">
        <v>2857</v>
      </c>
      <c r="E785" s="11" t="s">
        <v>2858</v>
      </c>
      <c r="F785" s="11" t="s">
        <v>2487</v>
      </c>
      <c r="G785" s="11">
        <v>15.34</v>
      </c>
      <c r="H785" s="11"/>
      <c r="I785" s="12">
        <v>245.0</v>
      </c>
      <c r="J785" s="12">
        <v>200.0</v>
      </c>
      <c r="K785" s="12"/>
      <c r="L785" s="11"/>
      <c r="M785" s="11"/>
      <c r="N785" s="11"/>
      <c r="O785" s="11" t="s">
        <v>213</v>
      </c>
      <c r="P785" s="11"/>
      <c r="Q785" s="13" t="str">
        <f>IFERROR(VLOOKUP(E785,'SF Churn Data'!E:R,14,0),"")</f>
        <v/>
      </c>
    </row>
    <row r="786" hidden="1">
      <c r="A786" s="11" t="s">
        <v>2780</v>
      </c>
      <c r="B786" s="11" t="s">
        <v>36</v>
      </c>
      <c r="C786" s="11" t="s">
        <v>37</v>
      </c>
      <c r="D786" s="11" t="s">
        <v>2859</v>
      </c>
      <c r="E786" s="11" t="s">
        <v>2860</v>
      </c>
      <c r="F786" s="11" t="s">
        <v>2487</v>
      </c>
      <c r="G786" s="11">
        <v>49.89</v>
      </c>
      <c r="H786" s="11" t="s">
        <v>168</v>
      </c>
      <c r="I786" s="12">
        <v>4760.0</v>
      </c>
      <c r="J786" s="12">
        <v>5750.0</v>
      </c>
      <c r="K786" s="11"/>
      <c r="L786" s="11"/>
      <c r="M786" s="11"/>
      <c r="N786" s="11"/>
      <c r="O786" s="11"/>
      <c r="P786" s="11" t="s">
        <v>144</v>
      </c>
      <c r="Q786" s="13" t="str">
        <f>IFERROR(VLOOKUP(E786,'SF Churn Data'!E:R,14,0),"")</f>
        <v/>
      </c>
    </row>
    <row r="787" hidden="1">
      <c r="A787" s="11" t="s">
        <v>2780</v>
      </c>
      <c r="B787" s="11" t="s">
        <v>36</v>
      </c>
      <c r="C787" s="11" t="s">
        <v>37</v>
      </c>
      <c r="D787" s="11" t="s">
        <v>2861</v>
      </c>
      <c r="E787" s="11" t="s">
        <v>2862</v>
      </c>
      <c r="F787" s="11" t="s">
        <v>2487</v>
      </c>
      <c r="G787" s="11">
        <v>52.68</v>
      </c>
      <c r="H787" s="11" t="s">
        <v>168</v>
      </c>
      <c r="I787" s="12">
        <v>4760.0</v>
      </c>
      <c r="J787" s="12">
        <v>5750.0</v>
      </c>
      <c r="K787" s="12"/>
      <c r="L787" s="11"/>
      <c r="M787" s="11"/>
      <c r="N787" s="11"/>
      <c r="O787" s="11"/>
      <c r="P787" s="11" t="s">
        <v>144</v>
      </c>
      <c r="Q787" s="13" t="str">
        <f>IFERROR(VLOOKUP(E787,'SF Churn Data'!E:R,14,0),"")</f>
        <v/>
      </c>
    </row>
    <row r="788" hidden="1">
      <c r="A788" s="11" t="s">
        <v>2780</v>
      </c>
      <c r="B788" s="11" t="s">
        <v>36</v>
      </c>
      <c r="C788" s="11" t="s">
        <v>37</v>
      </c>
      <c r="D788" s="11" t="s">
        <v>2863</v>
      </c>
      <c r="E788" s="11" t="s">
        <v>2864</v>
      </c>
      <c r="F788" s="11" t="s">
        <v>2487</v>
      </c>
      <c r="G788" s="11">
        <v>51.34</v>
      </c>
      <c r="H788" s="11" t="s">
        <v>168</v>
      </c>
      <c r="I788" s="12">
        <v>4760.0</v>
      </c>
      <c r="J788" s="12">
        <v>5750.0</v>
      </c>
      <c r="K788" s="12"/>
      <c r="L788" s="11"/>
      <c r="M788" s="11"/>
      <c r="N788" s="11"/>
      <c r="O788" s="11"/>
      <c r="P788" s="11" t="s">
        <v>144</v>
      </c>
      <c r="Q788" s="13" t="str">
        <f>IFERROR(VLOOKUP(E788,'SF Churn Data'!E:R,14,0),"")</f>
        <v/>
      </c>
    </row>
    <row r="789" hidden="1">
      <c r="A789" s="11" t="s">
        <v>2780</v>
      </c>
      <c r="B789" s="11" t="s">
        <v>36</v>
      </c>
      <c r="C789" s="11" t="s">
        <v>37</v>
      </c>
      <c r="D789" s="11" t="s">
        <v>2865</v>
      </c>
      <c r="E789" s="11" t="s">
        <v>2866</v>
      </c>
      <c r="F789" s="11" t="s">
        <v>2487</v>
      </c>
      <c r="G789" s="11">
        <v>49.94</v>
      </c>
      <c r="H789" s="11" t="s">
        <v>168</v>
      </c>
      <c r="I789" s="12">
        <v>4760.0</v>
      </c>
      <c r="J789" s="12">
        <v>5750.0</v>
      </c>
      <c r="K789" s="11"/>
      <c r="L789" s="11"/>
      <c r="M789" s="11"/>
      <c r="N789" s="11"/>
      <c r="O789" s="11"/>
      <c r="P789" s="11" t="s">
        <v>144</v>
      </c>
      <c r="Q789" s="13" t="str">
        <f>IFERROR(VLOOKUP(E789,'SF Churn Data'!E:R,14,0),"")</f>
        <v/>
      </c>
    </row>
    <row r="790" hidden="1">
      <c r="A790" s="11" t="s">
        <v>2780</v>
      </c>
      <c r="B790" s="11" t="s">
        <v>36</v>
      </c>
      <c r="C790" s="11" t="s">
        <v>37</v>
      </c>
      <c r="D790" s="11" t="s">
        <v>2867</v>
      </c>
      <c r="E790" s="11" t="s">
        <v>2868</v>
      </c>
      <c r="F790" s="11" t="s">
        <v>2487</v>
      </c>
      <c r="G790" s="11">
        <v>52.68</v>
      </c>
      <c r="H790" s="11" t="s">
        <v>168</v>
      </c>
      <c r="I790" s="12">
        <v>4760.0</v>
      </c>
      <c r="J790" s="12">
        <v>5750.0</v>
      </c>
      <c r="K790" s="11"/>
      <c r="L790" s="11"/>
      <c r="M790" s="11"/>
      <c r="N790" s="11"/>
      <c r="O790" s="11"/>
      <c r="P790" s="11" t="s">
        <v>144</v>
      </c>
      <c r="Q790" s="13" t="str">
        <f>IFERROR(VLOOKUP(E790,'SF Churn Data'!E:R,14,0),"")</f>
        <v/>
      </c>
    </row>
    <row r="791" hidden="1">
      <c r="A791" s="11" t="s">
        <v>112</v>
      </c>
      <c r="B791" s="11" t="s">
        <v>44</v>
      </c>
      <c r="C791" s="11" t="s">
        <v>53</v>
      </c>
      <c r="D791" s="11" t="s">
        <v>2869</v>
      </c>
      <c r="E791" s="11" t="s">
        <v>2870</v>
      </c>
      <c r="F791" s="11" t="s">
        <v>2487</v>
      </c>
      <c r="G791" s="11">
        <v>16.2</v>
      </c>
      <c r="H791" s="11" t="s">
        <v>56</v>
      </c>
      <c r="I791" s="12">
        <v>6008.0</v>
      </c>
      <c r="J791" s="12">
        <v>8450.0</v>
      </c>
      <c r="K791" s="11">
        <v>7300.0</v>
      </c>
      <c r="L791" s="11"/>
      <c r="M791" s="11"/>
      <c r="N791" s="11"/>
      <c r="O791" s="11" t="s">
        <v>117</v>
      </c>
      <c r="P791" s="11" t="s">
        <v>42</v>
      </c>
      <c r="Q791" s="13" t="str">
        <f>IFERROR(VLOOKUP(E791,'SF Churn Data'!E:R,14,0),"")</f>
        <v/>
      </c>
    </row>
    <row r="792" hidden="1">
      <c r="A792" s="11" t="s">
        <v>112</v>
      </c>
      <c r="B792" s="11" t="s">
        <v>45</v>
      </c>
      <c r="C792" s="11" t="s">
        <v>45</v>
      </c>
      <c r="D792" s="11" t="s">
        <v>2871</v>
      </c>
      <c r="E792" s="11" t="s">
        <v>2872</v>
      </c>
      <c r="F792" s="11" t="s">
        <v>2487</v>
      </c>
      <c r="G792" s="11">
        <v>10.0</v>
      </c>
      <c r="H792" s="11" t="s">
        <v>45</v>
      </c>
      <c r="I792" s="12">
        <v>3257.0</v>
      </c>
      <c r="J792" s="12">
        <v>4600.0</v>
      </c>
      <c r="K792" s="12">
        <v>4000.0</v>
      </c>
      <c r="L792" s="11"/>
      <c r="M792" s="11"/>
      <c r="N792" s="11"/>
      <c r="O792" s="11" t="s">
        <v>117</v>
      </c>
      <c r="P792" s="11" t="s">
        <v>42</v>
      </c>
      <c r="Q792" s="13" t="str">
        <f>IFERROR(VLOOKUP(E792,'SF Churn Data'!E:R,14,0),"")</f>
        <v/>
      </c>
    </row>
    <row r="793" hidden="1">
      <c r="A793" s="11" t="s">
        <v>112</v>
      </c>
      <c r="B793" s="11" t="s">
        <v>44</v>
      </c>
      <c r="C793" s="11" t="s">
        <v>64</v>
      </c>
      <c r="D793" s="11" t="s">
        <v>2873</v>
      </c>
      <c r="E793" s="11" t="s">
        <v>2874</v>
      </c>
      <c r="F793" s="11" t="s">
        <v>2487</v>
      </c>
      <c r="G793" s="11">
        <v>18.8</v>
      </c>
      <c r="H793" s="11" t="s">
        <v>120</v>
      </c>
      <c r="I793" s="12">
        <v>6437.0</v>
      </c>
      <c r="J793" s="12">
        <v>9050.0</v>
      </c>
      <c r="K793" s="11">
        <v>7750.0</v>
      </c>
      <c r="L793" s="11"/>
      <c r="M793" s="11"/>
      <c r="N793" s="11"/>
      <c r="O793" s="11" t="s">
        <v>117</v>
      </c>
      <c r="P793" s="11" t="s">
        <v>42</v>
      </c>
      <c r="Q793" s="13" t="str">
        <f>IFERROR(VLOOKUP(E793,'SF Churn Data'!E:R,14,0),"")</f>
        <v/>
      </c>
    </row>
    <row r="794" hidden="1">
      <c r="A794" s="11" t="s">
        <v>201</v>
      </c>
      <c r="B794" s="11" t="s">
        <v>44</v>
      </c>
      <c r="C794" s="11" t="s">
        <v>64</v>
      </c>
      <c r="D794" s="11" t="s">
        <v>2875</v>
      </c>
      <c r="E794" s="11" t="s">
        <v>2876</v>
      </c>
      <c r="F794" s="11" t="s">
        <v>2487</v>
      </c>
      <c r="G794" s="11">
        <v>18.33</v>
      </c>
      <c r="H794" s="11" t="s">
        <v>120</v>
      </c>
      <c r="I794" s="12">
        <v>3500.0</v>
      </c>
      <c r="J794" s="12">
        <v>4200.0</v>
      </c>
      <c r="K794" s="12">
        <v>4100.0</v>
      </c>
      <c r="L794" s="11"/>
      <c r="M794" s="11"/>
      <c r="N794" s="11"/>
      <c r="O794" s="11" t="s">
        <v>41</v>
      </c>
      <c r="P794" s="11"/>
      <c r="Q794" s="13" t="str">
        <f>IFERROR(VLOOKUP(E794,'SF Churn Data'!E:R,14,0),"")</f>
        <v/>
      </c>
    </row>
    <row r="795" hidden="1">
      <c r="A795" s="11" t="s">
        <v>2780</v>
      </c>
      <c r="B795" s="11" t="s">
        <v>36</v>
      </c>
      <c r="C795" s="11" t="s">
        <v>37</v>
      </c>
      <c r="D795" s="11" t="s">
        <v>2877</v>
      </c>
      <c r="E795" s="11" t="s">
        <v>2878</v>
      </c>
      <c r="F795" s="11" t="s">
        <v>2487</v>
      </c>
      <c r="G795" s="11">
        <v>52.0</v>
      </c>
      <c r="H795" s="11" t="s">
        <v>168</v>
      </c>
      <c r="I795" s="12">
        <v>4760.0</v>
      </c>
      <c r="J795" s="12">
        <v>5750.0</v>
      </c>
      <c r="K795" s="11"/>
      <c r="L795" s="11"/>
      <c r="M795" s="11"/>
      <c r="N795" s="11"/>
      <c r="O795" s="11"/>
      <c r="P795" s="11" t="s">
        <v>144</v>
      </c>
      <c r="Q795" s="13" t="str">
        <f>IFERROR(VLOOKUP(E795,'SF Churn Data'!E:R,14,0),"")</f>
        <v/>
      </c>
    </row>
    <row r="796" hidden="1">
      <c r="A796" s="11" t="s">
        <v>2780</v>
      </c>
      <c r="B796" s="11" t="s">
        <v>36</v>
      </c>
      <c r="C796" s="11" t="s">
        <v>37</v>
      </c>
      <c r="D796" s="11" t="s">
        <v>2879</v>
      </c>
      <c r="E796" s="11" t="s">
        <v>2880</v>
      </c>
      <c r="F796" s="11" t="s">
        <v>2487</v>
      </c>
      <c r="G796" s="11">
        <v>52.96</v>
      </c>
      <c r="H796" s="11" t="s">
        <v>168</v>
      </c>
      <c r="I796" s="12">
        <v>4760.0</v>
      </c>
      <c r="J796" s="12">
        <v>5750.0</v>
      </c>
      <c r="K796" s="11"/>
      <c r="L796" s="11"/>
      <c r="M796" s="11"/>
      <c r="N796" s="11"/>
      <c r="O796" s="11"/>
      <c r="P796" s="11" t="s">
        <v>144</v>
      </c>
      <c r="Q796" s="13" t="str">
        <f>IFERROR(VLOOKUP(E796,'SF Churn Data'!E:R,14,0),"")</f>
        <v/>
      </c>
    </row>
    <row r="797" hidden="1">
      <c r="A797" s="11" t="s">
        <v>2780</v>
      </c>
      <c r="B797" s="11" t="s">
        <v>36</v>
      </c>
      <c r="C797" s="11" t="s">
        <v>37</v>
      </c>
      <c r="D797" s="11" t="s">
        <v>2881</v>
      </c>
      <c r="E797" s="11" t="s">
        <v>2882</v>
      </c>
      <c r="F797" s="11" t="s">
        <v>2487</v>
      </c>
      <c r="G797" s="11">
        <v>52.96</v>
      </c>
      <c r="H797" s="11" t="s">
        <v>168</v>
      </c>
      <c r="I797" s="12">
        <v>4760.0</v>
      </c>
      <c r="J797" s="12">
        <v>5750.0</v>
      </c>
      <c r="K797" s="11"/>
      <c r="L797" s="11"/>
      <c r="M797" s="11"/>
      <c r="N797" s="11"/>
      <c r="O797" s="11"/>
      <c r="P797" s="11" t="s">
        <v>144</v>
      </c>
      <c r="Q797" s="13" t="str">
        <f>IFERROR(VLOOKUP(E797,'SF Churn Data'!E:R,14,0),"")</f>
        <v/>
      </c>
    </row>
    <row r="798" hidden="1">
      <c r="A798" s="11" t="s">
        <v>2780</v>
      </c>
      <c r="B798" s="11" t="s">
        <v>36</v>
      </c>
      <c r="C798" s="11" t="s">
        <v>37</v>
      </c>
      <c r="D798" s="11" t="s">
        <v>2883</v>
      </c>
      <c r="E798" s="11" t="s">
        <v>2884</v>
      </c>
      <c r="F798" s="11" t="s">
        <v>2487</v>
      </c>
      <c r="G798" s="11">
        <v>52.0</v>
      </c>
      <c r="H798" s="11" t="s">
        <v>168</v>
      </c>
      <c r="I798" s="12">
        <v>4760.0</v>
      </c>
      <c r="J798" s="12">
        <v>5750.0</v>
      </c>
      <c r="K798" s="12"/>
      <c r="L798" s="11"/>
      <c r="M798" s="11"/>
      <c r="N798" s="11"/>
      <c r="O798" s="11"/>
      <c r="P798" s="11" t="s">
        <v>144</v>
      </c>
      <c r="Q798" s="13" t="str">
        <f>IFERROR(VLOOKUP(E798,'SF Churn Data'!E:R,14,0),"")</f>
        <v/>
      </c>
    </row>
    <row r="799" hidden="1">
      <c r="A799" s="11" t="s">
        <v>2780</v>
      </c>
      <c r="B799" s="11" t="s">
        <v>36</v>
      </c>
      <c r="C799" s="11" t="s">
        <v>37</v>
      </c>
      <c r="D799" s="11" t="s">
        <v>2885</v>
      </c>
      <c r="E799" s="11" t="s">
        <v>2886</v>
      </c>
      <c r="F799" s="11" t="s">
        <v>2487</v>
      </c>
      <c r="G799" s="11">
        <v>52.72</v>
      </c>
      <c r="H799" s="11" t="s">
        <v>168</v>
      </c>
      <c r="I799" s="12">
        <v>4760.0</v>
      </c>
      <c r="J799" s="12">
        <v>5750.0</v>
      </c>
      <c r="K799" s="11"/>
      <c r="L799" s="11"/>
      <c r="M799" s="11"/>
      <c r="N799" s="11"/>
      <c r="O799" s="11"/>
      <c r="P799" s="11" t="s">
        <v>144</v>
      </c>
      <c r="Q799" s="13" t="str">
        <f>IFERROR(VLOOKUP(E799,'SF Churn Data'!E:R,14,0),"")</f>
        <v/>
      </c>
    </row>
    <row r="800" hidden="1">
      <c r="A800" s="11" t="s">
        <v>2208</v>
      </c>
      <c r="B800" s="11" t="s">
        <v>44</v>
      </c>
      <c r="C800" s="11" t="s">
        <v>64</v>
      </c>
      <c r="D800" s="11" t="s">
        <v>2887</v>
      </c>
      <c r="E800" s="11" t="s">
        <v>2888</v>
      </c>
      <c r="F800" s="11" t="s">
        <v>2487</v>
      </c>
      <c r="G800" s="11">
        <v>17.5</v>
      </c>
      <c r="H800" s="11" t="s">
        <v>120</v>
      </c>
      <c r="I800" s="12">
        <v>7400.0</v>
      </c>
      <c r="J800" s="12">
        <v>7400.0</v>
      </c>
      <c r="K800" s="11"/>
      <c r="L800" s="11"/>
      <c r="M800" s="11"/>
      <c r="N800" s="11"/>
      <c r="O800" s="11" t="s">
        <v>57</v>
      </c>
      <c r="P800" s="11"/>
      <c r="Q800" s="13" t="str">
        <f>IFERROR(VLOOKUP(E800,'SF Churn Data'!E:R,14,0),"")</f>
        <v/>
      </c>
    </row>
    <row r="801" hidden="1">
      <c r="A801" s="11" t="s">
        <v>2208</v>
      </c>
      <c r="B801" s="11" t="s">
        <v>44</v>
      </c>
      <c r="C801" s="11" t="s">
        <v>76</v>
      </c>
      <c r="D801" s="11" t="s">
        <v>2889</v>
      </c>
      <c r="E801" s="11" t="s">
        <v>2890</v>
      </c>
      <c r="F801" s="11" t="s">
        <v>2487</v>
      </c>
      <c r="G801" s="11">
        <v>20.45</v>
      </c>
      <c r="H801" s="11" t="s">
        <v>120</v>
      </c>
      <c r="I801" s="12">
        <v>7900.0</v>
      </c>
      <c r="J801" s="12">
        <v>7900.0</v>
      </c>
      <c r="K801" s="11"/>
      <c r="L801" s="11"/>
      <c r="M801" s="11"/>
      <c r="N801" s="11"/>
      <c r="O801" s="11" t="s">
        <v>57</v>
      </c>
      <c r="P801" s="11"/>
      <c r="Q801" s="13" t="str">
        <f>IFERROR(VLOOKUP(E801,'SF Churn Data'!E:R,14,0),"")</f>
        <v/>
      </c>
    </row>
    <row r="802" hidden="1">
      <c r="A802" s="11" t="s">
        <v>2208</v>
      </c>
      <c r="B802" s="11" t="s">
        <v>44</v>
      </c>
      <c r="C802" s="11" t="s">
        <v>53</v>
      </c>
      <c r="D802" s="11" t="s">
        <v>2891</v>
      </c>
      <c r="E802" s="11" t="s">
        <v>2892</v>
      </c>
      <c r="F802" s="11" t="s">
        <v>2487</v>
      </c>
      <c r="G802" s="11">
        <v>15.02</v>
      </c>
      <c r="H802" s="11" t="s">
        <v>56</v>
      </c>
      <c r="I802" s="12">
        <v>7000.0</v>
      </c>
      <c r="J802" s="12">
        <v>7000.0</v>
      </c>
      <c r="K802" s="12"/>
      <c r="L802" s="11"/>
      <c r="M802" s="11"/>
      <c r="N802" s="11"/>
      <c r="O802" s="11" t="s">
        <v>57</v>
      </c>
      <c r="P802" s="11"/>
      <c r="Q802" s="13" t="str">
        <f>IFERROR(VLOOKUP(E802,'SF Churn Data'!E:R,14,0),"")</f>
        <v/>
      </c>
    </row>
    <row r="803" hidden="1">
      <c r="A803" s="11" t="s">
        <v>2208</v>
      </c>
      <c r="B803" s="11" t="s">
        <v>44</v>
      </c>
      <c r="C803" s="11" t="s">
        <v>53</v>
      </c>
      <c r="D803" s="11" t="s">
        <v>2893</v>
      </c>
      <c r="E803" s="11" t="s">
        <v>2894</v>
      </c>
      <c r="F803" s="11" t="s">
        <v>2487</v>
      </c>
      <c r="G803" s="11">
        <v>15.02</v>
      </c>
      <c r="H803" s="11" t="s">
        <v>56</v>
      </c>
      <c r="I803" s="12">
        <v>7000.0</v>
      </c>
      <c r="J803" s="12">
        <v>7000.0</v>
      </c>
      <c r="K803" s="11"/>
      <c r="L803" s="11"/>
      <c r="M803" s="11"/>
      <c r="N803" s="11"/>
      <c r="O803" s="11" t="s">
        <v>57</v>
      </c>
      <c r="P803" s="11"/>
      <c r="Q803" s="13" t="str">
        <f>IFERROR(VLOOKUP(E803,'SF Churn Data'!E:R,14,0),"")</f>
        <v/>
      </c>
    </row>
    <row r="804" hidden="1">
      <c r="A804" s="11" t="s">
        <v>2208</v>
      </c>
      <c r="B804" s="11" t="s">
        <v>44</v>
      </c>
      <c r="C804" s="11" t="s">
        <v>53</v>
      </c>
      <c r="D804" s="11" t="s">
        <v>2895</v>
      </c>
      <c r="E804" s="11" t="s">
        <v>2896</v>
      </c>
      <c r="F804" s="11" t="s">
        <v>2487</v>
      </c>
      <c r="G804" s="11">
        <v>15.02</v>
      </c>
      <c r="H804" s="11" t="s">
        <v>56</v>
      </c>
      <c r="I804" s="12">
        <v>7000.0</v>
      </c>
      <c r="J804" s="12">
        <v>7000.0</v>
      </c>
      <c r="K804" s="11"/>
      <c r="L804" s="11"/>
      <c r="M804" s="11"/>
      <c r="N804" s="11"/>
      <c r="O804" s="11" t="s">
        <v>57</v>
      </c>
      <c r="P804" s="11"/>
      <c r="Q804" s="13" t="str">
        <f>IFERROR(VLOOKUP(E804,'SF Churn Data'!E:R,14,0),"")</f>
        <v/>
      </c>
    </row>
    <row r="805" hidden="1">
      <c r="A805" s="11" t="s">
        <v>2208</v>
      </c>
      <c r="B805" s="11" t="s">
        <v>44</v>
      </c>
      <c r="C805" s="11" t="s">
        <v>133</v>
      </c>
      <c r="D805" s="11" t="s">
        <v>2897</v>
      </c>
      <c r="E805" s="11" t="s">
        <v>2898</v>
      </c>
      <c r="F805" s="11" t="s">
        <v>2487</v>
      </c>
      <c r="G805" s="11">
        <v>13.17</v>
      </c>
      <c r="H805" s="11" t="s">
        <v>56</v>
      </c>
      <c r="I805" s="12">
        <v>6500.0</v>
      </c>
      <c r="J805" s="12">
        <v>6500.0</v>
      </c>
      <c r="K805" s="12"/>
      <c r="L805" s="11"/>
      <c r="M805" s="11"/>
      <c r="N805" s="11"/>
      <c r="O805" s="11" t="s">
        <v>57</v>
      </c>
      <c r="P805" s="11"/>
      <c r="Q805" s="13" t="str">
        <f>IFERROR(VLOOKUP(E805,'SF Churn Data'!E:R,14,0),"")</f>
        <v/>
      </c>
    </row>
    <row r="806" hidden="1">
      <c r="A806" s="11" t="s">
        <v>2208</v>
      </c>
      <c r="B806" s="11" t="s">
        <v>44</v>
      </c>
      <c r="C806" s="11" t="s">
        <v>53</v>
      </c>
      <c r="D806" s="11" t="s">
        <v>2899</v>
      </c>
      <c r="E806" s="11" t="s">
        <v>2900</v>
      </c>
      <c r="F806" s="11" t="s">
        <v>2487</v>
      </c>
      <c r="G806" s="11">
        <v>16.23</v>
      </c>
      <c r="H806" s="11" t="s">
        <v>56</v>
      </c>
      <c r="I806" s="12">
        <v>7000.0</v>
      </c>
      <c r="J806" s="12">
        <v>7000.0</v>
      </c>
      <c r="K806" s="12"/>
      <c r="L806" s="11"/>
      <c r="M806" s="11"/>
      <c r="N806" s="11"/>
      <c r="O806" s="11" t="s">
        <v>57</v>
      </c>
      <c r="P806" s="11"/>
      <c r="Q806" s="13" t="str">
        <f>IFERROR(VLOOKUP(E806,'SF Churn Data'!E:R,14,0),"")</f>
        <v/>
      </c>
    </row>
    <row r="807" hidden="1">
      <c r="A807" s="11" t="s">
        <v>2208</v>
      </c>
      <c r="B807" s="11" t="s">
        <v>44</v>
      </c>
      <c r="C807" s="11" t="s">
        <v>76</v>
      </c>
      <c r="D807" s="11" t="s">
        <v>2901</v>
      </c>
      <c r="E807" s="11" t="s">
        <v>2902</v>
      </c>
      <c r="F807" s="11" t="s">
        <v>2487</v>
      </c>
      <c r="G807" s="11">
        <v>20.45</v>
      </c>
      <c r="H807" s="11" t="s">
        <v>120</v>
      </c>
      <c r="I807" s="12">
        <v>7900.0</v>
      </c>
      <c r="J807" s="12">
        <v>7900.0</v>
      </c>
      <c r="K807" s="11"/>
      <c r="L807" s="11"/>
      <c r="M807" s="11"/>
      <c r="N807" s="11"/>
      <c r="O807" s="11" t="s">
        <v>2688</v>
      </c>
      <c r="P807" s="11"/>
      <c r="Q807" s="13" t="str">
        <f>IFERROR(VLOOKUP(E807,'SF Churn Data'!E:R,14,0),"")</f>
        <v/>
      </c>
    </row>
    <row r="808" hidden="1">
      <c r="A808" s="11" t="s">
        <v>2208</v>
      </c>
      <c r="B808" s="11" t="s">
        <v>44</v>
      </c>
      <c r="C808" s="11" t="s">
        <v>53</v>
      </c>
      <c r="D808" s="11" t="s">
        <v>2903</v>
      </c>
      <c r="E808" s="11" t="s">
        <v>2904</v>
      </c>
      <c r="F808" s="11" t="s">
        <v>2487</v>
      </c>
      <c r="G808" s="11">
        <v>15.16</v>
      </c>
      <c r="H808" s="11" t="s">
        <v>56</v>
      </c>
      <c r="I808" s="12">
        <v>7000.0</v>
      </c>
      <c r="J808" s="12">
        <v>7000.0</v>
      </c>
      <c r="K808" s="11"/>
      <c r="L808" s="11"/>
      <c r="M808" s="11"/>
      <c r="N808" s="11"/>
      <c r="O808" s="11" t="s">
        <v>2688</v>
      </c>
      <c r="P808" s="11"/>
      <c r="Q808" s="13" t="str">
        <f>IFERROR(VLOOKUP(E808,'SF Churn Data'!E:R,14,0),"")</f>
        <v/>
      </c>
    </row>
    <row r="809" hidden="1">
      <c r="A809" s="11" t="s">
        <v>2208</v>
      </c>
      <c r="B809" s="11" t="s">
        <v>44</v>
      </c>
      <c r="C809" s="11" t="s">
        <v>64</v>
      </c>
      <c r="D809" s="11" t="s">
        <v>2905</v>
      </c>
      <c r="E809" s="11" t="s">
        <v>2906</v>
      </c>
      <c r="F809" s="11" t="s">
        <v>2487</v>
      </c>
      <c r="G809" s="11">
        <v>17.14</v>
      </c>
      <c r="H809" s="11" t="s">
        <v>120</v>
      </c>
      <c r="I809" s="12">
        <v>7400.0</v>
      </c>
      <c r="J809" s="12">
        <v>7400.0</v>
      </c>
      <c r="K809" s="11"/>
      <c r="L809" s="11"/>
      <c r="M809" s="11"/>
      <c r="N809" s="11"/>
      <c r="O809" s="11" t="s">
        <v>2688</v>
      </c>
      <c r="P809" s="11"/>
      <c r="Q809" s="13" t="str">
        <f>IFERROR(VLOOKUP(E809,'SF Churn Data'!E:R,14,0),"")</f>
        <v/>
      </c>
    </row>
    <row r="810" hidden="1">
      <c r="A810" s="11" t="s">
        <v>2208</v>
      </c>
      <c r="B810" s="11" t="s">
        <v>44</v>
      </c>
      <c r="C810" s="11" t="s">
        <v>64</v>
      </c>
      <c r="D810" s="11" t="s">
        <v>2907</v>
      </c>
      <c r="E810" s="11" t="s">
        <v>2908</v>
      </c>
      <c r="F810" s="11" t="s">
        <v>2487</v>
      </c>
      <c r="G810" s="11">
        <v>17.24</v>
      </c>
      <c r="H810" s="11" t="s">
        <v>120</v>
      </c>
      <c r="I810" s="12">
        <v>7400.0</v>
      </c>
      <c r="J810" s="12">
        <v>7400.0</v>
      </c>
      <c r="K810" s="11"/>
      <c r="L810" s="11"/>
      <c r="M810" s="11"/>
      <c r="N810" s="11"/>
      <c r="O810" s="11" t="s">
        <v>2688</v>
      </c>
      <c r="P810" s="11"/>
      <c r="Q810" s="13" t="str">
        <f>IFERROR(VLOOKUP(E810,'SF Churn Data'!E:R,14,0),"")</f>
        <v/>
      </c>
    </row>
    <row r="811" hidden="1">
      <c r="A811" s="11" t="s">
        <v>2208</v>
      </c>
      <c r="B811" s="11" t="s">
        <v>44</v>
      </c>
      <c r="C811" s="11" t="s">
        <v>76</v>
      </c>
      <c r="D811" s="11" t="s">
        <v>2909</v>
      </c>
      <c r="E811" s="11" t="s">
        <v>2910</v>
      </c>
      <c r="F811" s="11" t="s">
        <v>2487</v>
      </c>
      <c r="G811" s="11">
        <v>19.76</v>
      </c>
      <c r="H811" s="11" t="s">
        <v>120</v>
      </c>
      <c r="I811" s="12">
        <v>7900.0</v>
      </c>
      <c r="J811" s="12">
        <v>7900.0</v>
      </c>
      <c r="K811" s="12"/>
      <c r="L811" s="11"/>
      <c r="M811" s="11"/>
      <c r="N811" s="11"/>
      <c r="O811" s="11" t="s">
        <v>57</v>
      </c>
      <c r="P811" s="11"/>
      <c r="Q811" s="13" t="str">
        <f>IFERROR(VLOOKUP(E811,'SF Churn Data'!E:R,14,0),"")</f>
        <v/>
      </c>
    </row>
    <row r="812" hidden="1">
      <c r="A812" s="11" t="s">
        <v>2208</v>
      </c>
      <c r="B812" s="11" t="s">
        <v>44</v>
      </c>
      <c r="C812" s="11" t="s">
        <v>133</v>
      </c>
      <c r="D812" s="11" t="s">
        <v>2911</v>
      </c>
      <c r="E812" s="11" t="s">
        <v>2912</v>
      </c>
      <c r="F812" s="11" t="s">
        <v>2487</v>
      </c>
      <c r="G812" s="11">
        <v>13.04</v>
      </c>
      <c r="H812" s="11" t="s">
        <v>56</v>
      </c>
      <c r="I812" s="12">
        <v>6500.0</v>
      </c>
      <c r="J812" s="12">
        <v>6500.0</v>
      </c>
      <c r="K812" s="11"/>
      <c r="L812" s="11"/>
      <c r="M812" s="11"/>
      <c r="N812" s="11"/>
      <c r="O812" s="11" t="s">
        <v>57</v>
      </c>
      <c r="P812" s="11"/>
      <c r="Q812" s="13" t="str">
        <f>IFERROR(VLOOKUP(E812,'SF Churn Data'!E:R,14,0),"")</f>
        <v/>
      </c>
    </row>
    <row r="813" hidden="1">
      <c r="A813" s="11" t="s">
        <v>2208</v>
      </c>
      <c r="B813" s="11" t="s">
        <v>44</v>
      </c>
      <c r="C813" s="11" t="s">
        <v>64</v>
      </c>
      <c r="D813" s="11" t="s">
        <v>2913</v>
      </c>
      <c r="E813" s="11" t="s">
        <v>2914</v>
      </c>
      <c r="F813" s="11" t="s">
        <v>2487</v>
      </c>
      <c r="G813" s="11">
        <v>18.92</v>
      </c>
      <c r="H813" s="11" t="s">
        <v>120</v>
      </c>
      <c r="I813" s="12">
        <v>7400.0</v>
      </c>
      <c r="J813" s="12">
        <v>7400.0</v>
      </c>
      <c r="K813" s="12"/>
      <c r="L813" s="11"/>
      <c r="M813" s="11"/>
      <c r="N813" s="11"/>
      <c r="O813" s="11" t="s">
        <v>57</v>
      </c>
      <c r="P813" s="11"/>
      <c r="Q813" s="13" t="str">
        <f>IFERROR(VLOOKUP(E813,'SF Churn Data'!E:R,14,0),"")</f>
        <v/>
      </c>
    </row>
    <row r="814" hidden="1">
      <c r="A814" s="11" t="s">
        <v>2208</v>
      </c>
      <c r="B814" s="11" t="s">
        <v>45</v>
      </c>
      <c r="C814" s="11" t="s">
        <v>45</v>
      </c>
      <c r="D814" s="11" t="s">
        <v>2915</v>
      </c>
      <c r="E814" s="11" t="s">
        <v>2916</v>
      </c>
      <c r="F814" s="11" t="s">
        <v>2487</v>
      </c>
      <c r="G814" s="11">
        <v>8.72</v>
      </c>
      <c r="H814" s="11" t="s">
        <v>45</v>
      </c>
      <c r="I814" s="12">
        <v>4700.0</v>
      </c>
      <c r="J814" s="12">
        <v>4700.0</v>
      </c>
      <c r="K814" s="11"/>
      <c r="L814" s="11"/>
      <c r="M814" s="11"/>
      <c r="N814" s="11"/>
      <c r="O814" s="11" t="s">
        <v>41</v>
      </c>
      <c r="P814" s="11"/>
      <c r="Q814" s="13" t="str">
        <f>IFERROR(VLOOKUP(E814,'SF Churn Data'!E:R,14,0),"")</f>
        <v/>
      </c>
    </row>
    <row r="815" hidden="1">
      <c r="A815" s="11" t="s">
        <v>2208</v>
      </c>
      <c r="B815" s="11" t="s">
        <v>44</v>
      </c>
      <c r="C815" s="11" t="s">
        <v>133</v>
      </c>
      <c r="D815" s="11" t="s">
        <v>2917</v>
      </c>
      <c r="E815" s="11" t="s">
        <v>2918</v>
      </c>
      <c r="F815" s="11" t="s">
        <v>2487</v>
      </c>
      <c r="G815" s="11">
        <v>13.02</v>
      </c>
      <c r="H815" s="11" t="s">
        <v>56</v>
      </c>
      <c r="I815" s="12">
        <v>6500.0</v>
      </c>
      <c r="J815" s="12">
        <v>6500.0</v>
      </c>
      <c r="K815" s="11"/>
      <c r="L815" s="11"/>
      <c r="M815" s="11"/>
      <c r="N815" s="11"/>
      <c r="O815" s="11" t="s">
        <v>57</v>
      </c>
      <c r="P815" s="11"/>
      <c r="Q815" s="13" t="str">
        <f>IFERROR(VLOOKUP(E815,'SF Churn Data'!E:R,14,0),"")</f>
        <v/>
      </c>
    </row>
    <row r="816" hidden="1">
      <c r="A816" s="11" t="s">
        <v>1238</v>
      </c>
      <c r="B816" s="11" t="s">
        <v>44</v>
      </c>
      <c r="C816" s="11" t="s">
        <v>53</v>
      </c>
      <c r="D816" s="11" t="s">
        <v>2919</v>
      </c>
      <c r="E816" s="11" t="s">
        <v>2920</v>
      </c>
      <c r="F816" s="11" t="s">
        <v>2487</v>
      </c>
      <c r="G816" s="11">
        <v>15.38</v>
      </c>
      <c r="H816" s="11" t="s">
        <v>471</v>
      </c>
      <c r="I816" s="12">
        <v>3600.0</v>
      </c>
      <c r="J816" s="12">
        <v>4700.0</v>
      </c>
      <c r="K816" s="11"/>
      <c r="L816" s="11"/>
      <c r="M816" s="11"/>
      <c r="N816" s="11"/>
      <c r="O816" s="11" t="s">
        <v>41</v>
      </c>
      <c r="P816" s="11" t="s">
        <v>144</v>
      </c>
      <c r="Q816" s="13" t="str">
        <f>IFERROR(VLOOKUP(E816,'SF Churn Data'!E:R,14,0),"")</f>
        <v/>
      </c>
    </row>
    <row r="817" hidden="1">
      <c r="A817" s="11" t="s">
        <v>1238</v>
      </c>
      <c r="B817" s="11" t="s">
        <v>44</v>
      </c>
      <c r="C817" s="11" t="s">
        <v>53</v>
      </c>
      <c r="D817" s="11" t="s">
        <v>2921</v>
      </c>
      <c r="E817" s="11" t="s">
        <v>2922</v>
      </c>
      <c r="F817" s="11" t="s">
        <v>2487</v>
      </c>
      <c r="G817" s="11">
        <v>15.37</v>
      </c>
      <c r="H817" s="11" t="s">
        <v>1242</v>
      </c>
      <c r="I817" s="12">
        <v>3600.0</v>
      </c>
      <c r="J817" s="12">
        <v>4700.0</v>
      </c>
      <c r="K817" s="12"/>
      <c r="L817" s="11"/>
      <c r="M817" s="11"/>
      <c r="N817" s="11"/>
      <c r="O817" s="11" t="s">
        <v>41</v>
      </c>
      <c r="P817" s="11" t="s">
        <v>144</v>
      </c>
      <c r="Q817" s="13" t="str">
        <f>IFERROR(VLOOKUP(E817,'SF Churn Data'!E:R,14,0),"")</f>
        <v/>
      </c>
    </row>
    <row r="818" hidden="1">
      <c r="A818" s="11" t="s">
        <v>2208</v>
      </c>
      <c r="B818" s="11" t="s">
        <v>44</v>
      </c>
      <c r="C818" s="11" t="s">
        <v>53</v>
      </c>
      <c r="D818" s="11" t="s">
        <v>2923</v>
      </c>
      <c r="E818" s="11" t="s">
        <v>2924</v>
      </c>
      <c r="F818" s="11" t="s">
        <v>2487</v>
      </c>
      <c r="G818" s="11">
        <v>15.16</v>
      </c>
      <c r="H818" s="11" t="s">
        <v>56</v>
      </c>
      <c r="I818" s="12">
        <v>7000.0</v>
      </c>
      <c r="J818" s="12">
        <v>7000.0</v>
      </c>
      <c r="K818" s="11"/>
      <c r="L818" s="11"/>
      <c r="M818" s="11"/>
      <c r="N818" s="11"/>
      <c r="O818" s="11" t="s">
        <v>2688</v>
      </c>
      <c r="P818" s="11"/>
      <c r="Q818" s="13" t="str">
        <f>IFERROR(VLOOKUP(E818,'SF Churn Data'!E:R,14,0),"")</f>
        <v/>
      </c>
    </row>
    <row r="819" hidden="1">
      <c r="A819" s="11" t="s">
        <v>2208</v>
      </c>
      <c r="B819" s="11" t="s">
        <v>44</v>
      </c>
      <c r="C819" s="11" t="s">
        <v>133</v>
      </c>
      <c r="D819" s="11" t="s">
        <v>2925</v>
      </c>
      <c r="E819" s="11" t="s">
        <v>2926</v>
      </c>
      <c r="F819" s="11" t="s">
        <v>2487</v>
      </c>
      <c r="G819" s="11">
        <v>13.21</v>
      </c>
      <c r="H819" s="11" t="s">
        <v>56</v>
      </c>
      <c r="I819" s="12">
        <v>6500.0</v>
      </c>
      <c r="J819" s="12">
        <v>6500.0</v>
      </c>
      <c r="K819" s="11"/>
      <c r="L819" s="11"/>
      <c r="M819" s="11"/>
      <c r="N819" s="11"/>
      <c r="O819" s="11" t="s">
        <v>2688</v>
      </c>
      <c r="P819" s="11"/>
      <c r="Q819" s="13" t="str">
        <f>IFERROR(VLOOKUP(E819,'SF Churn Data'!E:R,14,0),"")</f>
        <v/>
      </c>
    </row>
    <row r="820" hidden="1">
      <c r="A820" s="11" t="s">
        <v>282</v>
      </c>
      <c r="B820" s="11" t="s">
        <v>44</v>
      </c>
      <c r="C820" s="11" t="s">
        <v>113</v>
      </c>
      <c r="D820" s="11" t="s">
        <v>2927</v>
      </c>
      <c r="E820" s="11" t="s">
        <v>2928</v>
      </c>
      <c r="F820" s="11" t="s">
        <v>2487</v>
      </c>
      <c r="G820" s="11">
        <v>12.3</v>
      </c>
      <c r="H820" s="11" t="s">
        <v>56</v>
      </c>
      <c r="I820" s="12">
        <v>4188.0</v>
      </c>
      <c r="J820" s="12">
        <v>5050.0</v>
      </c>
      <c r="K820" s="11">
        <v>5050.0</v>
      </c>
      <c r="L820" s="11"/>
      <c r="M820" s="11"/>
      <c r="N820" s="11"/>
      <c r="O820" s="11" t="s">
        <v>41</v>
      </c>
      <c r="P820" s="11" t="s">
        <v>63</v>
      </c>
      <c r="Q820" s="13" t="str">
        <f>IFERROR(VLOOKUP(E820,'SF Churn Data'!E:R,14,0),"")</f>
        <v/>
      </c>
    </row>
    <row r="821" hidden="1">
      <c r="A821" s="11" t="s">
        <v>282</v>
      </c>
      <c r="B821" s="11" t="s">
        <v>44</v>
      </c>
      <c r="C821" s="11" t="s">
        <v>64</v>
      </c>
      <c r="D821" s="11" t="s">
        <v>2929</v>
      </c>
      <c r="E821" s="11" t="s">
        <v>2930</v>
      </c>
      <c r="F821" s="11" t="s">
        <v>2487</v>
      </c>
      <c r="G821" s="11">
        <v>16.95</v>
      </c>
      <c r="H821" s="11" t="s">
        <v>120</v>
      </c>
      <c r="I821" s="12">
        <v>5767.0</v>
      </c>
      <c r="J821" s="12">
        <v>6950.0</v>
      </c>
      <c r="K821" s="12">
        <v>7000.0</v>
      </c>
      <c r="L821" s="11"/>
      <c r="M821" s="11"/>
      <c r="N821" s="11"/>
      <c r="O821" s="11" t="s">
        <v>57</v>
      </c>
      <c r="P821" s="11" t="s">
        <v>63</v>
      </c>
      <c r="Q821" s="13" t="str">
        <f>IFERROR(VLOOKUP(E821,'SF Churn Data'!E:R,14,0),"")</f>
        <v/>
      </c>
    </row>
    <row r="822" hidden="1">
      <c r="A822" s="11" t="s">
        <v>282</v>
      </c>
      <c r="B822" s="11" t="s">
        <v>44</v>
      </c>
      <c r="C822" s="11" t="s">
        <v>76</v>
      </c>
      <c r="D822" s="11" t="s">
        <v>2931</v>
      </c>
      <c r="E822" s="11" t="s">
        <v>2932</v>
      </c>
      <c r="F822" s="11" t="s">
        <v>2487</v>
      </c>
      <c r="G822" s="11">
        <v>19.21</v>
      </c>
      <c r="H822" s="11" t="s">
        <v>168</v>
      </c>
      <c r="I822" s="12">
        <v>6499.0</v>
      </c>
      <c r="J822" s="12">
        <v>7800.0</v>
      </c>
      <c r="K822" s="12">
        <v>7800.0</v>
      </c>
      <c r="L822" s="11"/>
      <c r="M822" s="11"/>
      <c r="N822" s="11"/>
      <c r="O822" s="11" t="s">
        <v>57</v>
      </c>
      <c r="P822" s="11" t="s">
        <v>63</v>
      </c>
      <c r="Q822" s="13" t="str">
        <f>IFERROR(VLOOKUP(E822,'SF Churn Data'!E:R,14,0),"")</f>
        <v/>
      </c>
    </row>
    <row r="823" hidden="1">
      <c r="A823" s="11" t="s">
        <v>216</v>
      </c>
      <c r="B823" s="11" t="s">
        <v>44</v>
      </c>
      <c r="C823" s="11" t="s">
        <v>133</v>
      </c>
      <c r="D823" s="11" t="s">
        <v>2933</v>
      </c>
      <c r="E823" s="11" t="s">
        <v>2934</v>
      </c>
      <c r="F823" s="11" t="s">
        <v>2487</v>
      </c>
      <c r="G823" s="11">
        <v>14.46</v>
      </c>
      <c r="H823" s="11" t="s">
        <v>56</v>
      </c>
      <c r="I823" s="12">
        <v>5323.0</v>
      </c>
      <c r="J823" s="12">
        <v>7500.0</v>
      </c>
      <c r="K823" s="12">
        <v>6450.0</v>
      </c>
      <c r="L823" s="11"/>
      <c r="M823" s="11"/>
      <c r="N823" s="11"/>
      <c r="O823" s="11" t="s">
        <v>83</v>
      </c>
      <c r="P823" s="11" t="s">
        <v>42</v>
      </c>
      <c r="Q823" s="13" t="str">
        <f>IFERROR(VLOOKUP(E823,'SF Churn Data'!E:R,14,0),"")</f>
        <v/>
      </c>
    </row>
    <row r="824" hidden="1">
      <c r="A824" s="11" t="s">
        <v>282</v>
      </c>
      <c r="B824" s="11" t="s">
        <v>44</v>
      </c>
      <c r="C824" s="11" t="s">
        <v>53</v>
      </c>
      <c r="D824" s="11" t="s">
        <v>2935</v>
      </c>
      <c r="E824" s="11" t="s">
        <v>2936</v>
      </c>
      <c r="F824" s="11" t="s">
        <v>2487</v>
      </c>
      <c r="G824" s="11">
        <v>15.96</v>
      </c>
      <c r="H824" s="11" t="s">
        <v>56</v>
      </c>
      <c r="I824" s="12">
        <v>4851.0</v>
      </c>
      <c r="J824" s="12">
        <v>5850.0</v>
      </c>
      <c r="K824" s="11">
        <v>5900.0</v>
      </c>
      <c r="L824" s="11"/>
      <c r="M824" s="11"/>
      <c r="N824" s="11"/>
      <c r="O824" s="11" t="s">
        <v>57</v>
      </c>
      <c r="P824" s="11" t="s">
        <v>63</v>
      </c>
      <c r="Q824" s="13" t="str">
        <f>IFERROR(VLOOKUP(E824,'SF Churn Data'!E:R,14,0),"")</f>
        <v/>
      </c>
    </row>
    <row r="825" hidden="1">
      <c r="A825" s="11" t="s">
        <v>282</v>
      </c>
      <c r="B825" s="11" t="s">
        <v>44</v>
      </c>
      <c r="C825" s="11" t="s">
        <v>133</v>
      </c>
      <c r="D825" s="11" t="s">
        <v>2937</v>
      </c>
      <c r="E825" s="11" t="s">
        <v>2938</v>
      </c>
      <c r="F825" s="11" t="s">
        <v>2487</v>
      </c>
      <c r="G825" s="11">
        <v>14.78</v>
      </c>
      <c r="H825" s="11" t="s">
        <v>56</v>
      </c>
      <c r="I825" s="12">
        <v>4851.0</v>
      </c>
      <c r="J825" s="12">
        <v>5850.0</v>
      </c>
      <c r="K825" s="11">
        <v>5900.0</v>
      </c>
      <c r="L825" s="11"/>
      <c r="M825" s="11"/>
      <c r="N825" s="11"/>
      <c r="O825" s="11" t="s">
        <v>57</v>
      </c>
      <c r="P825" s="11" t="s">
        <v>63</v>
      </c>
      <c r="Q825" s="13" t="str">
        <f>IFERROR(VLOOKUP(E825,'SF Churn Data'!E:R,14,0),"")</f>
        <v/>
      </c>
    </row>
    <row r="826" hidden="1">
      <c r="A826" s="11" t="s">
        <v>282</v>
      </c>
      <c r="B826" s="11" t="s">
        <v>44</v>
      </c>
      <c r="C826" s="11" t="s">
        <v>113</v>
      </c>
      <c r="D826" s="11" t="s">
        <v>2939</v>
      </c>
      <c r="E826" s="11" t="s">
        <v>2940</v>
      </c>
      <c r="F826" s="11" t="s">
        <v>2487</v>
      </c>
      <c r="G826" s="11">
        <v>12.39</v>
      </c>
      <c r="H826" s="11" t="s">
        <v>56</v>
      </c>
      <c r="I826" s="12">
        <v>4188.0</v>
      </c>
      <c r="J826" s="12">
        <v>5050.0</v>
      </c>
      <c r="K826" s="11">
        <v>5050.0</v>
      </c>
      <c r="L826" s="11"/>
      <c r="M826" s="11"/>
      <c r="N826" s="11"/>
      <c r="O826" s="11" t="s">
        <v>41</v>
      </c>
      <c r="P826" s="11" t="s">
        <v>63</v>
      </c>
      <c r="Q826" s="13" t="str">
        <f>IFERROR(VLOOKUP(E826,'SF Churn Data'!E:R,14,0),"")</f>
        <v/>
      </c>
    </row>
    <row r="827" hidden="1">
      <c r="A827" s="11" t="s">
        <v>35</v>
      </c>
      <c r="B827" s="11" t="s">
        <v>44</v>
      </c>
      <c r="C827" s="11" t="s">
        <v>133</v>
      </c>
      <c r="D827" s="11" t="s">
        <v>2941</v>
      </c>
      <c r="E827" s="11" t="s">
        <v>2942</v>
      </c>
      <c r="F827" s="11" t="s">
        <v>2487</v>
      </c>
      <c r="G827" s="11">
        <v>14.66</v>
      </c>
      <c r="H827" s="11" t="s">
        <v>56</v>
      </c>
      <c r="I827" s="12">
        <v>5436.0</v>
      </c>
      <c r="J827" s="12">
        <v>7350.0</v>
      </c>
      <c r="K827" s="11">
        <v>6550.0</v>
      </c>
      <c r="L827" s="11"/>
      <c r="M827" s="11"/>
      <c r="N827" s="11"/>
      <c r="O827" s="11" t="s">
        <v>41</v>
      </c>
      <c r="P827" s="11" t="s">
        <v>42</v>
      </c>
      <c r="Q827" s="13" t="str">
        <f>IFERROR(VLOOKUP(E827,'SF Churn Data'!E:R,14,0),"")</f>
        <v/>
      </c>
    </row>
    <row r="828" hidden="1">
      <c r="A828" s="11" t="s">
        <v>35</v>
      </c>
      <c r="B828" s="11" t="s">
        <v>44</v>
      </c>
      <c r="C828" s="11" t="s">
        <v>64</v>
      </c>
      <c r="D828" s="11" t="s">
        <v>2943</v>
      </c>
      <c r="E828" s="11" t="s">
        <v>2944</v>
      </c>
      <c r="F828" s="11" t="s">
        <v>2487</v>
      </c>
      <c r="G828" s="11">
        <v>19.28</v>
      </c>
      <c r="H828" s="11" t="s">
        <v>168</v>
      </c>
      <c r="I828" s="12">
        <v>6648.0</v>
      </c>
      <c r="J828" s="12">
        <v>9000.0</v>
      </c>
      <c r="K828" s="11">
        <v>8000.0</v>
      </c>
      <c r="L828" s="11"/>
      <c r="M828" s="11"/>
      <c r="N828" s="11"/>
      <c r="O828" s="11" t="s">
        <v>41</v>
      </c>
      <c r="P828" s="11" t="s">
        <v>42</v>
      </c>
      <c r="Q828" s="13" t="str">
        <f>IFERROR(VLOOKUP(E828,'SF Churn Data'!E:R,14,0),"")</f>
        <v/>
      </c>
    </row>
    <row r="829" hidden="1">
      <c r="A829" s="11" t="s">
        <v>35</v>
      </c>
      <c r="B829" s="11" t="s">
        <v>44</v>
      </c>
      <c r="C829" s="11" t="s">
        <v>133</v>
      </c>
      <c r="D829" s="11" t="s">
        <v>2945</v>
      </c>
      <c r="E829" s="11" t="s">
        <v>2946</v>
      </c>
      <c r="F829" s="11" t="s">
        <v>2487</v>
      </c>
      <c r="G829" s="11">
        <v>14.46</v>
      </c>
      <c r="H829" s="11" t="s">
        <v>56</v>
      </c>
      <c r="I829" s="12">
        <v>5436.0</v>
      </c>
      <c r="J829" s="12">
        <v>7350.0</v>
      </c>
      <c r="K829" s="11">
        <v>6550.0</v>
      </c>
      <c r="L829" s="11"/>
      <c r="M829" s="11"/>
      <c r="N829" s="11"/>
      <c r="O829" s="11" t="s">
        <v>57</v>
      </c>
      <c r="P829" s="11" t="s">
        <v>42</v>
      </c>
      <c r="Q829" s="13" t="str">
        <f>IFERROR(VLOOKUP(E829,'SF Churn Data'!E:R,14,0),"")</f>
        <v/>
      </c>
    </row>
    <row r="830" hidden="1">
      <c r="A830" s="11" t="s">
        <v>125</v>
      </c>
      <c r="B830" s="11" t="s">
        <v>44</v>
      </c>
      <c r="C830" s="11" t="s">
        <v>53</v>
      </c>
      <c r="D830" s="11" t="s">
        <v>2947</v>
      </c>
      <c r="E830" s="11" t="s">
        <v>2948</v>
      </c>
      <c r="F830" s="11" t="s">
        <v>2487</v>
      </c>
      <c r="G830" s="11">
        <v>15.66</v>
      </c>
      <c r="H830" s="11" t="s">
        <v>56</v>
      </c>
      <c r="I830" s="12">
        <v>2948.0</v>
      </c>
      <c r="J830" s="12">
        <v>2550.0</v>
      </c>
      <c r="K830" s="11">
        <v>2700.0</v>
      </c>
      <c r="L830" s="11"/>
      <c r="M830" s="11"/>
      <c r="N830" s="11"/>
      <c r="O830" s="11" t="s">
        <v>57</v>
      </c>
      <c r="P830" s="11"/>
      <c r="Q830" s="13" t="str">
        <f>IFERROR(VLOOKUP(E830,'SF Churn Data'!E:R,14,0),"")</f>
        <v/>
      </c>
    </row>
    <row r="831" hidden="1">
      <c r="A831" s="11" t="s">
        <v>125</v>
      </c>
      <c r="B831" s="11" t="s">
        <v>44</v>
      </c>
      <c r="C831" s="11" t="s">
        <v>113</v>
      </c>
      <c r="D831" s="11" t="s">
        <v>2949</v>
      </c>
      <c r="E831" s="11" t="s">
        <v>2950</v>
      </c>
      <c r="F831" s="11" t="s">
        <v>2487</v>
      </c>
      <c r="G831" s="11">
        <v>12.28</v>
      </c>
      <c r="H831" s="11" t="s">
        <v>116</v>
      </c>
      <c r="I831" s="12">
        <v>2376.0</v>
      </c>
      <c r="J831" s="12">
        <v>2050.0</v>
      </c>
      <c r="K831" s="12">
        <v>4200.0</v>
      </c>
      <c r="L831" s="11"/>
      <c r="M831" s="11"/>
      <c r="N831" s="11"/>
      <c r="O831" s="11" t="s">
        <v>57</v>
      </c>
      <c r="P831" s="11"/>
      <c r="Q831" s="13" t="str">
        <f>IFERROR(VLOOKUP(E831,'SF Churn Data'!E:R,14,0),"")</f>
        <v/>
      </c>
    </row>
    <row r="832" hidden="1">
      <c r="A832" s="11" t="s">
        <v>125</v>
      </c>
      <c r="B832" s="11" t="s">
        <v>45</v>
      </c>
      <c r="C832" s="11" t="s">
        <v>45</v>
      </c>
      <c r="D832" s="11" t="s">
        <v>2951</v>
      </c>
      <c r="E832" s="11" t="s">
        <v>2952</v>
      </c>
      <c r="F832" s="11" t="s">
        <v>2487</v>
      </c>
      <c r="G832" s="11">
        <v>9.42</v>
      </c>
      <c r="H832" s="11" t="s">
        <v>45</v>
      </c>
      <c r="I832" s="12">
        <v>1995.0</v>
      </c>
      <c r="J832" s="12">
        <v>1700.0</v>
      </c>
      <c r="K832" s="12">
        <v>3300.0</v>
      </c>
      <c r="L832" s="11"/>
      <c r="M832" s="11"/>
      <c r="N832" s="11"/>
      <c r="O832" s="11" t="s">
        <v>57</v>
      </c>
      <c r="P832" s="11"/>
      <c r="Q832" s="13" t="str">
        <f>IFERROR(VLOOKUP(E832,'SF Churn Data'!E:R,14,0),"")</f>
        <v/>
      </c>
    </row>
    <row r="833" hidden="1">
      <c r="A833" s="11" t="s">
        <v>364</v>
      </c>
      <c r="B833" s="11" t="s">
        <v>44</v>
      </c>
      <c r="C833" s="11" t="s">
        <v>53</v>
      </c>
      <c r="D833" s="11" t="s">
        <v>2953</v>
      </c>
      <c r="E833" s="11" t="s">
        <v>2954</v>
      </c>
      <c r="F833" s="11" t="s">
        <v>2487</v>
      </c>
      <c r="G833" s="11">
        <v>16.21</v>
      </c>
      <c r="H833" s="11" t="s">
        <v>56</v>
      </c>
      <c r="I833" s="12">
        <v>4125.0</v>
      </c>
      <c r="J833" s="12">
        <v>4150.0</v>
      </c>
      <c r="K833" s="11">
        <v>5000.0</v>
      </c>
      <c r="L833" s="11"/>
      <c r="M833" s="11"/>
      <c r="N833" s="11"/>
      <c r="O833" s="11" t="s">
        <v>41</v>
      </c>
      <c r="P833" s="11" t="s">
        <v>369</v>
      </c>
      <c r="Q833" s="13" t="str">
        <f>IFERROR(VLOOKUP(E833,'SF Churn Data'!E:R,14,0),"")</f>
        <v/>
      </c>
    </row>
    <row r="834" hidden="1">
      <c r="A834" s="11" t="s">
        <v>364</v>
      </c>
      <c r="B834" s="11" t="s">
        <v>44</v>
      </c>
      <c r="C834" s="11" t="s">
        <v>64</v>
      </c>
      <c r="D834" s="11" t="s">
        <v>2955</v>
      </c>
      <c r="E834" s="11" t="s">
        <v>2956</v>
      </c>
      <c r="F834" s="11" t="s">
        <v>2487</v>
      </c>
      <c r="G834" s="11">
        <v>17.14</v>
      </c>
      <c r="H834" s="11" t="s">
        <v>120</v>
      </c>
      <c r="I834" s="12">
        <v>4650.0</v>
      </c>
      <c r="J834" s="12">
        <v>4650.0</v>
      </c>
      <c r="K834" s="12">
        <v>5400.0</v>
      </c>
      <c r="L834" s="11"/>
      <c r="M834" s="11"/>
      <c r="N834" s="11"/>
      <c r="O834" s="11" t="s">
        <v>41</v>
      </c>
      <c r="P834" s="11" t="s">
        <v>369</v>
      </c>
      <c r="Q834" s="13" t="str">
        <f>IFERROR(VLOOKUP(E834,'SF Churn Data'!E:R,14,0),"")</f>
        <v/>
      </c>
    </row>
    <row r="835" hidden="1">
      <c r="A835" s="11" t="s">
        <v>43</v>
      </c>
      <c r="B835" s="11" t="s">
        <v>44</v>
      </c>
      <c r="C835" s="11" t="s">
        <v>53</v>
      </c>
      <c r="D835" s="11" t="s">
        <v>2957</v>
      </c>
      <c r="E835" s="11" t="s">
        <v>2958</v>
      </c>
      <c r="F835" s="11" t="s">
        <v>2959</v>
      </c>
      <c r="G835" s="11">
        <v>15.08</v>
      </c>
      <c r="H835" s="11" t="s">
        <v>56</v>
      </c>
      <c r="I835" s="12">
        <v>6400.0</v>
      </c>
      <c r="J835" s="12">
        <v>7700.0</v>
      </c>
      <c r="K835" s="11"/>
      <c r="L835" s="11"/>
      <c r="M835" s="11"/>
      <c r="N835" s="11"/>
      <c r="O835" s="11" t="s">
        <v>57</v>
      </c>
      <c r="P835" s="11" t="s">
        <v>48</v>
      </c>
      <c r="Q835" s="13" t="str">
        <f>IFERROR(VLOOKUP(E835,'SF Churn Data'!E:R,14,0),"")</f>
        <v/>
      </c>
    </row>
    <row r="836" hidden="1">
      <c r="A836" s="11" t="s">
        <v>43</v>
      </c>
      <c r="B836" s="11" t="s">
        <v>44</v>
      </c>
      <c r="C836" s="11" t="s">
        <v>64</v>
      </c>
      <c r="D836" s="11" t="s">
        <v>2960</v>
      </c>
      <c r="E836" s="11" t="s">
        <v>2961</v>
      </c>
      <c r="F836" s="11" t="s">
        <v>2959</v>
      </c>
      <c r="G836" s="11">
        <v>17.12</v>
      </c>
      <c r="H836" s="11" t="s">
        <v>120</v>
      </c>
      <c r="I836" s="12">
        <v>6800.0</v>
      </c>
      <c r="J836" s="12">
        <v>8200.0</v>
      </c>
      <c r="K836" s="12"/>
      <c r="L836" s="11"/>
      <c r="M836" s="11"/>
      <c r="N836" s="11"/>
      <c r="O836" s="11" t="s">
        <v>57</v>
      </c>
      <c r="P836" s="11" t="s">
        <v>48</v>
      </c>
      <c r="Q836" s="13" t="str">
        <f>IFERROR(VLOOKUP(E836,'SF Churn Data'!E:R,14,0),"")</f>
        <v/>
      </c>
    </row>
    <row r="837" hidden="1">
      <c r="A837" s="11" t="s">
        <v>43</v>
      </c>
      <c r="B837" s="11" t="s">
        <v>44</v>
      </c>
      <c r="C837" s="11" t="s">
        <v>53</v>
      </c>
      <c r="D837" s="11" t="s">
        <v>2962</v>
      </c>
      <c r="E837" s="11" t="s">
        <v>2963</v>
      </c>
      <c r="F837" s="11" t="s">
        <v>2959</v>
      </c>
      <c r="G837" s="11">
        <v>15.57</v>
      </c>
      <c r="H837" s="11" t="s">
        <v>56</v>
      </c>
      <c r="I837" s="12">
        <v>6400.0</v>
      </c>
      <c r="J837" s="12">
        <v>7700.0</v>
      </c>
      <c r="K837" s="11"/>
      <c r="L837" s="11"/>
      <c r="M837" s="11"/>
      <c r="N837" s="11"/>
      <c r="O837" s="11" t="s">
        <v>57</v>
      </c>
      <c r="P837" s="11" t="s">
        <v>48</v>
      </c>
      <c r="Q837" s="13" t="str">
        <f>IFERROR(VLOOKUP(E837,'SF Churn Data'!E:R,14,0),"")</f>
        <v/>
      </c>
    </row>
    <row r="838" hidden="1">
      <c r="A838" s="11" t="s">
        <v>43</v>
      </c>
      <c r="B838" s="11" t="s">
        <v>44</v>
      </c>
      <c r="C838" s="11" t="s">
        <v>64</v>
      </c>
      <c r="D838" s="11" t="s">
        <v>2964</v>
      </c>
      <c r="E838" s="11" t="s">
        <v>2965</v>
      </c>
      <c r="F838" s="11" t="s">
        <v>2959</v>
      </c>
      <c r="G838" s="11">
        <v>17.03</v>
      </c>
      <c r="H838" s="11" t="s">
        <v>120</v>
      </c>
      <c r="I838" s="12">
        <v>6800.0</v>
      </c>
      <c r="J838" s="12">
        <v>8200.0</v>
      </c>
      <c r="K838" s="12"/>
      <c r="L838" s="11"/>
      <c r="M838" s="11"/>
      <c r="N838" s="11"/>
      <c r="O838" s="11" t="s">
        <v>57</v>
      </c>
      <c r="P838" s="11" t="s">
        <v>48</v>
      </c>
      <c r="Q838" s="13" t="str">
        <f>IFERROR(VLOOKUP(E838,'SF Churn Data'!E:R,14,0),"")</f>
        <v/>
      </c>
    </row>
    <row r="839" hidden="1">
      <c r="A839" s="11" t="s">
        <v>43</v>
      </c>
      <c r="B839" s="11" t="s">
        <v>44</v>
      </c>
      <c r="C839" s="11" t="s">
        <v>53</v>
      </c>
      <c r="D839" s="11" t="s">
        <v>2966</v>
      </c>
      <c r="E839" s="11" t="s">
        <v>2967</v>
      </c>
      <c r="F839" s="11" t="s">
        <v>2959</v>
      </c>
      <c r="G839" s="11">
        <v>15.05</v>
      </c>
      <c r="H839" s="11" t="s">
        <v>56</v>
      </c>
      <c r="I839" s="12">
        <v>6400.0</v>
      </c>
      <c r="J839" s="12">
        <v>7700.0</v>
      </c>
      <c r="K839" s="12"/>
      <c r="L839" s="11"/>
      <c r="M839" s="11"/>
      <c r="N839" s="11"/>
      <c r="O839" s="11" t="s">
        <v>57</v>
      </c>
      <c r="P839" s="11" t="s">
        <v>48</v>
      </c>
      <c r="Q839" s="13" t="str">
        <f>IFERROR(VLOOKUP(E839,'SF Churn Data'!E:R,14,0),"")</f>
        <v/>
      </c>
    </row>
    <row r="840" hidden="1">
      <c r="A840" s="11" t="s">
        <v>125</v>
      </c>
      <c r="B840" s="11" t="s">
        <v>44</v>
      </c>
      <c r="C840" s="11" t="s">
        <v>76</v>
      </c>
      <c r="D840" s="11" t="s">
        <v>2968</v>
      </c>
      <c r="E840" s="11" t="s">
        <v>2969</v>
      </c>
      <c r="F840" s="11" t="s">
        <v>2959</v>
      </c>
      <c r="G840" s="11">
        <v>19.36</v>
      </c>
      <c r="H840" s="11" t="s">
        <v>120</v>
      </c>
      <c r="I840" s="12">
        <v>3229.0</v>
      </c>
      <c r="J840" s="12">
        <v>2750.0</v>
      </c>
      <c r="K840" s="12"/>
      <c r="L840" s="11"/>
      <c r="M840" s="11"/>
      <c r="N840" s="11"/>
      <c r="O840" s="11" t="s">
        <v>83</v>
      </c>
      <c r="P840" s="11"/>
      <c r="Q840" s="13" t="str">
        <f>IFERROR(VLOOKUP(E840,'SF Churn Data'!E:R,14,0),"")</f>
        <v/>
      </c>
    </row>
    <row r="841" hidden="1">
      <c r="A841" s="11" t="s">
        <v>125</v>
      </c>
      <c r="B841" s="11" t="s">
        <v>44</v>
      </c>
      <c r="C841" s="11" t="s">
        <v>53</v>
      </c>
      <c r="D841" s="11" t="s">
        <v>2970</v>
      </c>
      <c r="E841" s="11" t="s">
        <v>2971</v>
      </c>
      <c r="F841" s="11" t="s">
        <v>2959</v>
      </c>
      <c r="G841" s="11">
        <v>15.12</v>
      </c>
      <c r="H841" s="11" t="s">
        <v>56</v>
      </c>
      <c r="I841" s="12">
        <v>2948.0</v>
      </c>
      <c r="J841" s="12">
        <v>2550.0</v>
      </c>
      <c r="K841" s="11">
        <v>3900.0</v>
      </c>
      <c r="L841" s="11"/>
      <c r="M841" s="11"/>
      <c r="N841" s="11"/>
      <c r="O841" s="11" t="s">
        <v>83</v>
      </c>
      <c r="P841" s="11"/>
      <c r="Q841" s="13" t="str">
        <f>IFERROR(VLOOKUP(E841,'SF Churn Data'!E:R,14,0),"")</f>
        <v/>
      </c>
    </row>
    <row r="842" hidden="1">
      <c r="A842" s="11" t="s">
        <v>125</v>
      </c>
      <c r="B842" s="11" t="s">
        <v>44</v>
      </c>
      <c r="C842" s="11" t="s">
        <v>113</v>
      </c>
      <c r="D842" s="11" t="s">
        <v>2972</v>
      </c>
      <c r="E842" s="11" t="s">
        <v>2973</v>
      </c>
      <c r="F842" s="11" t="s">
        <v>2959</v>
      </c>
      <c r="G842" s="11">
        <v>10.69</v>
      </c>
      <c r="H842" s="11" t="s">
        <v>116</v>
      </c>
      <c r="I842" s="12">
        <v>2376.0</v>
      </c>
      <c r="J842" s="12">
        <v>2050.0</v>
      </c>
      <c r="K842" s="11">
        <v>4750.0</v>
      </c>
      <c r="L842" s="11"/>
      <c r="M842" s="11"/>
      <c r="N842" s="11"/>
      <c r="O842" s="11" t="s">
        <v>57</v>
      </c>
      <c r="P842" s="11"/>
      <c r="Q842" s="13" t="str">
        <f>IFERROR(VLOOKUP(E842,'SF Churn Data'!E:R,14,0),"")</f>
        <v/>
      </c>
    </row>
    <row r="843" hidden="1">
      <c r="A843" s="11" t="s">
        <v>125</v>
      </c>
      <c r="B843" s="11" t="s">
        <v>44</v>
      </c>
      <c r="C843" s="11" t="s">
        <v>133</v>
      </c>
      <c r="D843" s="11" t="s">
        <v>2974</v>
      </c>
      <c r="E843" s="11" t="s">
        <v>2975</v>
      </c>
      <c r="F843" s="11" t="s">
        <v>2959</v>
      </c>
      <c r="G843" s="11">
        <v>13.03</v>
      </c>
      <c r="H843" s="11" t="s">
        <v>56</v>
      </c>
      <c r="I843" s="12">
        <v>2753.0</v>
      </c>
      <c r="J843" s="12">
        <v>2350.0</v>
      </c>
      <c r="K843" s="11">
        <v>4200.0</v>
      </c>
      <c r="L843" s="11"/>
      <c r="M843" s="11"/>
      <c r="N843" s="11"/>
      <c r="O843" s="11" t="s">
        <v>57</v>
      </c>
      <c r="P843" s="11"/>
      <c r="Q843" s="13" t="str">
        <f>IFERROR(VLOOKUP(E843,'SF Churn Data'!E:R,14,0),"")</f>
        <v/>
      </c>
    </row>
    <row r="844" hidden="1">
      <c r="A844" s="11" t="s">
        <v>125</v>
      </c>
      <c r="B844" s="11" t="s">
        <v>44</v>
      </c>
      <c r="C844" s="11" t="s">
        <v>53</v>
      </c>
      <c r="D844" s="11" t="s">
        <v>2976</v>
      </c>
      <c r="E844" s="11" t="s">
        <v>2977</v>
      </c>
      <c r="F844" s="11" t="s">
        <v>2959</v>
      </c>
      <c r="G844" s="11">
        <v>15.27</v>
      </c>
      <c r="H844" s="11" t="s">
        <v>56</v>
      </c>
      <c r="I844" s="12">
        <v>2948.0</v>
      </c>
      <c r="J844" s="12">
        <v>2550.0</v>
      </c>
      <c r="K844" s="12">
        <v>3300.0</v>
      </c>
      <c r="L844" s="11"/>
      <c r="M844" s="11"/>
      <c r="N844" s="11"/>
      <c r="O844" s="11" t="s">
        <v>83</v>
      </c>
      <c r="P844" s="11"/>
      <c r="Q844" s="13" t="str">
        <f>IFERROR(VLOOKUP(E844,'SF Churn Data'!E:R,14,0),"")</f>
        <v/>
      </c>
    </row>
    <row r="845" hidden="1">
      <c r="A845" s="11" t="s">
        <v>125</v>
      </c>
      <c r="B845" s="11" t="s">
        <v>44</v>
      </c>
      <c r="C845" s="11" t="s">
        <v>133</v>
      </c>
      <c r="D845" s="11" t="s">
        <v>2978</v>
      </c>
      <c r="E845" s="11" t="s">
        <v>2979</v>
      </c>
      <c r="F845" s="11" t="s">
        <v>2959</v>
      </c>
      <c r="G845" s="11">
        <v>13.02</v>
      </c>
      <c r="H845" s="11" t="s">
        <v>56</v>
      </c>
      <c r="I845" s="12">
        <v>2753.0</v>
      </c>
      <c r="J845" s="12">
        <v>2350.0</v>
      </c>
      <c r="K845" s="11">
        <v>3550.0</v>
      </c>
      <c r="L845" s="11"/>
      <c r="M845" s="11"/>
      <c r="N845" s="11"/>
      <c r="O845" s="11" t="s">
        <v>57</v>
      </c>
      <c r="P845" s="11"/>
      <c r="Q845" s="13" t="str">
        <f>IFERROR(VLOOKUP(E845,'SF Churn Data'!E:R,14,0),"")</f>
        <v/>
      </c>
    </row>
    <row r="846" hidden="1">
      <c r="A846" s="11" t="s">
        <v>125</v>
      </c>
      <c r="B846" s="11" t="s">
        <v>36</v>
      </c>
      <c r="C846" s="11" t="s">
        <v>37</v>
      </c>
      <c r="D846" s="11" t="s">
        <v>2980</v>
      </c>
      <c r="E846" s="11" t="s">
        <v>2981</v>
      </c>
      <c r="F846" s="11" t="s">
        <v>2959</v>
      </c>
      <c r="G846" s="11">
        <v>45.37</v>
      </c>
      <c r="H846" s="11" t="s">
        <v>168</v>
      </c>
      <c r="I846" s="12">
        <v>4500.0</v>
      </c>
      <c r="J846" s="12">
        <v>3850.0</v>
      </c>
      <c r="K846" s="12">
        <v>2700.0</v>
      </c>
      <c r="L846" s="11"/>
      <c r="M846" s="11"/>
      <c r="N846" s="11"/>
      <c r="O846" s="11" t="s">
        <v>57</v>
      </c>
      <c r="P846" s="11"/>
      <c r="Q846" s="13" t="str">
        <f>IFERROR(VLOOKUP(E846,'SF Churn Data'!E:R,14,0),"")</f>
        <v/>
      </c>
    </row>
    <row r="847" hidden="1">
      <c r="A847" s="11"/>
      <c r="B847" s="11"/>
      <c r="C847" s="11"/>
      <c r="D847" s="11"/>
      <c r="E847" s="11"/>
      <c r="F847" s="11"/>
      <c r="G847" s="11"/>
      <c r="H847" s="11"/>
      <c r="I847" s="12"/>
      <c r="J847" s="12"/>
      <c r="K847" s="11"/>
      <c r="L847" s="11"/>
      <c r="M847" s="11"/>
      <c r="N847" s="11"/>
      <c r="O847" s="11"/>
      <c r="P847" s="11"/>
      <c r="Q847" s="13" t="str">
        <f>IFERROR(VLOOKUP(E847,'SF Churn Data'!E:R,14,0),"")</f>
        <v/>
      </c>
    </row>
    <row r="848" hidden="1">
      <c r="A848" s="11"/>
      <c r="B848" s="11"/>
      <c r="C848" s="11"/>
      <c r="D848" s="11"/>
      <c r="E848" s="11"/>
      <c r="F848" s="11"/>
      <c r="G848" s="11"/>
      <c r="H848" s="11"/>
      <c r="I848" s="12"/>
      <c r="J848" s="12"/>
      <c r="K848" s="12"/>
      <c r="L848" s="11"/>
      <c r="M848" s="11"/>
      <c r="N848" s="11"/>
      <c r="O848" s="11"/>
      <c r="P848" s="11"/>
      <c r="Q848" s="13" t="str">
        <f>IFERROR(VLOOKUP(E848,'SF Churn Data'!E:R,14,0),"")</f>
        <v/>
      </c>
    </row>
    <row r="849" hidden="1">
      <c r="A849" s="11"/>
      <c r="B849" s="11"/>
      <c r="C849" s="11"/>
      <c r="D849" s="11"/>
      <c r="E849" s="11"/>
      <c r="F849" s="11"/>
      <c r="G849" s="11"/>
      <c r="H849" s="11"/>
      <c r="I849" s="12"/>
      <c r="J849" s="12"/>
      <c r="K849" s="11"/>
      <c r="L849" s="11"/>
      <c r="M849" s="11"/>
      <c r="N849" s="11"/>
      <c r="O849" s="11"/>
      <c r="P849" s="11"/>
      <c r="Q849" s="13" t="str">
        <f>IFERROR(VLOOKUP(E849,'SF Churn Data'!E:R,14,0),"")</f>
        <v/>
      </c>
    </row>
    <row r="850" hidden="1">
      <c r="A850" s="11"/>
      <c r="B850" s="11"/>
      <c r="C850" s="11"/>
      <c r="D850" s="11"/>
      <c r="E850" s="11"/>
      <c r="F850" s="11"/>
      <c r="G850" s="11"/>
      <c r="H850" s="11"/>
      <c r="I850" s="12"/>
      <c r="J850" s="12"/>
      <c r="K850" s="12"/>
      <c r="L850" s="11"/>
      <c r="M850" s="11"/>
      <c r="N850" s="11"/>
      <c r="O850" s="11"/>
      <c r="P850" s="11"/>
      <c r="Q850" s="13" t="str">
        <f>IFERROR(VLOOKUP(E850,'SF Churn Data'!E:R,14,0),"")</f>
        <v/>
      </c>
    </row>
    <row r="851" hidden="1">
      <c r="A851" s="11"/>
      <c r="B851" s="11"/>
      <c r="C851" s="11"/>
      <c r="D851" s="11"/>
      <c r="E851" s="11"/>
      <c r="F851" s="11"/>
      <c r="G851" s="11"/>
      <c r="H851" s="11"/>
      <c r="I851" s="12"/>
      <c r="J851" s="12"/>
      <c r="K851" s="12"/>
      <c r="L851" s="11"/>
      <c r="M851" s="11"/>
      <c r="N851" s="11"/>
      <c r="O851" s="11"/>
      <c r="P851" s="11"/>
      <c r="Q851" s="13" t="str">
        <f>IFERROR(VLOOKUP(E851,'SF Churn Data'!E:R,14,0),"")</f>
        <v/>
      </c>
    </row>
    <row r="852" hidden="1">
      <c r="A852" s="11"/>
      <c r="B852" s="11"/>
      <c r="C852" s="11"/>
      <c r="D852" s="11"/>
      <c r="E852" s="11"/>
      <c r="F852" s="11"/>
      <c r="G852" s="11"/>
      <c r="H852" s="11"/>
      <c r="I852" s="12"/>
      <c r="J852" s="12"/>
      <c r="K852" s="12"/>
      <c r="L852" s="11"/>
      <c r="M852" s="11"/>
      <c r="N852" s="11"/>
      <c r="O852" s="11"/>
      <c r="P852" s="11"/>
      <c r="Q852" s="13" t="str">
        <f>IFERROR(VLOOKUP(E852,'SF Churn Data'!E:R,14,0),"")</f>
        <v/>
      </c>
    </row>
    <row r="853" hidden="1">
      <c r="A853" s="11"/>
      <c r="B853" s="11"/>
      <c r="C853" s="11"/>
      <c r="D853" s="11"/>
      <c r="E853" s="11"/>
      <c r="F853" s="11"/>
      <c r="G853" s="11"/>
      <c r="H853" s="11"/>
      <c r="I853" s="12"/>
      <c r="J853" s="12"/>
      <c r="K853" s="12"/>
      <c r="L853" s="11"/>
      <c r="M853" s="11"/>
      <c r="N853" s="11"/>
      <c r="O853" s="11"/>
      <c r="P853" s="11"/>
      <c r="Q853" s="13" t="str">
        <f>IFERROR(VLOOKUP(E853,'SF Churn Data'!E:R,14,0),"")</f>
        <v/>
      </c>
    </row>
    <row r="854" hidden="1">
      <c r="A854" s="11"/>
      <c r="B854" s="11"/>
      <c r="C854" s="11"/>
      <c r="D854" s="11"/>
      <c r="E854" s="11"/>
      <c r="F854" s="11"/>
      <c r="G854" s="11"/>
      <c r="H854" s="11"/>
      <c r="I854" s="12"/>
      <c r="J854" s="12"/>
      <c r="K854" s="11"/>
      <c r="L854" s="11"/>
      <c r="M854" s="11"/>
      <c r="N854" s="11"/>
      <c r="O854" s="11"/>
      <c r="P854" s="11"/>
      <c r="Q854" s="13" t="str">
        <f>IFERROR(VLOOKUP(E854,'SF Churn Data'!E:R,14,0),"")</f>
        <v/>
      </c>
    </row>
    <row r="855" hidden="1">
      <c r="A855" s="11"/>
      <c r="B855" s="11"/>
      <c r="C855" s="11"/>
      <c r="D855" s="11"/>
      <c r="E855" s="11"/>
      <c r="F855" s="11"/>
      <c r="G855" s="11"/>
      <c r="H855" s="11"/>
      <c r="I855" s="12"/>
      <c r="J855" s="12"/>
      <c r="K855" s="11"/>
      <c r="L855" s="11"/>
      <c r="M855" s="11"/>
      <c r="N855" s="11"/>
      <c r="O855" s="11"/>
      <c r="P855" s="11"/>
      <c r="Q855" s="13" t="str">
        <f>IFERROR(VLOOKUP(E855,'SF Churn Data'!E:R,14,0),"")</f>
        <v/>
      </c>
    </row>
    <row r="856" hidden="1">
      <c r="A856" s="11"/>
      <c r="B856" s="11"/>
      <c r="C856" s="11"/>
      <c r="D856" s="11"/>
      <c r="E856" s="11"/>
      <c r="F856" s="11"/>
      <c r="G856" s="11"/>
      <c r="H856" s="11"/>
      <c r="I856" s="12"/>
      <c r="J856" s="12"/>
      <c r="K856" s="12"/>
      <c r="L856" s="11"/>
      <c r="M856" s="11"/>
      <c r="N856" s="11"/>
      <c r="O856" s="11"/>
      <c r="P856" s="11"/>
      <c r="Q856" s="13" t="str">
        <f>IFERROR(VLOOKUP(E856,'SF Churn Data'!E:R,14,0),"")</f>
        <v/>
      </c>
    </row>
    <row r="857" hidden="1">
      <c r="A857" s="11"/>
      <c r="B857" s="11"/>
      <c r="C857" s="11"/>
      <c r="D857" s="11"/>
      <c r="E857" s="11"/>
      <c r="F857" s="11"/>
      <c r="G857" s="11"/>
      <c r="H857" s="11"/>
      <c r="I857" s="12"/>
      <c r="J857" s="12"/>
      <c r="K857" s="11"/>
      <c r="L857" s="11"/>
      <c r="M857" s="11"/>
      <c r="N857" s="11"/>
      <c r="O857" s="11"/>
      <c r="P857" s="11"/>
      <c r="Q857" s="13" t="str">
        <f>IFERROR(VLOOKUP(E857,'SF Churn Data'!E:R,14,0),"")</f>
        <v/>
      </c>
    </row>
    <row r="858" hidden="1">
      <c r="A858" s="11"/>
      <c r="B858" s="11"/>
      <c r="C858" s="11"/>
      <c r="D858" s="11"/>
      <c r="E858" s="11"/>
      <c r="F858" s="11"/>
      <c r="G858" s="11"/>
      <c r="H858" s="11"/>
      <c r="I858" s="12"/>
      <c r="J858" s="12"/>
      <c r="K858" s="11"/>
      <c r="L858" s="11"/>
      <c r="M858" s="11"/>
      <c r="N858" s="11"/>
      <c r="O858" s="11"/>
      <c r="P858" s="11"/>
      <c r="Q858" s="13" t="str">
        <f>IFERROR(VLOOKUP(E858,'SF Churn Data'!E:R,14,0),"")</f>
        <v/>
      </c>
    </row>
    <row r="859" hidden="1">
      <c r="A859" s="11"/>
      <c r="B859" s="11"/>
      <c r="C859" s="11"/>
      <c r="D859" s="11"/>
      <c r="E859" s="11"/>
      <c r="F859" s="11"/>
      <c r="G859" s="11"/>
      <c r="H859" s="11"/>
      <c r="I859" s="12"/>
      <c r="J859" s="12"/>
      <c r="K859" s="12"/>
      <c r="L859" s="11"/>
      <c r="M859" s="11"/>
      <c r="N859" s="11"/>
      <c r="O859" s="11"/>
      <c r="P859" s="11"/>
      <c r="Q859" s="13" t="str">
        <f>IFERROR(VLOOKUP(E859,'SF Churn Data'!E:R,14,0),"")</f>
        <v/>
      </c>
    </row>
    <row r="860" hidden="1">
      <c r="A860" s="11"/>
      <c r="B860" s="11"/>
      <c r="C860" s="11"/>
      <c r="D860" s="11"/>
      <c r="E860" s="11"/>
      <c r="F860" s="11"/>
      <c r="G860" s="11"/>
      <c r="H860" s="11"/>
      <c r="I860" s="12"/>
      <c r="J860" s="12"/>
      <c r="K860" s="11"/>
      <c r="L860" s="11"/>
      <c r="M860" s="11"/>
      <c r="N860" s="11"/>
      <c r="O860" s="11"/>
      <c r="P860" s="11"/>
      <c r="Q860" s="13" t="str">
        <f>IFERROR(VLOOKUP(E860,'SF Churn Data'!E:R,14,0),"")</f>
        <v/>
      </c>
    </row>
    <row r="861" hidden="1">
      <c r="A861" s="11"/>
      <c r="B861" s="11"/>
      <c r="C861" s="11"/>
      <c r="D861" s="11"/>
      <c r="E861" s="11"/>
      <c r="F861" s="11"/>
      <c r="G861" s="11"/>
      <c r="H861" s="11"/>
      <c r="I861" s="12"/>
      <c r="J861" s="12"/>
      <c r="K861" s="12"/>
      <c r="L861" s="11"/>
      <c r="M861" s="11"/>
      <c r="N861" s="11"/>
      <c r="O861" s="11"/>
      <c r="P861" s="11"/>
      <c r="Q861" s="13" t="str">
        <f>IFERROR(VLOOKUP(E861,'SF Churn Data'!E:R,14,0),"")</f>
        <v/>
      </c>
    </row>
    <row r="862" hidden="1">
      <c r="A862" s="11"/>
      <c r="B862" s="11"/>
      <c r="C862" s="11"/>
      <c r="D862" s="11"/>
      <c r="E862" s="11"/>
      <c r="F862" s="11"/>
      <c r="G862" s="11"/>
      <c r="H862" s="11"/>
      <c r="I862" s="12"/>
      <c r="J862" s="12"/>
      <c r="K862" s="11"/>
      <c r="L862" s="11"/>
      <c r="M862" s="11"/>
      <c r="N862" s="11"/>
      <c r="O862" s="11"/>
      <c r="P862" s="11"/>
      <c r="Q862" s="13" t="str">
        <f>IFERROR(VLOOKUP(E862,'SF Churn Data'!E:R,14,0),"")</f>
        <v/>
      </c>
    </row>
    <row r="863" hidden="1">
      <c r="A863" s="11"/>
      <c r="B863" s="11"/>
      <c r="C863" s="11"/>
      <c r="D863" s="11"/>
      <c r="E863" s="11"/>
      <c r="F863" s="11"/>
      <c r="G863" s="11"/>
      <c r="H863" s="11"/>
      <c r="I863" s="12"/>
      <c r="J863" s="12"/>
      <c r="K863" s="12"/>
      <c r="L863" s="11"/>
      <c r="M863" s="11"/>
      <c r="N863" s="11"/>
      <c r="O863" s="11"/>
      <c r="P863" s="11"/>
      <c r="Q863" s="13" t="str">
        <f>IFERROR(VLOOKUP(E863,'SF Churn Data'!E:R,14,0),"")</f>
        <v/>
      </c>
    </row>
    <row r="864" hidden="1">
      <c r="A864" s="11"/>
      <c r="B864" s="11"/>
      <c r="C864" s="11"/>
      <c r="D864" s="11"/>
      <c r="E864" s="11"/>
      <c r="F864" s="11"/>
      <c r="G864" s="11"/>
      <c r="H864" s="11"/>
      <c r="I864" s="12"/>
      <c r="J864" s="12"/>
      <c r="K864" s="11"/>
      <c r="L864" s="11"/>
      <c r="M864" s="11"/>
      <c r="N864" s="11"/>
      <c r="O864" s="11"/>
      <c r="P864" s="11"/>
      <c r="Q864" s="13" t="str">
        <f>IFERROR(VLOOKUP(E864,'SF Churn Data'!E:R,14,0),"")</f>
        <v/>
      </c>
    </row>
    <row r="865" hidden="1">
      <c r="A865" s="11"/>
      <c r="B865" s="11"/>
      <c r="C865" s="11"/>
      <c r="D865" s="11"/>
      <c r="E865" s="11"/>
      <c r="F865" s="11"/>
      <c r="G865" s="11"/>
      <c r="H865" s="11"/>
      <c r="I865" s="12"/>
      <c r="J865" s="12"/>
      <c r="K865" s="11"/>
      <c r="L865" s="11"/>
      <c r="M865" s="11"/>
      <c r="N865" s="11"/>
      <c r="O865" s="11"/>
      <c r="P865" s="11"/>
      <c r="Q865" s="13" t="str">
        <f>IFERROR(VLOOKUP(E865,'SF Churn Data'!E:R,14,0),"")</f>
        <v/>
      </c>
    </row>
    <row r="866" hidden="1">
      <c r="A866" s="11"/>
      <c r="B866" s="11"/>
      <c r="C866" s="11"/>
      <c r="D866" s="11"/>
      <c r="E866" s="11"/>
      <c r="F866" s="11"/>
      <c r="G866" s="11"/>
      <c r="H866" s="11"/>
      <c r="I866" s="12"/>
      <c r="J866" s="12"/>
      <c r="K866" s="11"/>
      <c r="L866" s="11"/>
      <c r="M866" s="11"/>
      <c r="N866" s="11"/>
      <c r="O866" s="11"/>
      <c r="P866" s="11"/>
      <c r="Q866" s="13" t="str">
        <f>IFERROR(VLOOKUP(E866,'SF Churn Data'!E:R,14,0),"")</f>
        <v/>
      </c>
    </row>
    <row r="867" hidden="1">
      <c r="A867" s="11"/>
      <c r="B867" s="11"/>
      <c r="C867" s="11"/>
      <c r="D867" s="11"/>
      <c r="E867" s="11"/>
      <c r="F867" s="11"/>
      <c r="G867" s="11"/>
      <c r="H867" s="11"/>
      <c r="I867" s="12"/>
      <c r="J867" s="12"/>
      <c r="K867" s="11"/>
      <c r="L867" s="11"/>
      <c r="M867" s="11"/>
      <c r="N867" s="11"/>
      <c r="O867" s="11"/>
      <c r="P867" s="11"/>
      <c r="Q867" s="13" t="str">
        <f>IFERROR(VLOOKUP(E867,'SF Churn Data'!E:R,14,0),"")</f>
        <v/>
      </c>
    </row>
    <row r="868" hidden="1">
      <c r="A868" s="11"/>
      <c r="B868" s="11"/>
      <c r="C868" s="11"/>
      <c r="D868" s="11"/>
      <c r="E868" s="11"/>
      <c r="F868" s="11"/>
      <c r="G868" s="11"/>
      <c r="H868" s="11"/>
      <c r="I868" s="12"/>
      <c r="J868" s="12"/>
      <c r="K868" s="11"/>
      <c r="L868" s="11"/>
      <c r="M868" s="11"/>
      <c r="N868" s="11"/>
      <c r="O868" s="11"/>
      <c r="P868" s="11"/>
      <c r="Q868" s="13" t="str">
        <f>IFERROR(VLOOKUP(E868,'SF Churn Data'!E:R,14,0),"")</f>
        <v/>
      </c>
    </row>
    <row r="869" hidden="1">
      <c r="A869" s="11"/>
      <c r="B869" s="11"/>
      <c r="C869" s="11"/>
      <c r="D869" s="11"/>
      <c r="E869" s="11"/>
      <c r="F869" s="11"/>
      <c r="G869" s="11"/>
      <c r="H869" s="11"/>
      <c r="I869" s="12"/>
      <c r="J869" s="12"/>
      <c r="K869" s="11"/>
      <c r="L869" s="11"/>
      <c r="M869" s="11"/>
      <c r="N869" s="11"/>
      <c r="O869" s="11"/>
      <c r="P869" s="11"/>
      <c r="Q869" s="13" t="str">
        <f>IFERROR(VLOOKUP(E869,'SF Churn Data'!E:R,14,0),"")</f>
        <v/>
      </c>
    </row>
    <row r="870" hidden="1">
      <c r="A870" s="11"/>
      <c r="B870" s="11"/>
      <c r="C870" s="11"/>
      <c r="D870" s="11"/>
      <c r="E870" s="11"/>
      <c r="F870" s="11"/>
      <c r="G870" s="11"/>
      <c r="H870" s="11"/>
      <c r="I870" s="12"/>
      <c r="J870" s="12"/>
      <c r="K870" s="12"/>
      <c r="L870" s="11"/>
      <c r="M870" s="11"/>
      <c r="N870" s="11"/>
      <c r="O870" s="11"/>
      <c r="P870" s="11"/>
      <c r="Q870" s="13" t="str">
        <f>IFERROR(VLOOKUP(E870,'SF Churn Data'!E:R,14,0),"")</f>
        <v/>
      </c>
    </row>
    <row r="871" hidden="1">
      <c r="A871" s="11"/>
      <c r="B871" s="11"/>
      <c r="C871" s="11"/>
      <c r="D871" s="11"/>
      <c r="E871" s="11"/>
      <c r="F871" s="11"/>
      <c r="G871" s="11"/>
      <c r="H871" s="11"/>
      <c r="I871" s="12"/>
      <c r="J871" s="12"/>
      <c r="K871" s="12"/>
      <c r="L871" s="11"/>
      <c r="M871" s="11"/>
      <c r="N871" s="11"/>
      <c r="O871" s="11"/>
      <c r="P871" s="11"/>
      <c r="Q871" s="13" t="str">
        <f>IFERROR(VLOOKUP(E871,'SF Churn Data'!E:R,14,0),"")</f>
        <v/>
      </c>
    </row>
    <row r="872" hidden="1">
      <c r="A872" s="11"/>
      <c r="B872" s="11"/>
      <c r="C872" s="11"/>
      <c r="D872" s="11"/>
      <c r="E872" s="11"/>
      <c r="F872" s="11"/>
      <c r="G872" s="11"/>
      <c r="H872" s="11"/>
      <c r="I872" s="12"/>
      <c r="J872" s="12"/>
      <c r="K872" s="11"/>
      <c r="L872" s="11"/>
      <c r="M872" s="11"/>
      <c r="N872" s="11"/>
      <c r="O872" s="11"/>
      <c r="P872" s="11"/>
      <c r="Q872" s="13" t="str">
        <f>IFERROR(VLOOKUP(E872,'SF Churn Data'!E:R,14,0),"")</f>
        <v/>
      </c>
    </row>
    <row r="873" hidden="1">
      <c r="A873" s="11"/>
      <c r="B873" s="11"/>
      <c r="C873" s="11"/>
      <c r="D873" s="11"/>
      <c r="E873" s="11"/>
      <c r="F873" s="11"/>
      <c r="G873" s="11"/>
      <c r="H873" s="11"/>
      <c r="I873" s="12"/>
      <c r="J873" s="12"/>
      <c r="K873" s="11"/>
      <c r="L873" s="11"/>
      <c r="M873" s="11"/>
      <c r="N873" s="11"/>
      <c r="O873" s="11"/>
      <c r="P873" s="11"/>
      <c r="Q873" s="13" t="str">
        <f>IFERROR(VLOOKUP(E873,'SF Churn Data'!E:R,14,0),"")</f>
        <v/>
      </c>
    </row>
    <row r="874" hidden="1">
      <c r="A874" s="11"/>
      <c r="B874" s="11"/>
      <c r="C874" s="11"/>
      <c r="D874" s="11"/>
      <c r="E874" s="11"/>
      <c r="F874" s="11"/>
      <c r="G874" s="11"/>
      <c r="H874" s="11"/>
      <c r="I874" s="12"/>
      <c r="J874" s="12"/>
      <c r="K874" s="12"/>
      <c r="L874" s="11"/>
      <c r="M874" s="11"/>
      <c r="N874" s="11"/>
      <c r="O874" s="11"/>
      <c r="P874" s="11"/>
      <c r="Q874" s="13" t="str">
        <f>IFERROR(VLOOKUP(E874,'SF Churn Data'!E:R,14,0),"")</f>
        <v/>
      </c>
    </row>
    <row r="875" hidden="1">
      <c r="A875" s="11"/>
      <c r="B875" s="11"/>
      <c r="C875" s="11"/>
      <c r="D875" s="11"/>
      <c r="E875" s="11"/>
      <c r="F875" s="11"/>
      <c r="G875" s="11"/>
      <c r="H875" s="11"/>
      <c r="I875" s="12"/>
      <c r="J875" s="12"/>
      <c r="K875" s="11"/>
      <c r="L875" s="11"/>
      <c r="M875" s="11"/>
      <c r="N875" s="11"/>
      <c r="O875" s="11"/>
      <c r="P875" s="11"/>
      <c r="Q875" s="13" t="str">
        <f>IFERROR(VLOOKUP(E875,'SF Churn Data'!E:R,14,0),"")</f>
        <v/>
      </c>
    </row>
    <row r="876" hidden="1">
      <c r="A876" s="11"/>
      <c r="B876" s="11"/>
      <c r="C876" s="11"/>
      <c r="D876" s="11"/>
      <c r="E876" s="11"/>
      <c r="F876" s="11"/>
      <c r="G876" s="11"/>
      <c r="H876" s="11"/>
      <c r="I876" s="12"/>
      <c r="J876" s="12"/>
      <c r="K876" s="12"/>
      <c r="L876" s="11"/>
      <c r="M876" s="11"/>
      <c r="N876" s="11"/>
      <c r="O876" s="11"/>
      <c r="P876" s="11"/>
      <c r="Q876" s="13" t="str">
        <f>IFERROR(VLOOKUP(E876,'SF Churn Data'!E:R,14,0),"")</f>
        <v/>
      </c>
    </row>
    <row r="877" hidden="1">
      <c r="A877" s="11"/>
      <c r="B877" s="11"/>
      <c r="C877" s="11"/>
      <c r="D877" s="11"/>
      <c r="E877" s="11"/>
      <c r="F877" s="11"/>
      <c r="G877" s="11"/>
      <c r="H877" s="11"/>
      <c r="I877" s="12"/>
      <c r="J877" s="12"/>
      <c r="K877" s="11"/>
      <c r="L877" s="11"/>
      <c r="M877" s="11"/>
      <c r="N877" s="11"/>
      <c r="O877" s="11"/>
      <c r="P877" s="11"/>
      <c r="Q877" s="13" t="str">
        <f>IFERROR(VLOOKUP(E877,'SF Churn Data'!E:R,14,0),"")</f>
        <v/>
      </c>
    </row>
    <row r="878" hidden="1">
      <c r="A878" s="11"/>
      <c r="B878" s="11"/>
      <c r="C878" s="11"/>
      <c r="D878" s="11"/>
      <c r="E878" s="11"/>
      <c r="F878" s="11"/>
      <c r="G878" s="11"/>
      <c r="H878" s="11"/>
      <c r="I878" s="12"/>
      <c r="J878" s="12"/>
      <c r="K878" s="11"/>
      <c r="L878" s="11"/>
      <c r="M878" s="11"/>
      <c r="N878" s="11"/>
      <c r="O878" s="11"/>
      <c r="P878" s="11"/>
      <c r="Q878" s="13" t="str">
        <f>IFERROR(VLOOKUP(E878,'SF Churn Data'!E:R,14,0),"")</f>
        <v/>
      </c>
    </row>
    <row r="879" hidden="1">
      <c r="A879" s="11"/>
      <c r="B879" s="11"/>
      <c r="C879" s="11"/>
      <c r="D879" s="11"/>
      <c r="E879" s="11"/>
      <c r="F879" s="11"/>
      <c r="G879" s="11"/>
      <c r="H879" s="11"/>
      <c r="I879" s="12"/>
      <c r="J879" s="12"/>
      <c r="K879" s="12"/>
      <c r="L879" s="11"/>
      <c r="M879" s="11"/>
      <c r="N879" s="11"/>
      <c r="O879" s="11"/>
      <c r="P879" s="11"/>
      <c r="Q879" s="13" t="str">
        <f>IFERROR(VLOOKUP(E879,'SF Churn Data'!E:R,14,0),"")</f>
        <v/>
      </c>
    </row>
    <row r="880" hidden="1">
      <c r="A880" s="11"/>
      <c r="B880" s="11"/>
      <c r="C880" s="11"/>
      <c r="D880" s="11"/>
      <c r="E880" s="11"/>
      <c r="F880" s="11"/>
      <c r="G880" s="11"/>
      <c r="H880" s="11"/>
      <c r="I880" s="12"/>
      <c r="J880" s="12"/>
      <c r="K880" s="11"/>
      <c r="L880" s="11"/>
      <c r="M880" s="11"/>
      <c r="N880" s="11"/>
      <c r="O880" s="11"/>
      <c r="P880" s="11"/>
      <c r="Q880" s="13" t="str">
        <f>IFERROR(VLOOKUP(E880,'SF Churn Data'!E:R,14,0),"")</f>
        <v/>
      </c>
    </row>
    <row r="881" hidden="1">
      <c r="A881" s="11"/>
      <c r="B881" s="11"/>
      <c r="C881" s="11"/>
      <c r="D881" s="11"/>
      <c r="E881" s="11"/>
      <c r="F881" s="11"/>
      <c r="G881" s="11"/>
      <c r="H881" s="11"/>
      <c r="I881" s="12"/>
      <c r="J881" s="12"/>
      <c r="K881" s="12"/>
      <c r="L881" s="11"/>
      <c r="M881" s="11"/>
      <c r="N881" s="11"/>
      <c r="O881" s="11"/>
      <c r="P881" s="11"/>
      <c r="Q881" s="13" t="str">
        <f>IFERROR(VLOOKUP(E881,'SF Churn Data'!E:R,14,0),"")</f>
        <v/>
      </c>
    </row>
    <row r="882" hidden="1">
      <c r="A882" s="11"/>
      <c r="B882" s="11"/>
      <c r="C882" s="11"/>
      <c r="D882" s="11"/>
      <c r="E882" s="11"/>
      <c r="F882" s="11"/>
      <c r="G882" s="11"/>
      <c r="H882" s="11"/>
      <c r="I882" s="12"/>
      <c r="J882" s="12"/>
      <c r="K882" s="12"/>
      <c r="L882" s="11"/>
      <c r="M882" s="11"/>
      <c r="N882" s="11"/>
      <c r="O882" s="11"/>
      <c r="P882" s="11"/>
      <c r="Q882" s="13" t="str">
        <f>IFERROR(VLOOKUP(E882,'SF Churn Data'!E:R,14,0),"")</f>
        <v/>
      </c>
    </row>
    <row r="883" hidden="1">
      <c r="A883" s="11"/>
      <c r="B883" s="11"/>
      <c r="C883" s="11"/>
      <c r="D883" s="11"/>
      <c r="E883" s="11"/>
      <c r="F883" s="11"/>
      <c r="G883" s="11"/>
      <c r="H883" s="11"/>
      <c r="I883" s="12"/>
      <c r="J883" s="12"/>
      <c r="K883" s="12"/>
      <c r="L883" s="11"/>
      <c r="M883" s="11"/>
      <c r="N883" s="11"/>
      <c r="O883" s="11"/>
      <c r="P883" s="11"/>
      <c r="Q883" s="13" t="str">
        <f>IFERROR(VLOOKUP(E883,'SF Churn Data'!E:R,14,0),"")</f>
        <v/>
      </c>
    </row>
    <row r="884" hidden="1">
      <c r="A884" s="11"/>
      <c r="B884" s="11"/>
      <c r="C884" s="11"/>
      <c r="D884" s="11"/>
      <c r="E884" s="11"/>
      <c r="F884" s="11"/>
      <c r="G884" s="11"/>
      <c r="H884" s="11"/>
      <c r="I884" s="12"/>
      <c r="J884" s="12"/>
      <c r="K884" s="12"/>
      <c r="L884" s="11"/>
      <c r="M884" s="11"/>
      <c r="N884" s="11"/>
      <c r="O884" s="11"/>
      <c r="P884" s="11"/>
      <c r="Q884" s="13" t="str">
        <f>IFERROR(VLOOKUP(E884,'SF Churn Data'!E:R,14,0),"")</f>
        <v/>
      </c>
    </row>
    <row r="885" hidden="1">
      <c r="A885" s="11"/>
      <c r="B885" s="11"/>
      <c r="C885" s="11"/>
      <c r="D885" s="11"/>
      <c r="E885" s="11"/>
      <c r="F885" s="11"/>
      <c r="G885" s="11"/>
      <c r="H885" s="11"/>
      <c r="I885" s="12"/>
      <c r="J885" s="12"/>
      <c r="K885" s="12"/>
      <c r="L885" s="11"/>
      <c r="M885" s="11"/>
      <c r="N885" s="11"/>
      <c r="O885" s="11"/>
      <c r="P885" s="11"/>
      <c r="Q885" s="13" t="str">
        <f>IFERROR(VLOOKUP(E885,'SF Churn Data'!E:R,14,0),"")</f>
        <v/>
      </c>
    </row>
    <row r="886" hidden="1">
      <c r="A886" s="11"/>
      <c r="B886" s="11"/>
      <c r="C886" s="11"/>
      <c r="D886" s="11"/>
      <c r="E886" s="11"/>
      <c r="F886" s="11"/>
      <c r="G886" s="11"/>
      <c r="H886" s="11"/>
      <c r="I886" s="12"/>
      <c r="J886" s="12"/>
      <c r="K886" s="11"/>
      <c r="L886" s="11"/>
      <c r="M886" s="11"/>
      <c r="N886" s="11"/>
      <c r="O886" s="11"/>
      <c r="P886" s="11"/>
      <c r="Q886" s="13" t="str">
        <f>IFERROR(VLOOKUP(E886,'SF Churn Data'!E:R,14,0),"")</f>
        <v/>
      </c>
    </row>
    <row r="887" hidden="1">
      <c r="A887" s="11"/>
      <c r="B887" s="11"/>
      <c r="C887" s="11"/>
      <c r="D887" s="11"/>
      <c r="E887" s="11"/>
      <c r="F887" s="11"/>
      <c r="G887" s="11"/>
      <c r="H887" s="11"/>
      <c r="I887" s="12"/>
      <c r="J887" s="12"/>
      <c r="K887" s="11"/>
      <c r="L887" s="11"/>
      <c r="M887" s="11"/>
      <c r="N887" s="11"/>
      <c r="O887" s="11"/>
      <c r="P887" s="11"/>
      <c r="Q887" s="13" t="str">
        <f>IFERROR(VLOOKUP(E887,'SF Churn Data'!E:R,14,0),"")</f>
        <v/>
      </c>
    </row>
    <row r="888" hidden="1">
      <c r="A888" s="11"/>
      <c r="B888" s="11"/>
      <c r="C888" s="11"/>
      <c r="D888" s="11"/>
      <c r="E888" s="11"/>
      <c r="F888" s="11"/>
      <c r="G888" s="11"/>
      <c r="H888" s="11"/>
      <c r="I888" s="12"/>
      <c r="J888" s="12"/>
      <c r="K888" s="12"/>
      <c r="L888" s="11"/>
      <c r="M888" s="11"/>
      <c r="N888" s="11"/>
      <c r="O888" s="11"/>
      <c r="P888" s="11"/>
      <c r="Q888" s="13" t="str">
        <f>IFERROR(VLOOKUP(E888,'SF Churn Data'!E:R,14,0),"")</f>
        <v/>
      </c>
    </row>
    <row r="889" hidden="1">
      <c r="A889" s="11"/>
      <c r="B889" s="11"/>
      <c r="C889" s="11"/>
      <c r="D889" s="11"/>
      <c r="E889" s="11"/>
      <c r="F889" s="11"/>
      <c r="G889" s="11"/>
      <c r="H889" s="11"/>
      <c r="I889" s="12"/>
      <c r="J889" s="12"/>
      <c r="K889" s="11"/>
      <c r="L889" s="11"/>
      <c r="M889" s="11"/>
      <c r="N889" s="11"/>
      <c r="O889" s="11"/>
      <c r="P889" s="11"/>
      <c r="Q889" s="13" t="str">
        <f>IFERROR(VLOOKUP(E889,'SF Churn Data'!E:R,14,0),"")</f>
        <v/>
      </c>
    </row>
    <row r="890" hidden="1">
      <c r="A890" s="11"/>
      <c r="B890" s="11"/>
      <c r="C890" s="11"/>
      <c r="D890" s="11"/>
      <c r="E890" s="11"/>
      <c r="F890" s="11"/>
      <c r="G890" s="11"/>
      <c r="H890" s="11"/>
      <c r="I890" s="12"/>
      <c r="J890" s="12"/>
      <c r="K890" s="12"/>
      <c r="L890" s="11"/>
      <c r="M890" s="11"/>
      <c r="N890" s="11"/>
      <c r="O890" s="11"/>
      <c r="P890" s="11"/>
      <c r="Q890" s="13" t="str">
        <f>IFERROR(VLOOKUP(E890,'SF Churn Data'!E:R,14,0),"")</f>
        <v/>
      </c>
    </row>
    <row r="891" hidden="1">
      <c r="A891" s="11"/>
      <c r="B891" s="11"/>
      <c r="C891" s="11"/>
      <c r="D891" s="11"/>
      <c r="E891" s="11"/>
      <c r="F891" s="11"/>
      <c r="G891" s="11"/>
      <c r="H891" s="11"/>
      <c r="I891" s="12"/>
      <c r="J891" s="12"/>
      <c r="K891" s="11"/>
      <c r="L891" s="11"/>
      <c r="M891" s="11"/>
      <c r="N891" s="11"/>
      <c r="O891" s="11"/>
      <c r="P891" s="11"/>
      <c r="Q891" s="13" t="str">
        <f>IFERROR(VLOOKUP(E891,'SF Churn Data'!E:R,14,0),"")</f>
        <v/>
      </c>
    </row>
    <row r="892" hidden="1">
      <c r="A892" s="11"/>
      <c r="B892" s="11"/>
      <c r="C892" s="11"/>
      <c r="D892" s="11"/>
      <c r="E892" s="11"/>
      <c r="F892" s="11"/>
      <c r="G892" s="11"/>
      <c r="H892" s="11"/>
      <c r="I892" s="12"/>
      <c r="J892" s="12"/>
      <c r="K892" s="11"/>
      <c r="L892" s="11"/>
      <c r="M892" s="11"/>
      <c r="N892" s="11"/>
      <c r="O892" s="11"/>
      <c r="P892" s="11"/>
      <c r="Q892" s="13" t="str">
        <f>IFERROR(VLOOKUP(E892,'SF Churn Data'!E:R,14,0),"")</f>
        <v/>
      </c>
    </row>
    <row r="893" hidden="1">
      <c r="A893" s="11"/>
      <c r="B893" s="11"/>
      <c r="C893" s="11"/>
      <c r="D893" s="11"/>
      <c r="E893" s="11"/>
      <c r="F893" s="11"/>
      <c r="G893" s="11"/>
      <c r="H893" s="11"/>
      <c r="I893" s="12"/>
      <c r="J893" s="12"/>
      <c r="K893" s="11"/>
      <c r="L893" s="11"/>
      <c r="M893" s="11"/>
      <c r="N893" s="11"/>
      <c r="O893" s="11"/>
      <c r="P893" s="11"/>
      <c r="Q893" s="13" t="str">
        <f>IFERROR(VLOOKUP(E893,'SF Churn Data'!E:R,14,0),"")</f>
        <v/>
      </c>
    </row>
    <row r="894" hidden="1">
      <c r="A894" s="11"/>
      <c r="B894" s="11"/>
      <c r="C894" s="11"/>
      <c r="D894" s="11"/>
      <c r="E894" s="11"/>
      <c r="F894" s="11"/>
      <c r="G894" s="11"/>
      <c r="H894" s="11"/>
      <c r="I894" s="12"/>
      <c r="J894" s="12"/>
      <c r="K894" s="12"/>
      <c r="L894" s="11"/>
      <c r="M894" s="11"/>
      <c r="N894" s="11"/>
      <c r="O894" s="11"/>
      <c r="P894" s="11"/>
      <c r="Q894" s="13" t="str">
        <f>IFERROR(VLOOKUP(E894,'SF Churn Data'!E:R,14,0),"")</f>
        <v/>
      </c>
    </row>
    <row r="895" hidden="1">
      <c r="A895" s="11"/>
      <c r="B895" s="11"/>
      <c r="C895" s="11"/>
      <c r="D895" s="11"/>
      <c r="E895" s="11"/>
      <c r="F895" s="11"/>
      <c r="G895" s="11"/>
      <c r="H895" s="11"/>
      <c r="I895" s="12"/>
      <c r="J895" s="12"/>
      <c r="K895" s="11"/>
      <c r="L895" s="11"/>
      <c r="M895" s="11"/>
      <c r="N895" s="11"/>
      <c r="O895" s="11"/>
      <c r="P895" s="11"/>
      <c r="Q895" s="13" t="str">
        <f>IFERROR(VLOOKUP(E895,'SF Churn Data'!E:R,14,0),"")</f>
        <v/>
      </c>
    </row>
    <row r="896" hidden="1">
      <c r="A896" s="11"/>
      <c r="B896" s="11"/>
      <c r="C896" s="11"/>
      <c r="D896" s="11"/>
      <c r="E896" s="11"/>
      <c r="F896" s="11"/>
      <c r="G896" s="11"/>
      <c r="H896" s="11"/>
      <c r="I896" s="12"/>
      <c r="J896" s="12"/>
      <c r="K896" s="12"/>
      <c r="L896" s="11"/>
      <c r="M896" s="11"/>
      <c r="N896" s="11"/>
      <c r="O896" s="11"/>
      <c r="P896" s="11"/>
      <c r="Q896" s="13" t="str">
        <f>IFERROR(VLOOKUP(E896,'SF Churn Data'!E:R,14,0),"")</f>
        <v/>
      </c>
    </row>
    <row r="897" hidden="1">
      <c r="A897" s="11"/>
      <c r="B897" s="11"/>
      <c r="C897" s="11"/>
      <c r="D897" s="11"/>
      <c r="E897" s="11"/>
      <c r="F897" s="11"/>
      <c r="G897" s="11"/>
      <c r="H897" s="11"/>
      <c r="I897" s="12"/>
      <c r="J897" s="12"/>
      <c r="K897" s="12"/>
      <c r="L897" s="11"/>
      <c r="M897" s="11"/>
      <c r="N897" s="11"/>
      <c r="O897" s="11"/>
      <c r="P897" s="11"/>
      <c r="Q897" s="13" t="str">
        <f>IFERROR(VLOOKUP(E897,'SF Churn Data'!E:R,14,0),"")</f>
        <v/>
      </c>
    </row>
    <row r="898" hidden="1">
      <c r="A898" s="11"/>
      <c r="B898" s="11"/>
      <c r="C898" s="11"/>
      <c r="D898" s="11"/>
      <c r="E898" s="11"/>
      <c r="F898" s="11"/>
      <c r="G898" s="11"/>
      <c r="H898" s="11"/>
      <c r="I898" s="12"/>
      <c r="J898" s="12"/>
      <c r="K898" s="11"/>
      <c r="L898" s="11"/>
      <c r="M898" s="11"/>
      <c r="N898" s="11"/>
      <c r="O898" s="11"/>
      <c r="P898" s="11"/>
      <c r="Q898" s="13" t="str">
        <f>IFERROR(VLOOKUP(E898,'SF Churn Data'!E:R,14,0),"")</f>
        <v/>
      </c>
    </row>
    <row r="899" hidden="1">
      <c r="A899" s="11"/>
      <c r="B899" s="11"/>
      <c r="C899" s="11"/>
      <c r="D899" s="11"/>
      <c r="E899" s="11"/>
      <c r="F899" s="11"/>
      <c r="G899" s="11"/>
      <c r="H899" s="11"/>
      <c r="I899" s="12"/>
      <c r="J899" s="12"/>
      <c r="K899" s="11"/>
      <c r="L899" s="11"/>
      <c r="M899" s="11"/>
      <c r="N899" s="11"/>
      <c r="O899" s="11"/>
      <c r="P899" s="11"/>
      <c r="Q899" s="13" t="str">
        <f>IFERROR(VLOOKUP(E899,'SF Churn Data'!E:R,14,0),"")</f>
        <v/>
      </c>
    </row>
    <row r="900" hidden="1">
      <c r="A900" s="11"/>
      <c r="B900" s="11"/>
      <c r="C900" s="11"/>
      <c r="D900" s="11"/>
      <c r="E900" s="11"/>
      <c r="F900" s="11"/>
      <c r="G900" s="11"/>
      <c r="H900" s="11"/>
      <c r="I900" s="12"/>
      <c r="J900" s="12"/>
      <c r="K900" s="11"/>
      <c r="L900" s="11"/>
      <c r="M900" s="11"/>
      <c r="N900" s="11"/>
      <c r="O900" s="11"/>
      <c r="P900" s="11"/>
      <c r="Q900" s="13" t="str">
        <f>IFERROR(VLOOKUP(E900,'SF Churn Data'!E:R,14,0),"")</f>
        <v/>
      </c>
    </row>
    <row r="901" hidden="1">
      <c r="A901" s="11"/>
      <c r="B901" s="11"/>
      <c r="C901" s="11"/>
      <c r="D901" s="11"/>
      <c r="E901" s="11"/>
      <c r="F901" s="11"/>
      <c r="G901" s="11"/>
      <c r="H901" s="11"/>
      <c r="I901" s="12"/>
      <c r="J901" s="12"/>
      <c r="K901" s="11"/>
      <c r="L901" s="11"/>
      <c r="M901" s="11"/>
      <c r="N901" s="11"/>
      <c r="O901" s="11"/>
      <c r="P901" s="11"/>
      <c r="Q901" s="13" t="str">
        <f>IFERROR(VLOOKUP(E901,'SF Churn Data'!E:R,14,0),"")</f>
        <v/>
      </c>
    </row>
    <row r="902" hidden="1">
      <c r="A902" s="11"/>
      <c r="B902" s="11"/>
      <c r="C902" s="11"/>
      <c r="D902" s="11"/>
      <c r="E902" s="11"/>
      <c r="F902" s="11"/>
      <c r="G902" s="11"/>
      <c r="H902" s="11"/>
      <c r="I902" s="12"/>
      <c r="J902" s="12"/>
      <c r="K902" s="12"/>
      <c r="L902" s="11"/>
      <c r="M902" s="11"/>
      <c r="N902" s="11"/>
      <c r="O902" s="11"/>
      <c r="P902" s="11"/>
      <c r="Q902" s="13" t="str">
        <f>IFERROR(VLOOKUP(E902,'SF Churn Data'!E:R,14,0),"")</f>
        <v/>
      </c>
    </row>
    <row r="903" hidden="1">
      <c r="A903" s="11"/>
      <c r="B903" s="11"/>
      <c r="C903" s="11"/>
      <c r="D903" s="11"/>
      <c r="E903" s="11"/>
      <c r="F903" s="11"/>
      <c r="G903" s="11"/>
      <c r="H903" s="11"/>
      <c r="I903" s="12"/>
      <c r="J903" s="12"/>
      <c r="K903" s="11"/>
      <c r="L903" s="11"/>
      <c r="M903" s="11"/>
      <c r="N903" s="11"/>
      <c r="O903" s="11"/>
      <c r="P903" s="11"/>
      <c r="Q903" s="13" t="str">
        <f>IFERROR(VLOOKUP(E903,'SF Churn Data'!E:R,14,0),"")</f>
        <v/>
      </c>
    </row>
    <row r="904" hidden="1">
      <c r="A904" s="11"/>
      <c r="B904" s="11"/>
      <c r="C904" s="11"/>
      <c r="D904" s="11"/>
      <c r="E904" s="11"/>
      <c r="F904" s="11"/>
      <c r="G904" s="11"/>
      <c r="H904" s="11"/>
      <c r="I904" s="12"/>
      <c r="J904" s="12"/>
      <c r="K904" s="12"/>
      <c r="L904" s="11"/>
      <c r="M904" s="11"/>
      <c r="N904" s="11"/>
      <c r="O904" s="11"/>
      <c r="P904" s="11"/>
      <c r="Q904" s="13" t="str">
        <f>IFERROR(VLOOKUP(E904,'SF Churn Data'!E:R,14,0),"")</f>
        <v/>
      </c>
    </row>
    <row r="905" hidden="1">
      <c r="A905" s="11"/>
      <c r="B905" s="11"/>
      <c r="C905" s="11"/>
      <c r="D905" s="11"/>
      <c r="E905" s="11"/>
      <c r="F905" s="11"/>
      <c r="G905" s="11"/>
      <c r="H905" s="11"/>
      <c r="I905" s="12"/>
      <c r="J905" s="12"/>
      <c r="K905" s="12"/>
      <c r="L905" s="11"/>
      <c r="M905" s="11"/>
      <c r="N905" s="11"/>
      <c r="O905" s="11"/>
      <c r="P905" s="11"/>
      <c r="Q905" s="13" t="str">
        <f>IFERROR(VLOOKUP(E905,'SF Churn Data'!E:R,14,0),"")</f>
        <v/>
      </c>
    </row>
    <row r="906" hidden="1">
      <c r="A906" s="11"/>
      <c r="B906" s="11"/>
      <c r="C906" s="11"/>
      <c r="D906" s="11"/>
      <c r="E906" s="11"/>
      <c r="F906" s="11"/>
      <c r="G906" s="11"/>
      <c r="H906" s="11"/>
      <c r="I906" s="12"/>
      <c r="J906" s="12"/>
      <c r="K906" s="11"/>
      <c r="L906" s="11"/>
      <c r="M906" s="11"/>
      <c r="N906" s="11"/>
      <c r="O906" s="11"/>
      <c r="P906" s="11"/>
      <c r="Q906" s="13" t="str">
        <f>IFERROR(VLOOKUP(E906,'SF Churn Data'!E:R,14,0),"")</f>
        <v/>
      </c>
    </row>
    <row r="907" hidden="1">
      <c r="A907" s="11"/>
      <c r="B907" s="11"/>
      <c r="C907" s="11"/>
      <c r="D907" s="11"/>
      <c r="E907" s="11"/>
      <c r="F907" s="11"/>
      <c r="G907" s="11"/>
      <c r="H907" s="11"/>
      <c r="I907" s="12"/>
      <c r="J907" s="12"/>
      <c r="K907" s="11"/>
      <c r="L907" s="11"/>
      <c r="M907" s="11"/>
      <c r="N907" s="11"/>
      <c r="O907" s="11"/>
      <c r="P907" s="11"/>
      <c r="Q907" s="13" t="str">
        <f>IFERROR(VLOOKUP(E907,'SF Churn Data'!E:R,14,0),"")</f>
        <v/>
      </c>
    </row>
    <row r="908" hidden="1">
      <c r="A908" s="11"/>
      <c r="B908" s="11"/>
      <c r="C908" s="11"/>
      <c r="D908" s="11"/>
      <c r="E908" s="11"/>
      <c r="F908" s="11"/>
      <c r="G908" s="11"/>
      <c r="H908" s="11"/>
      <c r="I908" s="12"/>
      <c r="J908" s="12"/>
      <c r="K908" s="12"/>
      <c r="L908" s="11"/>
      <c r="M908" s="11"/>
      <c r="N908" s="11"/>
      <c r="O908" s="11"/>
      <c r="P908" s="11"/>
      <c r="Q908" s="13" t="str">
        <f>IFERROR(VLOOKUP(E908,'SF Churn Data'!E:R,14,0),"")</f>
        <v/>
      </c>
    </row>
    <row r="909" hidden="1">
      <c r="A909" s="11"/>
      <c r="B909" s="11"/>
      <c r="C909" s="11"/>
      <c r="D909" s="11"/>
      <c r="E909" s="11"/>
      <c r="F909" s="11"/>
      <c r="G909" s="11"/>
      <c r="H909" s="11"/>
      <c r="I909" s="12"/>
      <c r="J909" s="12"/>
      <c r="K909" s="11"/>
      <c r="L909" s="11"/>
      <c r="M909" s="11"/>
      <c r="N909" s="11"/>
      <c r="O909" s="11"/>
      <c r="P909" s="11"/>
      <c r="Q909" s="13" t="str">
        <f>IFERROR(VLOOKUP(E909,'SF Churn Data'!E:R,14,0),"")</f>
        <v/>
      </c>
    </row>
    <row r="910" hidden="1">
      <c r="A910" s="11"/>
      <c r="B910" s="11"/>
      <c r="C910" s="11"/>
      <c r="D910" s="11"/>
      <c r="E910" s="11"/>
      <c r="F910" s="11"/>
      <c r="G910" s="11"/>
      <c r="H910" s="11"/>
      <c r="I910" s="12"/>
      <c r="J910" s="12"/>
      <c r="K910" s="11"/>
      <c r="L910" s="11"/>
      <c r="M910" s="11"/>
      <c r="N910" s="11"/>
      <c r="O910" s="11"/>
      <c r="P910" s="11"/>
      <c r="Q910" s="13" t="str">
        <f>IFERROR(VLOOKUP(E910,'SF Churn Data'!E:R,14,0),"")</f>
        <v/>
      </c>
    </row>
    <row r="911" hidden="1">
      <c r="A911" s="11"/>
      <c r="B911" s="11"/>
      <c r="C911" s="11"/>
      <c r="D911" s="11"/>
      <c r="E911" s="11"/>
      <c r="F911" s="11"/>
      <c r="G911" s="11"/>
      <c r="H911" s="11"/>
      <c r="I911" s="12"/>
      <c r="J911" s="12"/>
      <c r="K911" s="12"/>
      <c r="L911" s="11"/>
      <c r="M911" s="11"/>
      <c r="N911" s="11"/>
      <c r="O911" s="11"/>
      <c r="P911" s="11"/>
      <c r="Q911" s="13" t="str">
        <f>IFERROR(VLOOKUP(E911,'SF Churn Data'!E:R,14,0),"")</f>
        <v/>
      </c>
    </row>
    <row r="912" hidden="1">
      <c r="A912" s="11"/>
      <c r="B912" s="11"/>
      <c r="C912" s="11"/>
      <c r="D912" s="11"/>
      <c r="E912" s="11"/>
      <c r="F912" s="11"/>
      <c r="G912" s="11"/>
      <c r="H912" s="11"/>
      <c r="I912" s="12"/>
      <c r="J912" s="12"/>
      <c r="K912" s="11"/>
      <c r="L912" s="11"/>
      <c r="M912" s="15"/>
      <c r="N912" s="11"/>
      <c r="O912" s="11"/>
      <c r="P912" s="11"/>
      <c r="Q912" s="13" t="str">
        <f>IFERROR(VLOOKUP(E912,'SF Churn Data'!E:R,14,0),"")</f>
        <v/>
      </c>
    </row>
    <row r="913" hidden="1">
      <c r="A913" s="11"/>
      <c r="B913" s="11"/>
      <c r="C913" s="11"/>
      <c r="D913" s="11"/>
      <c r="E913" s="11"/>
      <c r="F913" s="11"/>
      <c r="G913" s="11"/>
      <c r="H913" s="11"/>
      <c r="I913" s="12"/>
      <c r="J913" s="12"/>
      <c r="K913" s="11"/>
      <c r="L913" s="11"/>
      <c r="M913" s="11"/>
      <c r="N913" s="11"/>
      <c r="O913" s="11"/>
      <c r="P913" s="11"/>
      <c r="Q913" s="13" t="str">
        <f>IFERROR(VLOOKUP(E913,'SF Churn Data'!E:R,14,0),"")</f>
        <v/>
      </c>
    </row>
    <row r="914" hidden="1">
      <c r="A914" s="11"/>
      <c r="B914" s="11"/>
      <c r="C914" s="11"/>
      <c r="D914" s="11"/>
      <c r="E914" s="11"/>
      <c r="F914" s="11"/>
      <c r="G914" s="11"/>
      <c r="H914" s="11"/>
      <c r="I914" s="12"/>
      <c r="J914" s="12"/>
      <c r="K914" s="11"/>
      <c r="L914" s="11"/>
      <c r="M914" s="11"/>
      <c r="N914" s="11"/>
      <c r="O914" s="11"/>
      <c r="P914" s="11"/>
      <c r="Q914" s="13" t="str">
        <f>IFERROR(VLOOKUP(E914,'SF Churn Data'!E:R,14,0),"")</f>
        <v/>
      </c>
    </row>
    <row r="915" hidden="1">
      <c r="A915" s="11"/>
      <c r="B915" s="11"/>
      <c r="C915" s="11"/>
      <c r="D915" s="11"/>
      <c r="E915" s="11"/>
      <c r="F915" s="11"/>
      <c r="G915" s="11"/>
      <c r="H915" s="11"/>
      <c r="I915" s="12"/>
      <c r="J915" s="12"/>
      <c r="K915" s="11"/>
      <c r="L915" s="11"/>
      <c r="M915" s="11"/>
      <c r="N915" s="11"/>
      <c r="O915" s="11"/>
      <c r="P915" s="11"/>
      <c r="Q915" s="13" t="str">
        <f>IFERROR(VLOOKUP(E915,'SF Churn Data'!E:R,14,0),"")</f>
        <v/>
      </c>
    </row>
    <row r="916" hidden="1">
      <c r="A916" s="11"/>
      <c r="B916" s="11"/>
      <c r="C916" s="11"/>
      <c r="D916" s="11"/>
      <c r="E916" s="11"/>
      <c r="F916" s="11"/>
      <c r="G916" s="11"/>
      <c r="H916" s="11"/>
      <c r="I916" s="12"/>
      <c r="J916" s="12"/>
      <c r="K916" s="11"/>
      <c r="L916" s="11"/>
      <c r="M916" s="11"/>
      <c r="N916" s="11"/>
      <c r="O916" s="11"/>
      <c r="P916" s="11"/>
      <c r="Q916" s="13" t="str">
        <f>IFERROR(VLOOKUP(E916,'SF Churn Data'!E:R,14,0),"")</f>
        <v/>
      </c>
    </row>
    <row r="917" hidden="1">
      <c r="A917" s="11"/>
      <c r="B917" s="11"/>
      <c r="C917" s="11"/>
      <c r="D917" s="11"/>
      <c r="E917" s="11"/>
      <c r="F917" s="11"/>
      <c r="G917" s="11"/>
      <c r="H917" s="11"/>
      <c r="I917" s="12"/>
      <c r="J917" s="12"/>
      <c r="K917" s="12"/>
      <c r="L917" s="11"/>
      <c r="M917" s="11"/>
      <c r="N917" s="11"/>
      <c r="O917" s="11"/>
      <c r="P917" s="11"/>
      <c r="Q917" s="13" t="str">
        <f>IFERROR(VLOOKUP(E917,'SF Churn Data'!E:R,14,0),"")</f>
        <v/>
      </c>
    </row>
    <row r="918" hidden="1">
      <c r="A918" s="11"/>
      <c r="B918" s="11"/>
      <c r="C918" s="11"/>
      <c r="D918" s="11"/>
      <c r="E918" s="11"/>
      <c r="F918" s="11"/>
      <c r="G918" s="11"/>
      <c r="H918" s="11"/>
      <c r="I918" s="12"/>
      <c r="J918" s="12"/>
      <c r="K918" s="11"/>
      <c r="L918" s="11"/>
      <c r="M918" s="11"/>
      <c r="N918" s="11"/>
      <c r="O918" s="11"/>
      <c r="P918" s="11"/>
      <c r="Q918" s="13" t="str">
        <f>IFERROR(VLOOKUP(E918,'SF Churn Data'!E:R,14,0),"")</f>
        <v/>
      </c>
    </row>
    <row r="919" hidden="1">
      <c r="A919" s="11"/>
      <c r="B919" s="11"/>
      <c r="C919" s="11"/>
      <c r="D919" s="11"/>
      <c r="E919" s="11"/>
      <c r="F919" s="11"/>
      <c r="G919" s="11"/>
      <c r="H919" s="11"/>
      <c r="I919" s="12"/>
      <c r="J919" s="12"/>
      <c r="K919" s="11"/>
      <c r="L919" s="11"/>
      <c r="M919" s="11"/>
      <c r="N919" s="11"/>
      <c r="O919" s="11"/>
      <c r="P919" s="11"/>
      <c r="Q919" s="13" t="str">
        <f>IFERROR(VLOOKUP(E919,'SF Churn Data'!E:R,14,0),"")</f>
        <v/>
      </c>
    </row>
    <row r="920" hidden="1">
      <c r="A920" s="11"/>
      <c r="B920" s="11"/>
      <c r="C920" s="11"/>
      <c r="D920" s="11"/>
      <c r="E920" s="11"/>
      <c r="F920" s="11"/>
      <c r="G920" s="11"/>
      <c r="H920" s="11"/>
      <c r="I920" s="12"/>
      <c r="J920" s="12"/>
      <c r="K920" s="11"/>
      <c r="L920" s="11"/>
      <c r="M920" s="11"/>
      <c r="N920" s="11"/>
      <c r="O920" s="11"/>
      <c r="P920" s="11"/>
      <c r="Q920" s="13" t="str">
        <f>IFERROR(VLOOKUP(E920,'SF Churn Data'!E:R,14,0),"")</f>
        <v/>
      </c>
    </row>
    <row r="921" hidden="1">
      <c r="A921" s="11"/>
      <c r="B921" s="11"/>
      <c r="C921" s="11"/>
      <c r="D921" s="11"/>
      <c r="E921" s="11"/>
      <c r="F921" s="11"/>
      <c r="G921" s="11"/>
      <c r="H921" s="11"/>
      <c r="I921" s="12"/>
      <c r="J921" s="12"/>
      <c r="K921" s="11"/>
      <c r="L921" s="11"/>
      <c r="M921" s="11"/>
      <c r="N921" s="11"/>
      <c r="O921" s="11"/>
      <c r="P921" s="11"/>
      <c r="Q921" s="13" t="str">
        <f>IFERROR(VLOOKUP(E921,'SF Churn Data'!E:R,14,0),"")</f>
        <v/>
      </c>
    </row>
    <row r="922" hidden="1">
      <c r="A922" s="11"/>
      <c r="B922" s="11"/>
      <c r="C922" s="11"/>
      <c r="D922" s="11"/>
      <c r="E922" s="11"/>
      <c r="F922" s="11"/>
      <c r="G922" s="11"/>
      <c r="H922" s="11"/>
      <c r="I922" s="12"/>
      <c r="J922" s="12"/>
      <c r="K922" s="11"/>
      <c r="L922" s="11"/>
      <c r="M922" s="11"/>
      <c r="N922" s="11"/>
      <c r="O922" s="11"/>
      <c r="P922" s="11"/>
      <c r="Q922" s="13" t="str">
        <f>IFERROR(VLOOKUP(E922,'SF Churn Data'!E:R,14,0),"")</f>
        <v/>
      </c>
    </row>
    <row r="923" hidden="1">
      <c r="A923" s="11"/>
      <c r="B923" s="11"/>
      <c r="C923" s="11"/>
      <c r="D923" s="11"/>
      <c r="E923" s="11"/>
      <c r="F923" s="11"/>
      <c r="G923" s="11"/>
      <c r="H923" s="11"/>
      <c r="I923" s="12"/>
      <c r="J923" s="12"/>
      <c r="K923" s="11"/>
      <c r="L923" s="11"/>
      <c r="M923" s="11"/>
      <c r="N923" s="11"/>
      <c r="O923" s="11"/>
      <c r="P923" s="11"/>
      <c r="Q923" s="13" t="str">
        <f>IFERROR(VLOOKUP(E923,'SF Churn Data'!E:R,14,0),"")</f>
        <v/>
      </c>
    </row>
    <row r="924" hidden="1">
      <c r="A924" s="11"/>
      <c r="B924" s="11"/>
      <c r="C924" s="11"/>
      <c r="D924" s="11"/>
      <c r="E924" s="11"/>
      <c r="F924" s="11"/>
      <c r="G924" s="11"/>
      <c r="H924" s="11"/>
      <c r="I924" s="12"/>
      <c r="J924" s="12"/>
      <c r="K924" s="12"/>
      <c r="L924" s="11"/>
      <c r="M924" s="11"/>
      <c r="N924" s="11"/>
      <c r="O924" s="11"/>
      <c r="P924" s="11"/>
      <c r="Q924" s="13" t="str">
        <f>IFERROR(VLOOKUP(E924,'SF Churn Data'!E:R,14,0),"")</f>
        <v/>
      </c>
    </row>
    <row r="925" hidden="1">
      <c r="A925" s="11"/>
      <c r="B925" s="11"/>
      <c r="C925" s="11"/>
      <c r="D925" s="11"/>
      <c r="E925" s="11"/>
      <c r="F925" s="11"/>
      <c r="G925" s="11"/>
      <c r="H925" s="11"/>
      <c r="I925" s="12"/>
      <c r="J925" s="12"/>
      <c r="K925" s="11"/>
      <c r="L925" s="11"/>
      <c r="M925" s="11"/>
      <c r="N925" s="11"/>
      <c r="O925" s="11"/>
      <c r="P925" s="11"/>
      <c r="Q925" s="13" t="str">
        <f>IFERROR(VLOOKUP(E925,'SF Churn Data'!E:R,14,0),"")</f>
        <v/>
      </c>
    </row>
    <row r="926" hidden="1">
      <c r="A926" s="11"/>
      <c r="B926" s="11"/>
      <c r="C926" s="11"/>
      <c r="D926" s="11"/>
      <c r="E926" s="11"/>
      <c r="F926" s="11"/>
      <c r="G926" s="11"/>
      <c r="H926" s="11"/>
      <c r="I926" s="12"/>
      <c r="J926" s="12"/>
      <c r="K926" s="11"/>
      <c r="L926" s="11"/>
      <c r="M926" s="11"/>
      <c r="N926" s="11"/>
      <c r="O926" s="11"/>
      <c r="P926" s="11"/>
      <c r="Q926" s="13" t="str">
        <f>IFERROR(VLOOKUP(E926,'SF Churn Data'!E:R,14,0),"")</f>
        <v/>
      </c>
    </row>
    <row r="927" hidden="1">
      <c r="A927" s="11"/>
      <c r="B927" s="11"/>
      <c r="C927" s="11"/>
      <c r="D927" s="11"/>
      <c r="E927" s="11"/>
      <c r="F927" s="11"/>
      <c r="G927" s="11"/>
      <c r="H927" s="11"/>
      <c r="I927" s="12"/>
      <c r="J927" s="12"/>
      <c r="K927" s="11"/>
      <c r="L927" s="11"/>
      <c r="M927" s="11"/>
      <c r="N927" s="11"/>
      <c r="O927" s="11"/>
      <c r="P927" s="11"/>
      <c r="Q927" s="13" t="str">
        <f>IFERROR(VLOOKUP(E927,'SF Churn Data'!E:R,14,0),"")</f>
        <v/>
      </c>
    </row>
    <row r="928" hidden="1">
      <c r="A928" s="11"/>
      <c r="B928" s="11"/>
      <c r="C928" s="11"/>
      <c r="D928" s="11"/>
      <c r="E928" s="11"/>
      <c r="F928" s="11"/>
      <c r="G928" s="11"/>
      <c r="H928" s="11"/>
      <c r="I928" s="12"/>
      <c r="J928" s="12"/>
      <c r="K928" s="11"/>
      <c r="L928" s="11"/>
      <c r="M928" s="11"/>
      <c r="N928" s="11"/>
      <c r="O928" s="11"/>
      <c r="P928" s="11"/>
      <c r="Q928" s="13" t="str">
        <f>IFERROR(VLOOKUP(E928,'SF Churn Data'!E:R,14,0),"")</f>
        <v/>
      </c>
    </row>
    <row r="929" hidden="1">
      <c r="A929" s="11"/>
      <c r="B929" s="11"/>
      <c r="C929" s="11"/>
      <c r="D929" s="11"/>
      <c r="E929" s="11"/>
      <c r="F929" s="11"/>
      <c r="G929" s="11"/>
      <c r="H929" s="11"/>
      <c r="I929" s="12"/>
      <c r="J929" s="12"/>
      <c r="K929" s="11"/>
      <c r="L929" s="11"/>
      <c r="M929" s="11"/>
      <c r="N929" s="11"/>
      <c r="O929" s="11"/>
      <c r="P929" s="11"/>
      <c r="Q929" s="13" t="str">
        <f>IFERROR(VLOOKUP(E929,'SF Churn Data'!E:R,14,0),"")</f>
        <v/>
      </c>
    </row>
    <row r="930" hidden="1">
      <c r="A930" s="11"/>
      <c r="B930" s="11"/>
      <c r="C930" s="11"/>
      <c r="D930" s="11"/>
      <c r="E930" s="11"/>
      <c r="F930" s="11"/>
      <c r="G930" s="11"/>
      <c r="H930" s="11"/>
      <c r="I930" s="12"/>
      <c r="J930" s="12"/>
      <c r="K930" s="11"/>
      <c r="L930" s="11"/>
      <c r="M930" s="11"/>
      <c r="N930" s="11"/>
      <c r="O930" s="11"/>
      <c r="P930" s="11"/>
      <c r="Q930" s="13" t="str">
        <f>IFERROR(VLOOKUP(E930,'SF Churn Data'!E:R,14,0),"")</f>
        <v/>
      </c>
    </row>
    <row r="931" hidden="1">
      <c r="A931" s="11"/>
      <c r="B931" s="11"/>
      <c r="C931" s="11"/>
      <c r="D931" s="11"/>
      <c r="E931" s="11"/>
      <c r="F931" s="11"/>
      <c r="G931" s="11"/>
      <c r="H931" s="11"/>
      <c r="I931" s="12"/>
      <c r="J931" s="12"/>
      <c r="K931" s="11"/>
      <c r="L931" s="11"/>
      <c r="M931" s="11"/>
      <c r="N931" s="11"/>
      <c r="O931" s="11"/>
      <c r="P931" s="11"/>
      <c r="Q931" s="13" t="str">
        <f>IFERROR(VLOOKUP(E931,'SF Churn Data'!E:R,14,0),"")</f>
        <v/>
      </c>
    </row>
    <row r="932" hidden="1">
      <c r="A932" s="11"/>
      <c r="B932" s="11"/>
      <c r="C932" s="11"/>
      <c r="D932" s="11"/>
      <c r="E932" s="11"/>
      <c r="F932" s="11"/>
      <c r="G932" s="11"/>
      <c r="H932" s="11"/>
      <c r="I932" s="12"/>
      <c r="J932" s="12"/>
      <c r="K932" s="11"/>
      <c r="L932" s="11"/>
      <c r="M932" s="11"/>
      <c r="N932" s="11"/>
      <c r="O932" s="11"/>
      <c r="P932" s="11"/>
      <c r="Q932" s="13" t="str">
        <f>IFERROR(VLOOKUP(E932,'SF Churn Data'!E:R,14,0),"")</f>
        <v/>
      </c>
    </row>
    <row r="933" hidden="1">
      <c r="A933" s="11"/>
      <c r="B933" s="11"/>
      <c r="C933" s="11"/>
      <c r="D933" s="11"/>
      <c r="E933" s="11"/>
      <c r="F933" s="11"/>
      <c r="G933" s="11"/>
      <c r="H933" s="11"/>
      <c r="I933" s="12"/>
      <c r="J933" s="12"/>
      <c r="K933" s="11"/>
      <c r="L933" s="11"/>
      <c r="M933" s="11"/>
      <c r="N933" s="11"/>
      <c r="O933" s="11"/>
      <c r="P933" s="11"/>
      <c r="Q933" s="13" t="str">
        <f>IFERROR(VLOOKUP(E933,'SF Churn Data'!E:R,14,0),"")</f>
        <v/>
      </c>
    </row>
    <row r="934" hidden="1">
      <c r="A934" s="11"/>
      <c r="B934" s="11"/>
      <c r="C934" s="11"/>
      <c r="D934" s="11"/>
      <c r="E934" s="11"/>
      <c r="F934" s="11"/>
      <c r="G934" s="11"/>
      <c r="H934" s="11"/>
      <c r="I934" s="12"/>
      <c r="J934" s="12"/>
      <c r="K934" s="11"/>
      <c r="L934" s="11"/>
      <c r="M934" s="11"/>
      <c r="N934" s="11"/>
      <c r="O934" s="11"/>
      <c r="P934" s="11"/>
      <c r="Q934" s="13" t="str">
        <f>IFERROR(VLOOKUP(E934,'SF Churn Data'!E:R,14,0),"")</f>
        <v/>
      </c>
    </row>
    <row r="935" hidden="1">
      <c r="A935" s="11"/>
      <c r="B935" s="11"/>
      <c r="C935" s="11"/>
      <c r="D935" s="11"/>
      <c r="E935" s="11"/>
      <c r="F935" s="11"/>
      <c r="G935" s="11"/>
      <c r="H935" s="11"/>
      <c r="I935" s="12"/>
      <c r="J935" s="12"/>
      <c r="K935" s="11"/>
      <c r="L935" s="11"/>
      <c r="M935" s="11"/>
      <c r="N935" s="11"/>
      <c r="O935" s="11"/>
      <c r="P935" s="11"/>
      <c r="Q935" s="13" t="str">
        <f>IFERROR(VLOOKUP(E935,'SF Churn Data'!E:R,14,0),"")</f>
        <v/>
      </c>
    </row>
    <row r="936" hidden="1">
      <c r="A936" s="11"/>
      <c r="B936" s="11"/>
      <c r="C936" s="11"/>
      <c r="D936" s="11"/>
      <c r="E936" s="11"/>
      <c r="F936" s="11"/>
      <c r="G936" s="11"/>
      <c r="H936" s="11"/>
      <c r="I936" s="12"/>
      <c r="J936" s="12"/>
      <c r="K936" s="12"/>
      <c r="L936" s="11"/>
      <c r="M936" s="11"/>
      <c r="N936" s="11"/>
      <c r="O936" s="11"/>
      <c r="P936" s="11"/>
      <c r="Q936" s="13" t="str">
        <f>IFERROR(VLOOKUP(E936,'SF Churn Data'!E:R,14,0),"")</f>
        <v/>
      </c>
    </row>
    <row r="937" hidden="1">
      <c r="A937" s="11"/>
      <c r="B937" s="11"/>
      <c r="C937" s="11"/>
      <c r="D937" s="11"/>
      <c r="E937" s="11"/>
      <c r="F937" s="11"/>
      <c r="G937" s="11"/>
      <c r="H937" s="11"/>
      <c r="I937" s="12"/>
      <c r="J937" s="12"/>
      <c r="K937" s="11"/>
      <c r="L937" s="11"/>
      <c r="M937" s="11"/>
      <c r="N937" s="11"/>
      <c r="O937" s="11"/>
      <c r="P937" s="11"/>
      <c r="Q937" s="13" t="str">
        <f>IFERROR(VLOOKUP(E937,'SF Churn Data'!E:R,14,0),"")</f>
        <v/>
      </c>
    </row>
    <row r="938" hidden="1">
      <c r="A938" s="11"/>
      <c r="B938" s="11"/>
      <c r="C938" s="11"/>
      <c r="D938" s="11"/>
      <c r="E938" s="11"/>
      <c r="F938" s="11"/>
      <c r="G938" s="11"/>
      <c r="H938" s="11"/>
      <c r="I938" s="12"/>
      <c r="J938" s="12"/>
      <c r="K938" s="11"/>
      <c r="L938" s="11"/>
      <c r="M938" s="11"/>
      <c r="N938" s="11"/>
      <c r="O938" s="11"/>
      <c r="P938" s="11"/>
      <c r="Q938" s="13" t="str">
        <f>IFERROR(VLOOKUP(E938,'SF Churn Data'!E:R,14,0),"")</f>
        <v/>
      </c>
    </row>
    <row r="939" hidden="1">
      <c r="A939" s="11"/>
      <c r="B939" s="11"/>
      <c r="C939" s="11"/>
      <c r="D939" s="11"/>
      <c r="E939" s="11"/>
      <c r="F939" s="11"/>
      <c r="G939" s="11"/>
      <c r="H939" s="11"/>
      <c r="I939" s="12"/>
      <c r="J939" s="12"/>
      <c r="K939" s="11"/>
      <c r="L939" s="11"/>
      <c r="M939" s="11"/>
      <c r="N939" s="11"/>
      <c r="O939" s="11"/>
      <c r="P939" s="11"/>
      <c r="Q939" s="13" t="str">
        <f>IFERROR(VLOOKUP(E939,'SF Churn Data'!E:R,14,0),"")</f>
        <v/>
      </c>
    </row>
    <row r="940" hidden="1">
      <c r="A940" s="11"/>
      <c r="B940" s="11"/>
      <c r="C940" s="11"/>
      <c r="D940" s="11"/>
      <c r="E940" s="11"/>
      <c r="F940" s="11"/>
      <c r="G940" s="11"/>
      <c r="H940" s="11"/>
      <c r="I940" s="12"/>
      <c r="J940" s="12"/>
      <c r="K940" s="11"/>
      <c r="L940" s="11"/>
      <c r="M940" s="11"/>
      <c r="N940" s="11"/>
      <c r="O940" s="11"/>
      <c r="P940" s="11"/>
      <c r="Q940" s="13" t="str">
        <f>IFERROR(VLOOKUP(E940,'SF Churn Data'!E:R,14,0),"")</f>
        <v/>
      </c>
    </row>
    <row r="941" hidden="1">
      <c r="A941" s="11"/>
      <c r="B941" s="11"/>
      <c r="C941" s="11"/>
      <c r="D941" s="11"/>
      <c r="E941" s="11"/>
      <c r="F941" s="11"/>
      <c r="G941" s="11"/>
      <c r="H941" s="11"/>
      <c r="I941" s="12"/>
      <c r="J941" s="12"/>
      <c r="K941" s="12"/>
      <c r="L941" s="11"/>
      <c r="M941" s="11"/>
      <c r="N941" s="11"/>
      <c r="O941" s="11"/>
      <c r="P941" s="11"/>
      <c r="Q941" s="13" t="str">
        <f>IFERROR(VLOOKUP(E941,'SF Churn Data'!E:R,14,0),"")</f>
        <v/>
      </c>
    </row>
    <row r="942" hidden="1">
      <c r="A942" s="11"/>
      <c r="B942" s="11"/>
      <c r="C942" s="11"/>
      <c r="D942" s="11"/>
      <c r="E942" s="11"/>
      <c r="F942" s="11"/>
      <c r="G942" s="11"/>
      <c r="H942" s="11"/>
      <c r="I942" s="12"/>
      <c r="J942" s="12"/>
      <c r="K942" s="12"/>
      <c r="L942" s="11"/>
      <c r="M942" s="11"/>
      <c r="N942" s="11"/>
      <c r="O942" s="11"/>
      <c r="P942" s="11"/>
      <c r="Q942" s="13" t="str">
        <f>IFERROR(VLOOKUP(E942,'SF Churn Data'!E:R,14,0),"")</f>
        <v/>
      </c>
    </row>
    <row r="943" hidden="1">
      <c r="A943" s="11"/>
      <c r="B943" s="11"/>
      <c r="C943" s="11"/>
      <c r="D943" s="11"/>
      <c r="E943" s="11"/>
      <c r="F943" s="11"/>
      <c r="G943" s="11"/>
      <c r="H943" s="11"/>
      <c r="I943" s="12"/>
      <c r="J943" s="12"/>
      <c r="K943" s="12"/>
      <c r="L943" s="11"/>
      <c r="M943" s="11"/>
      <c r="N943" s="11"/>
      <c r="O943" s="11"/>
      <c r="P943" s="11"/>
      <c r="Q943" s="13" t="str">
        <f>IFERROR(VLOOKUP(E943,'SF Churn Data'!E:R,14,0),"")</f>
        <v/>
      </c>
    </row>
    <row r="944" hidden="1">
      <c r="A944" s="11"/>
      <c r="B944" s="11"/>
      <c r="C944" s="11"/>
      <c r="D944" s="11"/>
      <c r="E944" s="11"/>
      <c r="F944" s="11"/>
      <c r="G944" s="11"/>
      <c r="H944" s="11"/>
      <c r="I944" s="12"/>
      <c r="J944" s="12"/>
      <c r="K944" s="12"/>
      <c r="L944" s="11"/>
      <c r="M944" s="11"/>
      <c r="N944" s="11"/>
      <c r="O944" s="11"/>
      <c r="P944" s="11"/>
      <c r="Q944" s="13" t="str">
        <f>IFERROR(VLOOKUP(E944,'SF Churn Data'!E:R,14,0),"")</f>
        <v/>
      </c>
    </row>
    <row r="945" hidden="1">
      <c r="A945" s="11"/>
      <c r="B945" s="11"/>
      <c r="C945" s="11"/>
      <c r="D945" s="11"/>
      <c r="E945" s="11"/>
      <c r="F945" s="11"/>
      <c r="G945" s="11"/>
      <c r="H945" s="11"/>
      <c r="I945" s="12"/>
      <c r="J945" s="12"/>
      <c r="K945" s="11"/>
      <c r="L945" s="11"/>
      <c r="M945" s="11"/>
      <c r="N945" s="11"/>
      <c r="O945" s="11"/>
      <c r="P945" s="11"/>
      <c r="Q945" s="13" t="str">
        <f>IFERROR(VLOOKUP(E945,'SF Churn Data'!E:R,14,0),"")</f>
        <v/>
      </c>
    </row>
    <row r="946" hidden="1">
      <c r="A946" s="11"/>
      <c r="B946" s="11"/>
      <c r="C946" s="11"/>
      <c r="D946" s="11"/>
      <c r="E946" s="11"/>
      <c r="F946" s="11"/>
      <c r="G946" s="11"/>
      <c r="H946" s="11"/>
      <c r="I946" s="12"/>
      <c r="J946" s="12"/>
      <c r="K946" s="11"/>
      <c r="L946" s="11"/>
      <c r="M946" s="11"/>
      <c r="N946" s="11"/>
      <c r="O946" s="11"/>
      <c r="P946" s="11"/>
      <c r="Q946" s="13" t="str">
        <f>IFERROR(VLOOKUP(E946,'SF Churn Data'!E:R,14,0),"")</f>
        <v/>
      </c>
    </row>
    <row r="947" hidden="1">
      <c r="A947" s="11"/>
      <c r="B947" s="11"/>
      <c r="C947" s="11"/>
      <c r="D947" s="11"/>
      <c r="E947" s="11"/>
      <c r="F947" s="11"/>
      <c r="G947" s="11"/>
      <c r="H947" s="11"/>
      <c r="I947" s="12"/>
      <c r="J947" s="12"/>
      <c r="K947" s="11"/>
      <c r="L947" s="11"/>
      <c r="M947" s="11"/>
      <c r="N947" s="11"/>
      <c r="O947" s="11"/>
      <c r="P947" s="11"/>
      <c r="Q947" s="13" t="str">
        <f>IFERROR(VLOOKUP(E947,'SF Churn Data'!E:R,14,0),"")</f>
        <v/>
      </c>
    </row>
    <row r="948" hidden="1">
      <c r="A948" s="11"/>
      <c r="B948" s="11"/>
      <c r="C948" s="11"/>
      <c r="D948" s="11"/>
      <c r="E948" s="11"/>
      <c r="F948" s="11"/>
      <c r="G948" s="11"/>
      <c r="H948" s="11"/>
      <c r="I948" s="12"/>
      <c r="J948" s="12"/>
      <c r="K948" s="11"/>
      <c r="L948" s="11"/>
      <c r="M948" s="11"/>
      <c r="N948" s="11"/>
      <c r="O948" s="11"/>
      <c r="P948" s="11"/>
      <c r="Q948" s="13" t="str">
        <f>IFERROR(VLOOKUP(E948,'SF Churn Data'!E:R,14,0),"")</f>
        <v/>
      </c>
    </row>
    <row r="949" hidden="1">
      <c r="A949" s="11"/>
      <c r="B949" s="11"/>
      <c r="C949" s="11"/>
      <c r="D949" s="11"/>
      <c r="E949" s="11"/>
      <c r="F949" s="11"/>
      <c r="G949" s="11"/>
      <c r="H949" s="11"/>
      <c r="I949" s="12"/>
      <c r="J949" s="12"/>
      <c r="K949" s="11"/>
      <c r="L949" s="11"/>
      <c r="M949" s="11"/>
      <c r="N949" s="11"/>
      <c r="O949" s="11"/>
      <c r="P949" s="11"/>
      <c r="Q949" s="13" t="str">
        <f>IFERROR(VLOOKUP(E949,'SF Churn Data'!E:R,14,0),"")</f>
        <v/>
      </c>
    </row>
    <row r="950" hidden="1">
      <c r="A950" s="11"/>
      <c r="B950" s="11"/>
      <c r="C950" s="11"/>
      <c r="D950" s="11"/>
      <c r="E950" s="11"/>
      <c r="F950" s="11"/>
      <c r="G950" s="11"/>
      <c r="H950" s="11"/>
      <c r="I950" s="12"/>
      <c r="J950" s="12"/>
      <c r="K950" s="11"/>
      <c r="L950" s="11"/>
      <c r="M950" s="11"/>
      <c r="N950" s="11"/>
      <c r="O950" s="11"/>
      <c r="P950" s="11"/>
      <c r="Q950" s="13" t="str">
        <f>IFERROR(VLOOKUP(E950,'SF Churn Data'!E:R,14,0),"")</f>
        <v/>
      </c>
    </row>
    <row r="951" hidden="1">
      <c r="A951" s="11"/>
      <c r="B951" s="11"/>
      <c r="C951" s="11"/>
      <c r="D951" s="11"/>
      <c r="E951" s="11"/>
      <c r="F951" s="11"/>
      <c r="G951" s="11"/>
      <c r="H951" s="11"/>
      <c r="I951" s="12"/>
      <c r="J951" s="12"/>
      <c r="K951" s="11"/>
      <c r="L951" s="11"/>
      <c r="M951" s="11"/>
      <c r="N951" s="11"/>
      <c r="O951" s="11"/>
      <c r="P951" s="11"/>
      <c r="Q951" s="13" t="str">
        <f>IFERROR(VLOOKUP(E951,'SF Churn Data'!E:R,14,0),"")</f>
        <v/>
      </c>
    </row>
    <row r="952" hidden="1">
      <c r="A952" s="11"/>
      <c r="B952" s="11"/>
      <c r="C952" s="11"/>
      <c r="D952" s="11"/>
      <c r="E952" s="11"/>
      <c r="F952" s="11"/>
      <c r="G952" s="11"/>
      <c r="H952" s="11"/>
      <c r="I952" s="12"/>
      <c r="J952" s="12"/>
      <c r="K952" s="11"/>
      <c r="L952" s="11"/>
      <c r="M952" s="11"/>
      <c r="N952" s="11"/>
      <c r="O952" s="11"/>
      <c r="P952" s="11"/>
      <c r="Q952" s="13" t="str">
        <f>IFERROR(VLOOKUP(E952,'SF Churn Data'!E:R,14,0),"")</f>
        <v/>
      </c>
    </row>
    <row r="953" hidden="1">
      <c r="A953" s="11"/>
      <c r="B953" s="11"/>
      <c r="C953" s="11"/>
      <c r="D953" s="11"/>
      <c r="E953" s="11"/>
      <c r="F953" s="11"/>
      <c r="G953" s="11"/>
      <c r="H953" s="11"/>
      <c r="I953" s="12"/>
      <c r="J953" s="12"/>
      <c r="K953" s="11"/>
      <c r="L953" s="11"/>
      <c r="M953" s="11"/>
      <c r="N953" s="11"/>
      <c r="O953" s="11"/>
      <c r="P953" s="11"/>
      <c r="Q953" s="13" t="str">
        <f>IFERROR(VLOOKUP(E953,'SF Churn Data'!E:R,14,0),"")</f>
        <v/>
      </c>
    </row>
    <row r="954" hidden="1">
      <c r="A954" s="11"/>
      <c r="B954" s="11"/>
      <c r="C954" s="11"/>
      <c r="D954" s="11"/>
      <c r="E954" s="11"/>
      <c r="F954" s="11"/>
      <c r="G954" s="11"/>
      <c r="H954" s="11"/>
      <c r="I954" s="12"/>
      <c r="J954" s="12"/>
      <c r="K954" s="11"/>
      <c r="L954" s="11"/>
      <c r="M954" s="11"/>
      <c r="N954" s="11"/>
      <c r="O954" s="11"/>
      <c r="P954" s="11"/>
      <c r="Q954" s="13" t="str">
        <f>IFERROR(VLOOKUP(E954,'SF Churn Data'!E:R,14,0),"")</f>
        <v/>
      </c>
    </row>
    <row r="955" hidden="1">
      <c r="A955" s="11"/>
      <c r="B955" s="11"/>
      <c r="C955" s="11"/>
      <c r="D955" s="11"/>
      <c r="E955" s="11"/>
      <c r="F955" s="11"/>
      <c r="G955" s="11"/>
      <c r="H955" s="11"/>
      <c r="I955" s="12"/>
      <c r="J955" s="12"/>
      <c r="K955" s="11"/>
      <c r="L955" s="11"/>
      <c r="M955" s="11"/>
      <c r="N955" s="11"/>
      <c r="O955" s="11"/>
      <c r="P955" s="11"/>
      <c r="Q955" s="13" t="str">
        <f>IFERROR(VLOOKUP(E955,'SF Churn Data'!E:R,14,0),"")</f>
        <v/>
      </c>
    </row>
    <row r="956" hidden="1">
      <c r="A956" s="11"/>
      <c r="B956" s="11"/>
      <c r="C956" s="11"/>
      <c r="D956" s="11"/>
      <c r="E956" s="11"/>
      <c r="F956" s="11"/>
      <c r="G956" s="11"/>
      <c r="H956" s="11"/>
      <c r="I956" s="12"/>
      <c r="J956" s="12"/>
      <c r="K956" s="11"/>
      <c r="L956" s="11"/>
      <c r="M956" s="11"/>
      <c r="N956" s="11"/>
      <c r="O956" s="11"/>
      <c r="P956" s="11"/>
      <c r="Q956" s="13" t="str">
        <f>IFERROR(VLOOKUP(E956,'SF Churn Data'!E:R,14,0),"")</f>
        <v/>
      </c>
    </row>
    <row r="957" hidden="1">
      <c r="A957" s="11"/>
      <c r="B957" s="11"/>
      <c r="C957" s="11"/>
      <c r="D957" s="11"/>
      <c r="E957" s="11"/>
      <c r="F957" s="11"/>
      <c r="G957" s="11"/>
      <c r="H957" s="11"/>
      <c r="I957" s="12"/>
      <c r="J957" s="12"/>
      <c r="K957" s="11"/>
      <c r="L957" s="11"/>
      <c r="M957" s="11"/>
      <c r="N957" s="11"/>
      <c r="O957" s="11"/>
      <c r="P957" s="11"/>
      <c r="Q957" s="13" t="str">
        <f>IFERROR(VLOOKUP(E957,'SF Churn Data'!E:R,14,0),"")</f>
        <v/>
      </c>
    </row>
    <row r="958" hidden="1">
      <c r="A958" s="11"/>
      <c r="B958" s="11"/>
      <c r="C958" s="11"/>
      <c r="D958" s="11"/>
      <c r="E958" s="11"/>
      <c r="F958" s="11"/>
      <c r="G958" s="11"/>
      <c r="H958" s="11"/>
      <c r="I958" s="12"/>
      <c r="J958" s="12"/>
      <c r="K958" s="12"/>
      <c r="L958" s="11"/>
      <c r="M958" s="11"/>
      <c r="N958" s="11"/>
      <c r="O958" s="11"/>
      <c r="P958" s="11"/>
      <c r="Q958" s="13" t="str">
        <f>IFERROR(VLOOKUP(E958,'SF Churn Data'!E:R,14,0),"")</f>
        <v/>
      </c>
    </row>
    <row r="959" hidden="1">
      <c r="A959" s="11"/>
      <c r="B959" s="11"/>
      <c r="C959" s="11"/>
      <c r="D959" s="11"/>
      <c r="E959" s="11"/>
      <c r="F959" s="11"/>
      <c r="G959" s="11"/>
      <c r="H959" s="11"/>
      <c r="I959" s="12"/>
      <c r="J959" s="12"/>
      <c r="K959" s="11"/>
      <c r="L959" s="11"/>
      <c r="M959" s="11"/>
      <c r="N959" s="11"/>
      <c r="O959" s="11"/>
      <c r="P959" s="11"/>
      <c r="Q959" s="13" t="str">
        <f>IFERROR(VLOOKUP(E959,'SF Churn Data'!E:R,14,0),"")</f>
        <v/>
      </c>
    </row>
    <row r="960" hidden="1">
      <c r="A960" s="11"/>
      <c r="B960" s="11"/>
      <c r="C960" s="11"/>
      <c r="D960" s="11"/>
      <c r="E960" s="11"/>
      <c r="F960" s="11"/>
      <c r="G960" s="11"/>
      <c r="H960" s="11"/>
      <c r="I960" s="12"/>
      <c r="J960" s="12"/>
      <c r="K960" s="11"/>
      <c r="L960" s="11"/>
      <c r="M960" s="11"/>
      <c r="N960" s="11"/>
      <c r="O960" s="11"/>
      <c r="P960" s="11"/>
      <c r="Q960" s="13" t="str">
        <f>IFERROR(VLOOKUP(E960,'SF Churn Data'!E:R,14,0),"")</f>
        <v/>
      </c>
    </row>
    <row r="961" hidden="1">
      <c r="A961" s="11"/>
      <c r="B961" s="11"/>
      <c r="C961" s="11"/>
      <c r="D961" s="11"/>
      <c r="E961" s="11"/>
      <c r="F961" s="11"/>
      <c r="G961" s="11"/>
      <c r="H961" s="11"/>
      <c r="I961" s="12"/>
      <c r="J961" s="12"/>
      <c r="K961" s="11"/>
      <c r="L961" s="11"/>
      <c r="M961" s="11"/>
      <c r="N961" s="11"/>
      <c r="O961" s="11"/>
      <c r="P961" s="11"/>
      <c r="Q961" s="13" t="str">
        <f>IFERROR(VLOOKUP(E961,'SF Churn Data'!E:R,14,0),"")</f>
        <v/>
      </c>
    </row>
    <row r="962" hidden="1">
      <c r="A962" s="11"/>
      <c r="B962" s="11"/>
      <c r="C962" s="11"/>
      <c r="D962" s="11"/>
      <c r="E962" s="11"/>
      <c r="F962" s="11"/>
      <c r="G962" s="11"/>
      <c r="H962" s="11"/>
      <c r="I962" s="12"/>
      <c r="J962" s="12"/>
      <c r="K962" s="11"/>
      <c r="L962" s="11"/>
      <c r="M962" s="11"/>
      <c r="N962" s="11"/>
      <c r="O962" s="11"/>
      <c r="P962" s="11"/>
      <c r="Q962" s="13" t="str">
        <f>IFERROR(VLOOKUP(E962,'SF Churn Data'!E:R,14,0),"")</f>
        <v/>
      </c>
    </row>
    <row r="963" hidden="1">
      <c r="A963" s="11"/>
      <c r="B963" s="11"/>
      <c r="C963" s="11"/>
      <c r="D963" s="11"/>
      <c r="E963" s="11"/>
      <c r="F963" s="11"/>
      <c r="G963" s="11"/>
      <c r="H963" s="11"/>
      <c r="I963" s="12"/>
      <c r="J963" s="12"/>
      <c r="K963" s="11"/>
      <c r="L963" s="11"/>
      <c r="M963" s="11"/>
      <c r="N963" s="11"/>
      <c r="O963" s="11"/>
      <c r="P963" s="11"/>
      <c r="Q963" s="13" t="str">
        <f>IFERROR(VLOOKUP(E963,'SF Churn Data'!E:R,14,0),"")</f>
        <v/>
      </c>
    </row>
    <row r="964" hidden="1">
      <c r="A964" s="11"/>
      <c r="B964" s="11"/>
      <c r="C964" s="11"/>
      <c r="D964" s="11"/>
      <c r="E964" s="11"/>
      <c r="F964" s="11"/>
      <c r="G964" s="11"/>
      <c r="H964" s="11"/>
      <c r="I964" s="12"/>
      <c r="J964" s="12"/>
      <c r="K964" s="11"/>
      <c r="L964" s="11"/>
      <c r="M964" s="11"/>
      <c r="N964" s="11"/>
      <c r="O964" s="11"/>
      <c r="P964" s="11"/>
      <c r="Q964" s="13" t="str">
        <f>IFERROR(VLOOKUP(E964,'SF Churn Data'!E:R,14,0),"")</f>
        <v/>
      </c>
    </row>
    <row r="965" hidden="1">
      <c r="A965" s="11"/>
      <c r="B965" s="11"/>
      <c r="C965" s="11"/>
      <c r="D965" s="11"/>
      <c r="E965" s="11"/>
      <c r="F965" s="11"/>
      <c r="G965" s="11"/>
      <c r="H965" s="11"/>
      <c r="I965" s="12"/>
      <c r="J965" s="12"/>
      <c r="K965" s="11"/>
      <c r="L965" s="11"/>
      <c r="M965" s="11"/>
      <c r="N965" s="11"/>
      <c r="O965" s="11"/>
      <c r="P965" s="11"/>
      <c r="Q965" s="13" t="str">
        <f>IFERROR(VLOOKUP(E965,'SF Churn Data'!E:R,14,0),"")</f>
        <v/>
      </c>
    </row>
    <row r="966" hidden="1">
      <c r="A966" s="11"/>
      <c r="B966" s="11"/>
      <c r="C966" s="11"/>
      <c r="D966" s="11"/>
      <c r="E966" s="11"/>
      <c r="F966" s="11"/>
      <c r="G966" s="11"/>
      <c r="H966" s="11"/>
      <c r="I966" s="12"/>
      <c r="J966" s="12"/>
      <c r="K966" s="11"/>
      <c r="L966" s="11"/>
      <c r="M966" s="11"/>
      <c r="N966" s="11"/>
      <c r="O966" s="11"/>
      <c r="P966" s="11"/>
      <c r="Q966" s="13" t="str">
        <f>IFERROR(VLOOKUP(E966,'SF Churn Data'!E:R,14,0),"")</f>
        <v/>
      </c>
    </row>
    <row r="967" hidden="1">
      <c r="A967" s="11"/>
      <c r="B967" s="11"/>
      <c r="C967" s="11"/>
      <c r="D967" s="11"/>
      <c r="E967" s="11"/>
      <c r="F967" s="11"/>
      <c r="G967" s="11"/>
      <c r="H967" s="11"/>
      <c r="I967" s="12"/>
      <c r="J967" s="12"/>
      <c r="K967" s="11"/>
      <c r="L967" s="11"/>
      <c r="M967" s="11"/>
      <c r="N967" s="11"/>
      <c r="O967" s="11"/>
      <c r="P967" s="11"/>
      <c r="Q967" s="13" t="str">
        <f>IFERROR(VLOOKUP(E967,'SF Churn Data'!E:R,14,0),"")</f>
        <v/>
      </c>
    </row>
    <row r="968" hidden="1">
      <c r="A968" s="11"/>
      <c r="B968" s="11"/>
      <c r="C968" s="11"/>
      <c r="D968" s="11"/>
      <c r="E968" s="11"/>
      <c r="F968" s="11"/>
      <c r="G968" s="11"/>
      <c r="H968" s="11"/>
      <c r="I968" s="12"/>
      <c r="J968" s="12"/>
      <c r="K968" s="11"/>
      <c r="L968" s="11"/>
      <c r="M968" s="11"/>
      <c r="N968" s="11"/>
      <c r="O968" s="11"/>
      <c r="P968" s="11"/>
      <c r="Q968" s="13" t="str">
        <f>IFERROR(VLOOKUP(E968,'SF Churn Data'!E:R,14,0),"")</f>
        <v/>
      </c>
    </row>
    <row r="969" hidden="1">
      <c r="A969" s="11"/>
      <c r="B969" s="11"/>
      <c r="C969" s="11"/>
      <c r="D969" s="11"/>
      <c r="E969" s="11"/>
      <c r="F969" s="11"/>
      <c r="G969" s="11"/>
      <c r="H969" s="11"/>
      <c r="I969" s="12"/>
      <c r="J969" s="12"/>
      <c r="K969" s="11"/>
      <c r="L969" s="11"/>
      <c r="M969" s="11"/>
      <c r="N969" s="11"/>
      <c r="O969" s="11"/>
      <c r="P969" s="11"/>
      <c r="Q969" s="13" t="str">
        <f>IFERROR(VLOOKUP(E969,'SF Churn Data'!E:R,14,0),"")</f>
        <v/>
      </c>
    </row>
    <row r="970" hidden="1">
      <c r="A970" s="11"/>
      <c r="B970" s="11"/>
      <c r="C970" s="11"/>
      <c r="D970" s="11"/>
      <c r="E970" s="11"/>
      <c r="F970" s="11"/>
      <c r="G970" s="11"/>
      <c r="H970" s="11"/>
      <c r="I970" s="12"/>
      <c r="J970" s="12"/>
      <c r="K970" s="12"/>
      <c r="L970" s="11"/>
      <c r="M970" s="11"/>
      <c r="N970" s="11"/>
      <c r="O970" s="11"/>
      <c r="P970" s="11"/>
      <c r="Q970" s="13" t="str">
        <f>IFERROR(VLOOKUP(E970,'SF Churn Data'!E:R,14,0),"")</f>
        <v/>
      </c>
    </row>
    <row r="971" hidden="1">
      <c r="A971" s="11"/>
      <c r="B971" s="11"/>
      <c r="C971" s="11"/>
      <c r="D971" s="11"/>
      <c r="E971" s="11"/>
      <c r="F971" s="11"/>
      <c r="G971" s="11"/>
      <c r="H971" s="11"/>
      <c r="I971" s="12"/>
      <c r="J971" s="12"/>
      <c r="K971" s="11"/>
      <c r="L971" s="11"/>
      <c r="M971" s="11"/>
      <c r="N971" s="11"/>
      <c r="O971" s="11"/>
      <c r="P971" s="11"/>
      <c r="Q971" s="13" t="str">
        <f>IFERROR(VLOOKUP(E971,'SF Churn Data'!E:R,14,0),"")</f>
        <v/>
      </c>
    </row>
    <row r="972" hidden="1">
      <c r="A972" s="11"/>
      <c r="B972" s="11"/>
      <c r="C972" s="11"/>
      <c r="D972" s="11"/>
      <c r="E972" s="11"/>
      <c r="F972" s="11"/>
      <c r="G972" s="11"/>
      <c r="H972" s="11"/>
      <c r="I972" s="12"/>
      <c r="J972" s="12"/>
      <c r="K972" s="11"/>
      <c r="L972" s="11"/>
      <c r="M972" s="11"/>
      <c r="N972" s="11"/>
      <c r="O972" s="11"/>
      <c r="P972" s="11"/>
      <c r="Q972" s="13" t="str">
        <f>IFERROR(VLOOKUP(E972,'SF Churn Data'!E:R,14,0),"")</f>
        <v/>
      </c>
    </row>
    <row r="973" hidden="1">
      <c r="A973" s="11"/>
      <c r="B973" s="11"/>
      <c r="C973" s="11"/>
      <c r="D973" s="11"/>
      <c r="E973" s="11"/>
      <c r="F973" s="11"/>
      <c r="G973" s="11"/>
      <c r="H973" s="11"/>
      <c r="I973" s="12"/>
      <c r="J973" s="12"/>
      <c r="K973" s="11"/>
      <c r="L973" s="11"/>
      <c r="M973" s="11"/>
      <c r="N973" s="11"/>
      <c r="O973" s="11"/>
      <c r="P973" s="11"/>
      <c r="Q973" s="13" t="str">
        <f>IFERROR(VLOOKUP(E973,'SF Churn Data'!E:R,14,0),"")</f>
        <v/>
      </c>
    </row>
    <row r="974" hidden="1">
      <c r="A974" s="11"/>
      <c r="B974" s="11"/>
      <c r="C974" s="11"/>
      <c r="D974" s="11"/>
      <c r="E974" s="11"/>
      <c r="F974" s="11"/>
      <c r="G974" s="11"/>
      <c r="H974" s="11"/>
      <c r="I974" s="12"/>
      <c r="J974" s="12"/>
      <c r="K974" s="11"/>
      <c r="L974" s="11"/>
      <c r="M974" s="11"/>
      <c r="N974" s="11"/>
      <c r="O974" s="11"/>
      <c r="P974" s="11"/>
      <c r="Q974" s="13" t="str">
        <f>IFERROR(VLOOKUP(E974,'SF Churn Data'!E:R,14,0),"")</f>
        <v/>
      </c>
    </row>
    <row r="975" hidden="1">
      <c r="A975" s="11"/>
      <c r="B975" s="11"/>
      <c r="C975" s="11"/>
      <c r="D975" s="11"/>
      <c r="E975" s="11"/>
      <c r="F975" s="11"/>
      <c r="G975" s="11"/>
      <c r="H975" s="11"/>
      <c r="I975" s="12"/>
      <c r="J975" s="12"/>
      <c r="K975" s="11"/>
      <c r="L975" s="11"/>
      <c r="M975" s="11"/>
      <c r="N975" s="11"/>
      <c r="O975" s="11"/>
      <c r="P975" s="11"/>
      <c r="Q975" s="13" t="str">
        <f>IFERROR(VLOOKUP(E975,'SF Churn Data'!E:R,14,0),"")</f>
        <v/>
      </c>
    </row>
    <row r="976" hidden="1">
      <c r="A976" s="11"/>
      <c r="B976" s="11"/>
      <c r="C976" s="11"/>
      <c r="D976" s="11"/>
      <c r="E976" s="11"/>
      <c r="F976" s="11"/>
      <c r="G976" s="11"/>
      <c r="H976" s="11"/>
      <c r="I976" s="12"/>
      <c r="J976" s="12"/>
      <c r="K976" s="11"/>
      <c r="L976" s="11"/>
      <c r="M976" s="11"/>
      <c r="N976" s="11"/>
      <c r="O976" s="11"/>
      <c r="P976" s="11"/>
      <c r="Q976" s="13" t="str">
        <f>IFERROR(VLOOKUP(E976,'SF Churn Data'!E:R,14,0),"")</f>
        <v/>
      </c>
    </row>
    <row r="977" hidden="1">
      <c r="A977" s="11"/>
      <c r="B977" s="11"/>
      <c r="C977" s="11"/>
      <c r="D977" s="11"/>
      <c r="E977" s="11"/>
      <c r="F977" s="11"/>
      <c r="G977" s="11"/>
      <c r="H977" s="11"/>
      <c r="I977" s="12"/>
      <c r="J977" s="12"/>
      <c r="K977" s="11"/>
      <c r="L977" s="11"/>
      <c r="M977" s="11"/>
      <c r="N977" s="11"/>
      <c r="O977" s="11"/>
      <c r="P977" s="11"/>
      <c r="Q977" s="13" t="str">
        <f>IFERROR(VLOOKUP(E977,'SF Churn Data'!E:R,14,0),"")</f>
        <v/>
      </c>
    </row>
    <row r="978" hidden="1">
      <c r="A978" s="11"/>
      <c r="B978" s="11"/>
      <c r="C978" s="11"/>
      <c r="D978" s="11"/>
      <c r="E978" s="11"/>
      <c r="F978" s="11"/>
      <c r="G978" s="11"/>
      <c r="H978" s="11"/>
      <c r="I978" s="12"/>
      <c r="J978" s="12"/>
      <c r="K978" s="11"/>
      <c r="L978" s="11"/>
      <c r="M978" s="11"/>
      <c r="N978" s="11"/>
      <c r="O978" s="11"/>
      <c r="P978" s="11"/>
      <c r="Q978" s="13" t="str">
        <f>IFERROR(VLOOKUP(E978,'SF Churn Data'!E:R,14,0),"")</f>
        <v/>
      </c>
    </row>
    <row r="979" hidden="1">
      <c r="A979" s="11"/>
      <c r="B979" s="11"/>
      <c r="C979" s="11"/>
      <c r="D979" s="11"/>
      <c r="E979" s="11"/>
      <c r="F979" s="11"/>
      <c r="G979" s="11"/>
      <c r="H979" s="11"/>
      <c r="I979" s="12"/>
      <c r="J979" s="12"/>
      <c r="K979" s="11"/>
      <c r="L979" s="11"/>
      <c r="M979" s="11"/>
      <c r="N979" s="11"/>
      <c r="O979" s="11"/>
      <c r="P979" s="11"/>
      <c r="Q979" s="13" t="str">
        <f>IFERROR(VLOOKUP(E979,'SF Churn Data'!E:R,14,0),"")</f>
        <v/>
      </c>
    </row>
    <row r="980" hidden="1">
      <c r="A980" s="11"/>
      <c r="B980" s="11"/>
      <c r="C980" s="11"/>
      <c r="D980" s="11"/>
      <c r="E980" s="11"/>
      <c r="F980" s="11"/>
      <c r="G980" s="11"/>
      <c r="H980" s="11"/>
      <c r="I980" s="12"/>
      <c r="J980" s="12"/>
      <c r="K980" s="11"/>
      <c r="L980" s="11"/>
      <c r="M980" s="11"/>
      <c r="N980" s="11"/>
      <c r="O980" s="11"/>
      <c r="P980" s="11"/>
      <c r="Q980" s="13" t="str">
        <f>IFERROR(VLOOKUP(E980,'SF Churn Data'!E:R,14,0),"")</f>
        <v/>
      </c>
    </row>
    <row r="981" hidden="1">
      <c r="A981" s="11"/>
      <c r="B981" s="11"/>
      <c r="C981" s="11"/>
      <c r="D981" s="11"/>
      <c r="E981" s="11"/>
      <c r="F981" s="11"/>
      <c r="G981" s="11"/>
      <c r="H981" s="11"/>
      <c r="I981" s="12"/>
      <c r="J981" s="12"/>
      <c r="K981" s="11"/>
      <c r="L981" s="11"/>
      <c r="M981" s="11"/>
      <c r="N981" s="11"/>
      <c r="O981" s="11"/>
      <c r="P981" s="11"/>
      <c r="Q981" s="13" t="str">
        <f>IFERROR(VLOOKUP(E981,'SF Churn Data'!E:R,14,0),"")</f>
        <v/>
      </c>
    </row>
    <row r="982" hidden="1">
      <c r="A982" s="11"/>
      <c r="B982" s="11"/>
      <c r="C982" s="11"/>
      <c r="D982" s="11"/>
      <c r="E982" s="11"/>
      <c r="F982" s="11"/>
      <c r="G982" s="11"/>
      <c r="H982" s="11"/>
      <c r="I982" s="12"/>
      <c r="J982" s="12"/>
      <c r="K982" s="11"/>
      <c r="L982" s="11"/>
      <c r="M982" s="11"/>
      <c r="N982" s="11"/>
      <c r="O982" s="11"/>
      <c r="P982" s="11"/>
      <c r="Q982" s="13" t="str">
        <f>IFERROR(VLOOKUP(E982,'SF Churn Data'!E:R,14,0),"")</f>
        <v/>
      </c>
    </row>
    <row r="983" hidden="1">
      <c r="A983" s="11"/>
      <c r="B983" s="11"/>
      <c r="C983" s="11"/>
      <c r="D983" s="11"/>
      <c r="E983" s="11"/>
      <c r="F983" s="11"/>
      <c r="G983" s="11"/>
      <c r="H983" s="11"/>
      <c r="I983" s="12"/>
      <c r="J983" s="12"/>
      <c r="K983" s="11"/>
      <c r="L983" s="11"/>
      <c r="M983" s="11"/>
      <c r="N983" s="11"/>
      <c r="O983" s="11"/>
      <c r="P983" s="11"/>
      <c r="Q983" s="13" t="str">
        <f>IFERROR(VLOOKUP(E983,'SF Churn Data'!E:R,14,0),"")</f>
        <v/>
      </c>
    </row>
    <row r="984" hidden="1">
      <c r="A984" s="11"/>
      <c r="B984" s="11"/>
      <c r="C984" s="11"/>
      <c r="D984" s="11"/>
      <c r="E984" s="11"/>
      <c r="F984" s="11"/>
      <c r="G984" s="11"/>
      <c r="H984" s="11"/>
      <c r="I984" s="12"/>
      <c r="J984" s="12"/>
      <c r="K984" s="11"/>
      <c r="L984" s="11"/>
      <c r="M984" s="11"/>
      <c r="N984" s="11"/>
      <c r="O984" s="11"/>
      <c r="P984" s="11"/>
      <c r="Q984" s="13" t="str">
        <f>IFERROR(VLOOKUP(E984,'SF Churn Data'!E:R,14,0),"")</f>
        <v/>
      </c>
    </row>
    <row r="985" hidden="1">
      <c r="A985" s="11"/>
      <c r="B985" s="11"/>
      <c r="C985" s="11"/>
      <c r="D985" s="11"/>
      <c r="E985" s="11"/>
      <c r="F985" s="11"/>
      <c r="G985" s="11"/>
      <c r="H985" s="11"/>
      <c r="I985" s="12"/>
      <c r="J985" s="12"/>
      <c r="K985" s="11"/>
      <c r="L985" s="11"/>
      <c r="M985" s="11"/>
      <c r="N985" s="11"/>
      <c r="O985" s="11"/>
      <c r="P985" s="11"/>
      <c r="Q985" s="13" t="str">
        <f>IFERROR(VLOOKUP(E985,'SF Churn Data'!E:R,14,0),"")</f>
        <v/>
      </c>
    </row>
    <row r="986">
      <c r="A986" s="11"/>
      <c r="B986" s="11"/>
      <c r="C986" s="11"/>
      <c r="D986" s="11"/>
      <c r="E986" s="11"/>
      <c r="F986" s="11"/>
      <c r="G986" s="11"/>
      <c r="H986" s="11"/>
      <c r="I986" s="12"/>
      <c r="J986" s="12"/>
      <c r="K986" s="11"/>
      <c r="L986" s="11"/>
      <c r="M986" s="11"/>
      <c r="N986" s="11"/>
      <c r="O986" s="11"/>
      <c r="P986" s="11"/>
      <c r="Q986" s="13" t="str">
        <f>IFERROR(VLOOKUP(E986,'SF Churn Data'!E:R,14,0),"")</f>
        <v/>
      </c>
    </row>
    <row r="987">
      <c r="A987" s="11"/>
      <c r="B987" s="11"/>
      <c r="C987" s="11"/>
      <c r="D987" s="11"/>
      <c r="E987" s="11"/>
      <c r="F987" s="11"/>
      <c r="G987" s="11"/>
      <c r="H987" s="11"/>
      <c r="I987" s="12"/>
      <c r="J987" s="12"/>
      <c r="K987" s="11"/>
      <c r="L987" s="11"/>
      <c r="M987" s="11"/>
      <c r="N987" s="11"/>
      <c r="O987" s="11"/>
      <c r="P987" s="11"/>
      <c r="Q987" s="13" t="str">
        <f>IFERROR(VLOOKUP(E987,'SF Churn Data'!E:R,14,0),"")</f>
        <v/>
      </c>
    </row>
    <row r="988">
      <c r="A988" s="11"/>
      <c r="B988" s="11"/>
      <c r="C988" s="11"/>
      <c r="D988" s="11"/>
      <c r="E988" s="11"/>
      <c r="F988" s="11"/>
      <c r="G988" s="11"/>
      <c r="H988" s="11"/>
      <c r="I988" s="12"/>
      <c r="J988" s="12"/>
      <c r="K988" s="11"/>
      <c r="L988" s="11"/>
      <c r="M988" s="11"/>
      <c r="N988" s="11"/>
      <c r="O988" s="11"/>
      <c r="P988" s="11"/>
      <c r="Q988" s="13" t="str">
        <f>IFERROR(VLOOKUP(E988,'SF Churn Data'!E:R,14,0),"")</f>
        <v/>
      </c>
    </row>
    <row r="989">
      <c r="A989" s="11"/>
      <c r="B989" s="11"/>
      <c r="C989" s="11"/>
      <c r="D989" s="11"/>
      <c r="E989" s="11"/>
      <c r="F989" s="11"/>
      <c r="G989" s="11"/>
      <c r="H989" s="11"/>
      <c r="I989" s="12"/>
      <c r="J989" s="12"/>
      <c r="K989" s="11"/>
      <c r="L989" s="11"/>
      <c r="M989" s="11"/>
      <c r="N989" s="11"/>
      <c r="O989" s="11"/>
      <c r="P989" s="11"/>
      <c r="Q989" s="13" t="str">
        <f>IFERROR(VLOOKUP(E989,'SF Churn Data'!E:R,14,0),"")</f>
        <v/>
      </c>
    </row>
    <row r="990">
      <c r="A990" s="11"/>
      <c r="B990" s="11"/>
      <c r="C990" s="11"/>
      <c r="D990" s="11"/>
      <c r="E990" s="11"/>
      <c r="F990" s="11"/>
      <c r="G990" s="11"/>
      <c r="H990" s="11"/>
      <c r="I990" s="12"/>
      <c r="J990" s="12"/>
      <c r="K990" s="11"/>
      <c r="L990" s="11"/>
      <c r="M990" s="11"/>
      <c r="N990" s="11"/>
      <c r="O990" s="11"/>
      <c r="P990" s="11"/>
      <c r="Q990" s="13" t="str">
        <f>IFERROR(VLOOKUP(E990,'SF Churn Data'!E:R,14,0),"")</f>
        <v/>
      </c>
    </row>
    <row r="991">
      <c r="A991" s="11"/>
      <c r="B991" s="11"/>
      <c r="C991" s="11"/>
      <c r="D991" s="11"/>
      <c r="E991" s="11"/>
      <c r="F991" s="11"/>
      <c r="G991" s="11"/>
      <c r="H991" s="11"/>
      <c r="I991" s="12"/>
      <c r="J991" s="12"/>
      <c r="K991" s="11"/>
      <c r="L991" s="11"/>
      <c r="M991" s="11"/>
      <c r="N991" s="11"/>
      <c r="O991" s="11"/>
      <c r="P991" s="11"/>
      <c r="Q991" s="13" t="str">
        <f>IFERROR(VLOOKUP(E991,'SF Churn Data'!E:R,14,0),"")</f>
        <v/>
      </c>
    </row>
    <row r="992">
      <c r="A992" s="11"/>
      <c r="B992" s="11"/>
      <c r="C992" s="11"/>
      <c r="D992" s="11"/>
      <c r="E992" s="11"/>
      <c r="F992" s="11"/>
      <c r="G992" s="11"/>
      <c r="H992" s="11"/>
      <c r="I992" s="12"/>
      <c r="J992" s="12"/>
      <c r="K992" s="11"/>
      <c r="L992" s="11"/>
      <c r="M992" s="11"/>
      <c r="N992" s="11"/>
      <c r="O992" s="11"/>
      <c r="P992" s="11"/>
      <c r="Q992" s="13" t="str">
        <f>IFERROR(VLOOKUP(E992,'SF Churn Data'!E:R,14,0),"")</f>
        <v/>
      </c>
    </row>
    <row r="993">
      <c r="A993" s="11"/>
      <c r="B993" s="11"/>
      <c r="C993" s="11"/>
      <c r="D993" s="11"/>
      <c r="E993" s="11"/>
      <c r="F993" s="11"/>
      <c r="G993" s="11"/>
      <c r="H993" s="11"/>
      <c r="I993" s="12"/>
      <c r="J993" s="12"/>
      <c r="K993" s="11"/>
      <c r="L993" s="11"/>
      <c r="M993" s="11"/>
      <c r="N993" s="11"/>
      <c r="O993" s="11"/>
      <c r="P993" s="11"/>
      <c r="Q993" s="13" t="str">
        <f>IFERROR(VLOOKUP(E993,'SF Churn Data'!E:R,14,0),"")</f>
        <v/>
      </c>
    </row>
    <row r="994">
      <c r="A994" s="11"/>
      <c r="B994" s="11"/>
      <c r="C994" s="11"/>
      <c r="D994" s="11"/>
      <c r="E994" s="11"/>
      <c r="F994" s="11"/>
      <c r="G994" s="11"/>
      <c r="H994" s="11"/>
      <c r="I994" s="12"/>
      <c r="J994" s="12"/>
      <c r="K994" s="11"/>
      <c r="L994" s="11"/>
      <c r="M994" s="11"/>
      <c r="N994" s="11"/>
      <c r="O994" s="11"/>
      <c r="P994" s="11"/>
      <c r="Q994" s="13" t="str">
        <f>IFERROR(VLOOKUP(E994,'SF Churn Data'!E:R,14,0),"")</f>
        <v/>
      </c>
    </row>
    <row r="995">
      <c r="A995" s="11"/>
      <c r="B995" s="11"/>
      <c r="C995" s="11"/>
      <c r="D995" s="11"/>
      <c r="E995" s="11"/>
      <c r="F995" s="11"/>
      <c r="G995" s="11"/>
      <c r="H995" s="11"/>
      <c r="I995" s="12"/>
      <c r="J995" s="12"/>
      <c r="K995" s="11"/>
      <c r="L995" s="11"/>
      <c r="M995" s="11"/>
      <c r="N995" s="11"/>
      <c r="O995" s="11"/>
      <c r="P995" s="11"/>
      <c r="Q995" s="13" t="str">
        <f>IFERROR(VLOOKUP(E995,'SF Churn Data'!E:R,14,0),"")</f>
        <v/>
      </c>
    </row>
    <row r="996">
      <c r="A996" s="11"/>
      <c r="B996" s="11"/>
      <c r="C996" s="11"/>
      <c r="D996" s="11"/>
      <c r="E996" s="11"/>
      <c r="F996" s="11"/>
      <c r="G996" s="11"/>
      <c r="H996" s="11"/>
      <c r="I996" s="12"/>
      <c r="J996" s="12"/>
      <c r="K996" s="11"/>
      <c r="L996" s="11"/>
      <c r="M996" s="11"/>
      <c r="N996" s="11"/>
      <c r="O996" s="11"/>
      <c r="P996" s="11"/>
      <c r="Q996" s="13" t="str">
        <f>IFERROR(VLOOKUP(E996,'SF Churn Data'!E:R,14,0),"")</f>
        <v/>
      </c>
    </row>
    <row r="997">
      <c r="A997" s="11"/>
      <c r="B997" s="11"/>
      <c r="C997" s="11"/>
      <c r="D997" s="11"/>
      <c r="E997" s="11"/>
      <c r="F997" s="11"/>
      <c r="G997" s="11"/>
      <c r="H997" s="11"/>
      <c r="I997" s="12"/>
      <c r="J997" s="12"/>
      <c r="K997" s="11"/>
      <c r="L997" s="11"/>
      <c r="M997" s="11"/>
      <c r="N997" s="11"/>
      <c r="O997" s="11"/>
      <c r="P997" s="11"/>
      <c r="Q997" s="13" t="str">
        <f>IFERROR(VLOOKUP(E997,'SF Churn Data'!E:R,14,0),"")</f>
        <v/>
      </c>
    </row>
    <row r="998">
      <c r="A998" s="11"/>
      <c r="B998" s="11"/>
      <c r="C998" s="11"/>
      <c r="D998" s="11"/>
      <c r="E998" s="11"/>
      <c r="F998" s="11"/>
      <c r="G998" s="11"/>
      <c r="H998" s="11"/>
      <c r="I998" s="12"/>
      <c r="J998" s="12"/>
      <c r="K998" s="11"/>
      <c r="L998" s="11"/>
      <c r="M998" s="11"/>
      <c r="N998" s="11"/>
      <c r="O998" s="11"/>
      <c r="P998" s="11"/>
      <c r="Q998" s="13" t="str">
        <f>IFERROR(VLOOKUP(E998,'SF Churn Data'!E:R,14,0),"")</f>
        <v/>
      </c>
    </row>
    <row r="999">
      <c r="A999" s="11"/>
      <c r="B999" s="11"/>
      <c r="C999" s="11"/>
      <c r="D999" s="11"/>
      <c r="E999" s="11"/>
      <c r="F999" s="11"/>
      <c r="G999" s="11"/>
      <c r="H999" s="11"/>
      <c r="I999" s="12"/>
      <c r="J999" s="12"/>
      <c r="K999" s="11"/>
      <c r="L999" s="11"/>
      <c r="M999" s="11"/>
      <c r="N999" s="11"/>
      <c r="O999" s="11"/>
      <c r="P999" s="11"/>
      <c r="Q999" s="13" t="str">
        <f>IFERROR(VLOOKUP(E999,'SF Churn Data'!E:R,14,0),"")</f>
        <v/>
      </c>
    </row>
    <row r="1000">
      <c r="A1000" s="11"/>
      <c r="B1000" s="11"/>
      <c r="C1000" s="11"/>
      <c r="D1000" s="11"/>
      <c r="E1000" s="11"/>
      <c r="F1000" s="11"/>
      <c r="G1000" s="11"/>
      <c r="H1000" s="11"/>
      <c r="I1000" s="12"/>
      <c r="J1000" s="12"/>
      <c r="K1000" s="11"/>
      <c r="L1000" s="11"/>
      <c r="M1000" s="11"/>
      <c r="N1000" s="11"/>
      <c r="O1000" s="11"/>
      <c r="P1000" s="11"/>
      <c r="Q1000" s="13" t="str">
        <f>IFERROR(VLOOKUP(E1000,'SF Churn Data'!E:R,14,0),"")</f>
        <v/>
      </c>
    </row>
    <row r="1001">
      <c r="A1001" s="11"/>
      <c r="B1001" s="11"/>
      <c r="C1001" s="11"/>
      <c r="D1001" s="11"/>
      <c r="E1001" s="11"/>
      <c r="F1001" s="11"/>
      <c r="G1001" s="11"/>
      <c r="H1001" s="11"/>
      <c r="I1001" s="12"/>
      <c r="J1001" s="12"/>
      <c r="K1001" s="11"/>
      <c r="L1001" s="11"/>
      <c r="M1001" s="11"/>
      <c r="N1001" s="11"/>
      <c r="O1001" s="11"/>
      <c r="P1001" s="11"/>
      <c r="Q1001" s="13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2"/>
      <c r="J1002" s="12"/>
      <c r="K1002" s="11"/>
      <c r="L1002" s="11"/>
      <c r="M1002" s="11"/>
      <c r="N1002" s="11"/>
      <c r="O1002" s="11"/>
      <c r="P1002" s="11"/>
      <c r="Q1002" s="13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2"/>
      <c r="J1003" s="12"/>
      <c r="K1003" s="11"/>
      <c r="L1003" s="11"/>
      <c r="M1003" s="11"/>
      <c r="N1003" s="11"/>
      <c r="O1003" s="11"/>
      <c r="P1003" s="11"/>
      <c r="Q1003" s="13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2"/>
      <c r="J1004" s="12"/>
      <c r="K1004" s="11"/>
      <c r="L1004" s="11"/>
      <c r="M1004" s="11"/>
      <c r="N1004" s="11"/>
      <c r="O1004" s="11"/>
      <c r="P1004" s="11"/>
      <c r="Q1004" s="13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2"/>
      <c r="J1005" s="12"/>
      <c r="K1005" s="11"/>
      <c r="L1005" s="11"/>
      <c r="M1005" s="11"/>
      <c r="N1005" s="11"/>
      <c r="O1005" s="11"/>
      <c r="P1005" s="11"/>
      <c r="Q1005" s="13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2"/>
      <c r="J1006" s="12"/>
      <c r="K1006" s="11"/>
      <c r="L1006" s="11"/>
      <c r="M1006" s="11"/>
      <c r="N1006" s="11"/>
      <c r="O1006" s="11"/>
      <c r="P1006" s="11"/>
      <c r="Q1006" s="13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2"/>
      <c r="J1007" s="12"/>
      <c r="K1007" s="11"/>
      <c r="L1007" s="11"/>
      <c r="M1007" s="11"/>
      <c r="N1007" s="11"/>
      <c r="O1007" s="11"/>
      <c r="P1007" s="11"/>
      <c r="Q1007" s="13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2"/>
      <c r="J1008" s="12"/>
      <c r="K1008" s="11"/>
      <c r="L1008" s="11"/>
      <c r="M1008" s="11"/>
      <c r="N1008" s="11"/>
      <c r="O1008" s="11"/>
      <c r="P1008" s="11"/>
      <c r="Q1008" s="13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2"/>
      <c r="J1009" s="12"/>
      <c r="K1009" s="11"/>
      <c r="L1009" s="11"/>
      <c r="M1009" s="11"/>
      <c r="N1009" s="11"/>
      <c r="O1009" s="11"/>
      <c r="P1009" s="11"/>
      <c r="Q1009" s="13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2"/>
      <c r="J1010" s="12"/>
      <c r="K1010" s="11"/>
      <c r="L1010" s="11"/>
      <c r="M1010" s="11"/>
      <c r="N1010" s="11"/>
      <c r="O1010" s="11"/>
      <c r="P1010" s="11"/>
      <c r="Q1010" s="13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2"/>
      <c r="J1011" s="12"/>
      <c r="K1011" s="11"/>
      <c r="L1011" s="11"/>
      <c r="M1011" s="11"/>
      <c r="N1011" s="11"/>
      <c r="O1011" s="11"/>
      <c r="P1011" s="11"/>
      <c r="Q1011" s="13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2"/>
      <c r="J1012" s="12"/>
      <c r="K1012" s="11"/>
      <c r="L1012" s="11"/>
      <c r="M1012" s="11"/>
      <c r="N1012" s="11"/>
      <c r="O1012" s="11"/>
      <c r="P1012" s="11"/>
      <c r="Q1012" s="13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2"/>
      <c r="J1013" s="12"/>
      <c r="K1013" s="11"/>
      <c r="L1013" s="11"/>
      <c r="M1013" s="11"/>
      <c r="N1013" s="11"/>
      <c r="O1013" s="11"/>
      <c r="P1013" s="11"/>
      <c r="Q1013" s="13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2"/>
      <c r="J1014" s="12"/>
      <c r="K1014" s="11"/>
      <c r="L1014" s="11"/>
      <c r="M1014" s="11"/>
      <c r="N1014" s="11"/>
      <c r="O1014" s="11"/>
      <c r="P1014" s="11"/>
      <c r="Q1014" s="13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2"/>
      <c r="J1015" s="12"/>
      <c r="K1015" s="11"/>
      <c r="L1015" s="11"/>
      <c r="M1015" s="11"/>
      <c r="N1015" s="11"/>
      <c r="O1015" s="11"/>
      <c r="P1015" s="11"/>
      <c r="Q1015" s="13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2"/>
      <c r="J1016" s="12"/>
      <c r="K1016" s="11"/>
      <c r="L1016" s="11"/>
      <c r="M1016" s="11"/>
      <c r="N1016" s="11"/>
      <c r="O1016" s="11"/>
      <c r="P1016" s="11"/>
      <c r="Q1016" s="13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2"/>
      <c r="J1017" s="12"/>
      <c r="K1017" s="11"/>
      <c r="L1017" s="11"/>
      <c r="M1017" s="11"/>
      <c r="N1017" s="11"/>
      <c r="O1017" s="11"/>
      <c r="P1017" s="11"/>
      <c r="Q1017" s="13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2"/>
      <c r="J1018" s="12"/>
      <c r="K1018" s="11"/>
      <c r="L1018" s="11"/>
      <c r="M1018" s="11"/>
      <c r="N1018" s="11"/>
      <c r="O1018" s="11"/>
      <c r="P1018" s="11"/>
      <c r="Q1018" s="13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2"/>
      <c r="J1019" s="12"/>
      <c r="K1019" s="11"/>
      <c r="L1019" s="11"/>
      <c r="M1019" s="11"/>
      <c r="N1019" s="11"/>
      <c r="O1019" s="11"/>
      <c r="P1019" s="11"/>
      <c r="Q1019" s="13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2"/>
      <c r="J1020" s="12"/>
      <c r="K1020" s="11"/>
      <c r="L1020" s="11"/>
      <c r="M1020" s="11"/>
      <c r="N1020" s="11"/>
      <c r="O1020" s="11"/>
      <c r="P1020" s="11"/>
      <c r="Q1020" s="13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2"/>
      <c r="J1021" s="12"/>
      <c r="K1021" s="11"/>
      <c r="L1021" s="11"/>
      <c r="M1021" s="11"/>
      <c r="N1021" s="11"/>
      <c r="O1021" s="11"/>
      <c r="P1021" s="11"/>
      <c r="Q1021" s="13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2"/>
      <c r="J1022" s="12"/>
      <c r="K1022" s="11"/>
      <c r="L1022" s="11"/>
      <c r="M1022" s="11"/>
      <c r="N1022" s="11"/>
      <c r="O1022" s="11"/>
      <c r="P1022" s="11"/>
      <c r="Q1022" s="13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2"/>
      <c r="J1023" s="12"/>
      <c r="K1023" s="11"/>
      <c r="L1023" s="11"/>
      <c r="M1023" s="11"/>
      <c r="N1023" s="11"/>
      <c r="O1023" s="11"/>
      <c r="P1023" s="11"/>
      <c r="Q1023" s="13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2"/>
      <c r="J1024" s="12"/>
      <c r="K1024" s="11"/>
      <c r="L1024" s="11"/>
      <c r="M1024" s="11"/>
      <c r="N1024" s="11"/>
      <c r="O1024" s="11"/>
      <c r="P1024" s="11"/>
      <c r="Q1024" s="13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2"/>
      <c r="J1025" s="12"/>
      <c r="K1025" s="11"/>
      <c r="L1025" s="11"/>
      <c r="M1025" s="11"/>
      <c r="N1025" s="11"/>
      <c r="O1025" s="11"/>
      <c r="P1025" s="11"/>
      <c r="Q1025" s="13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2"/>
      <c r="J1026" s="12"/>
      <c r="K1026" s="11"/>
      <c r="L1026" s="11"/>
      <c r="M1026" s="11"/>
      <c r="N1026" s="11"/>
      <c r="O1026" s="11"/>
      <c r="P1026" s="11"/>
      <c r="Q1026" s="13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2"/>
      <c r="J1027" s="12"/>
      <c r="K1027" s="11"/>
      <c r="L1027" s="11"/>
      <c r="M1027" s="11"/>
      <c r="N1027" s="11"/>
      <c r="O1027" s="11"/>
      <c r="P1027" s="11"/>
      <c r="Q1027" s="13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2"/>
      <c r="J1028" s="12"/>
      <c r="K1028" s="11"/>
      <c r="L1028" s="11"/>
      <c r="M1028" s="11"/>
      <c r="N1028" s="11"/>
      <c r="O1028" s="11"/>
      <c r="P1028" s="11"/>
      <c r="Q1028" s="13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2"/>
      <c r="J1029" s="12"/>
      <c r="K1029" s="11"/>
      <c r="L1029" s="11"/>
      <c r="M1029" s="11"/>
      <c r="N1029" s="11"/>
      <c r="O1029" s="11"/>
      <c r="P1029" s="11"/>
      <c r="Q1029" s="13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2"/>
      <c r="J1030" s="12"/>
      <c r="K1030" s="11"/>
      <c r="L1030" s="11"/>
      <c r="M1030" s="11"/>
      <c r="N1030" s="11"/>
      <c r="O1030" s="11"/>
      <c r="P1030" s="11"/>
      <c r="Q1030" s="13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2"/>
      <c r="J1031" s="12"/>
      <c r="K1031" s="11"/>
      <c r="L1031" s="11"/>
      <c r="M1031" s="11"/>
      <c r="N1031" s="11"/>
      <c r="O1031" s="11"/>
      <c r="P1031" s="11"/>
      <c r="Q1031" s="13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2"/>
      <c r="J1032" s="12"/>
      <c r="K1032" s="11"/>
      <c r="L1032" s="11"/>
      <c r="M1032" s="11"/>
      <c r="N1032" s="11"/>
      <c r="O1032" s="11"/>
      <c r="P1032" s="11"/>
      <c r="Q1032" s="13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2"/>
      <c r="J1033" s="12"/>
      <c r="K1033" s="11"/>
      <c r="L1033" s="11"/>
      <c r="M1033" s="11"/>
      <c r="N1033" s="11"/>
      <c r="O1033" s="11"/>
      <c r="P1033" s="11"/>
      <c r="Q1033" s="13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2"/>
      <c r="J1034" s="12"/>
      <c r="K1034" s="11"/>
      <c r="L1034" s="11"/>
      <c r="M1034" s="11"/>
      <c r="N1034" s="11"/>
      <c r="O1034" s="11"/>
      <c r="P1034" s="11"/>
      <c r="Q1034" s="13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2"/>
      <c r="J1035" s="12"/>
      <c r="K1035" s="11"/>
      <c r="L1035" s="11"/>
      <c r="M1035" s="11"/>
      <c r="N1035" s="11"/>
      <c r="O1035" s="11"/>
      <c r="P1035" s="11"/>
      <c r="Q1035" s="13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2"/>
      <c r="J1036" s="12"/>
      <c r="K1036" s="11"/>
      <c r="L1036" s="11"/>
      <c r="M1036" s="11"/>
      <c r="N1036" s="11"/>
      <c r="O1036" s="11"/>
      <c r="P1036" s="11"/>
      <c r="Q1036" s="13"/>
    </row>
    <row r="1037">
      <c r="A1037" s="11"/>
      <c r="B1037" s="11"/>
      <c r="C1037" s="11"/>
      <c r="D1037" s="11"/>
      <c r="E1037" s="11"/>
      <c r="F1037" s="11"/>
      <c r="G1037" s="11"/>
      <c r="H1037" s="11"/>
      <c r="I1037" s="12"/>
      <c r="J1037" s="12"/>
      <c r="K1037" s="11"/>
      <c r="L1037" s="11"/>
      <c r="M1037" s="11"/>
      <c r="N1037" s="11"/>
      <c r="O1037" s="11"/>
      <c r="P1037" s="11"/>
      <c r="Q1037" s="13"/>
    </row>
    <row r="1038">
      <c r="A1038" s="11"/>
      <c r="B1038" s="11"/>
      <c r="C1038" s="11"/>
      <c r="D1038" s="11"/>
      <c r="E1038" s="11"/>
      <c r="F1038" s="11"/>
      <c r="G1038" s="11"/>
      <c r="H1038" s="11"/>
      <c r="I1038" s="12"/>
      <c r="J1038" s="12"/>
      <c r="K1038" s="11"/>
      <c r="L1038" s="11"/>
      <c r="M1038" s="11"/>
      <c r="N1038" s="11"/>
      <c r="O1038" s="11"/>
      <c r="P1038" s="11"/>
      <c r="Q1038" s="13"/>
    </row>
    <row r="1039">
      <c r="A1039" s="11"/>
      <c r="B1039" s="11"/>
      <c r="C1039" s="11"/>
      <c r="D1039" s="11"/>
      <c r="E1039" s="11"/>
      <c r="F1039" s="11"/>
      <c r="G1039" s="11"/>
      <c r="H1039" s="11"/>
      <c r="I1039" s="12"/>
      <c r="J1039" s="12"/>
      <c r="K1039" s="11"/>
      <c r="L1039" s="11"/>
      <c r="M1039" s="11"/>
      <c r="N1039" s="11"/>
      <c r="O1039" s="11"/>
      <c r="P1039" s="11"/>
      <c r="Q1039" s="13"/>
    </row>
    <row r="1040">
      <c r="A1040" s="11"/>
      <c r="B1040" s="11"/>
      <c r="C1040" s="11"/>
      <c r="D1040" s="11"/>
      <c r="E1040" s="11"/>
      <c r="F1040" s="11"/>
      <c r="G1040" s="11"/>
      <c r="H1040" s="11"/>
      <c r="I1040" s="12"/>
      <c r="J1040" s="12"/>
      <c r="K1040" s="11"/>
      <c r="L1040" s="11"/>
      <c r="M1040" s="11"/>
      <c r="N1040" s="11"/>
      <c r="O1040" s="11"/>
      <c r="P1040" s="11"/>
      <c r="Q1040" s="13"/>
    </row>
    <row r="1041">
      <c r="A1041" s="11"/>
      <c r="B1041" s="11"/>
      <c r="C1041" s="11"/>
      <c r="D1041" s="11"/>
      <c r="E1041" s="11"/>
      <c r="F1041" s="11"/>
      <c r="G1041" s="11"/>
      <c r="H1041" s="11"/>
      <c r="I1041" s="12"/>
      <c r="J1041" s="12"/>
      <c r="K1041" s="11"/>
      <c r="L1041" s="11"/>
      <c r="M1041" s="11"/>
      <c r="N1041" s="11"/>
      <c r="O1041" s="11"/>
      <c r="P1041" s="11"/>
      <c r="Q1041" s="13"/>
    </row>
    <row r="1042">
      <c r="A1042" s="11"/>
      <c r="B1042" s="11"/>
      <c r="C1042" s="11"/>
      <c r="D1042" s="11"/>
      <c r="E1042" s="11"/>
      <c r="F1042" s="11"/>
      <c r="G1042" s="11"/>
      <c r="H1042" s="11"/>
      <c r="I1042" s="12"/>
      <c r="J1042" s="12"/>
      <c r="K1042" s="11"/>
      <c r="L1042" s="11"/>
      <c r="M1042" s="11"/>
      <c r="N1042" s="11"/>
      <c r="O1042" s="11"/>
      <c r="P1042" s="11"/>
      <c r="Q1042" s="13"/>
    </row>
    <row r="1043">
      <c r="A1043" s="11"/>
      <c r="B1043" s="11"/>
      <c r="C1043" s="11"/>
      <c r="D1043" s="11"/>
      <c r="E1043" s="11"/>
      <c r="F1043" s="11"/>
      <c r="G1043" s="11"/>
      <c r="H1043" s="11"/>
      <c r="I1043" s="12"/>
      <c r="J1043" s="12"/>
      <c r="K1043" s="11"/>
      <c r="L1043" s="11"/>
      <c r="M1043" s="11"/>
      <c r="N1043" s="11"/>
      <c r="O1043" s="11"/>
      <c r="P1043" s="11"/>
      <c r="Q1043" s="13"/>
    </row>
    <row r="1044">
      <c r="A1044" s="11"/>
      <c r="B1044" s="11"/>
      <c r="C1044" s="11"/>
      <c r="D1044" s="11"/>
      <c r="E1044" s="11"/>
      <c r="F1044" s="11"/>
      <c r="G1044" s="11"/>
      <c r="H1044" s="11"/>
      <c r="I1044" s="12"/>
      <c r="J1044" s="12"/>
      <c r="K1044" s="11"/>
      <c r="L1044" s="11"/>
      <c r="M1044" s="11"/>
      <c r="N1044" s="11"/>
      <c r="O1044" s="11"/>
      <c r="P1044" s="11"/>
      <c r="Q1044" s="13"/>
    </row>
    <row r="1045">
      <c r="A1045" s="11"/>
      <c r="B1045" s="11"/>
      <c r="C1045" s="11"/>
      <c r="D1045" s="11"/>
      <c r="E1045" s="11"/>
      <c r="F1045" s="11"/>
      <c r="G1045" s="11"/>
      <c r="H1045" s="11"/>
      <c r="I1045" s="12"/>
      <c r="J1045" s="12"/>
      <c r="K1045" s="11"/>
      <c r="L1045" s="11"/>
      <c r="M1045" s="11"/>
      <c r="N1045" s="11"/>
      <c r="O1045" s="11"/>
      <c r="P1045" s="11"/>
      <c r="Q1045" s="13"/>
    </row>
    <row r="1046">
      <c r="A1046" s="11"/>
      <c r="B1046" s="11"/>
      <c r="C1046" s="11"/>
      <c r="D1046" s="11"/>
      <c r="E1046" s="11"/>
      <c r="F1046" s="11"/>
      <c r="G1046" s="11"/>
      <c r="H1046" s="11"/>
      <c r="I1046" s="12"/>
      <c r="J1046" s="12"/>
      <c r="K1046" s="11"/>
      <c r="L1046" s="11"/>
      <c r="M1046" s="11"/>
      <c r="N1046" s="11"/>
      <c r="O1046" s="11"/>
      <c r="P1046" s="11"/>
      <c r="Q1046" s="13"/>
    </row>
    <row r="1047">
      <c r="A1047" s="11"/>
      <c r="B1047" s="11"/>
      <c r="C1047" s="11"/>
      <c r="D1047" s="11"/>
      <c r="E1047" s="11"/>
      <c r="F1047" s="11"/>
      <c r="G1047" s="11"/>
      <c r="H1047" s="11"/>
      <c r="I1047" s="12"/>
      <c r="J1047" s="12"/>
      <c r="K1047" s="11"/>
      <c r="L1047" s="11"/>
      <c r="M1047" s="11"/>
      <c r="N1047" s="11"/>
      <c r="O1047" s="11"/>
      <c r="P1047" s="11"/>
      <c r="Q1047" s="13"/>
    </row>
    <row r="1048">
      <c r="A1048" s="11"/>
      <c r="B1048" s="11"/>
      <c r="C1048" s="11"/>
      <c r="D1048" s="11"/>
      <c r="E1048" s="11"/>
      <c r="F1048" s="11"/>
      <c r="G1048" s="11"/>
      <c r="H1048" s="11"/>
      <c r="I1048" s="12"/>
      <c r="J1048" s="12"/>
      <c r="K1048" s="11"/>
      <c r="L1048" s="11"/>
      <c r="M1048" s="11"/>
      <c r="N1048" s="11"/>
      <c r="O1048" s="11"/>
      <c r="P1048" s="11"/>
      <c r="Q1048" s="13"/>
    </row>
    <row r="1049">
      <c r="A1049" s="11"/>
      <c r="B1049" s="11"/>
      <c r="C1049" s="11"/>
      <c r="D1049" s="11"/>
      <c r="E1049" s="11"/>
      <c r="F1049" s="11"/>
      <c r="G1049" s="11"/>
      <c r="H1049" s="11"/>
      <c r="I1049" s="12"/>
      <c r="J1049" s="12"/>
      <c r="K1049" s="11"/>
      <c r="L1049" s="11"/>
      <c r="M1049" s="11"/>
      <c r="N1049" s="11"/>
      <c r="O1049" s="11"/>
      <c r="P1049" s="11"/>
      <c r="Q1049" s="13"/>
    </row>
    <row r="1050">
      <c r="A1050" s="11"/>
      <c r="B1050" s="11"/>
      <c r="C1050" s="11"/>
      <c r="D1050" s="11"/>
      <c r="E1050" s="11"/>
      <c r="F1050" s="11"/>
      <c r="G1050" s="11"/>
      <c r="H1050" s="11"/>
      <c r="I1050" s="12"/>
      <c r="J1050" s="12"/>
      <c r="K1050" s="11"/>
      <c r="L1050" s="11"/>
      <c r="M1050" s="11"/>
      <c r="N1050" s="11"/>
      <c r="O1050" s="11"/>
      <c r="P1050" s="11"/>
      <c r="Q1050" s="13"/>
    </row>
    <row r="1051">
      <c r="A1051" s="11"/>
      <c r="B1051" s="11"/>
      <c r="C1051" s="11"/>
      <c r="D1051" s="11"/>
      <c r="E1051" s="11"/>
      <c r="F1051" s="11"/>
      <c r="G1051" s="11"/>
      <c r="H1051" s="11"/>
      <c r="I1051" s="12"/>
      <c r="J1051" s="12"/>
      <c r="K1051" s="11"/>
      <c r="L1051" s="11"/>
      <c r="M1051" s="11"/>
      <c r="N1051" s="11"/>
      <c r="O1051" s="11"/>
      <c r="P1051" s="11"/>
      <c r="Q1051" s="13"/>
    </row>
    <row r="1052">
      <c r="A1052" s="11"/>
      <c r="B1052" s="11"/>
      <c r="C1052" s="11"/>
      <c r="D1052" s="11"/>
      <c r="E1052" s="11"/>
      <c r="F1052" s="11"/>
      <c r="G1052" s="11"/>
      <c r="H1052" s="11"/>
      <c r="I1052" s="12"/>
      <c r="J1052" s="12"/>
      <c r="K1052" s="11"/>
      <c r="L1052" s="11"/>
      <c r="M1052" s="11"/>
      <c r="N1052" s="11"/>
      <c r="O1052" s="11"/>
      <c r="P1052" s="11"/>
      <c r="Q1052" s="13"/>
    </row>
    <row r="1053">
      <c r="A1053" s="11"/>
      <c r="B1053" s="11"/>
      <c r="C1053" s="11"/>
      <c r="D1053" s="11"/>
      <c r="E1053" s="11"/>
      <c r="F1053" s="11"/>
      <c r="G1053" s="11"/>
      <c r="H1053" s="11"/>
      <c r="I1053" s="12"/>
      <c r="J1053" s="12"/>
      <c r="K1053" s="11"/>
      <c r="L1053" s="11"/>
      <c r="M1053" s="11"/>
      <c r="N1053" s="11"/>
      <c r="O1053" s="11"/>
      <c r="P1053" s="11"/>
      <c r="Q1053" s="13"/>
    </row>
    <row r="1054">
      <c r="A1054" s="11"/>
      <c r="B1054" s="11"/>
      <c r="C1054" s="11"/>
      <c r="D1054" s="11"/>
      <c r="E1054" s="11"/>
      <c r="F1054" s="11"/>
      <c r="G1054" s="11"/>
      <c r="H1054" s="11"/>
      <c r="I1054" s="12"/>
      <c r="J1054" s="12"/>
      <c r="K1054" s="11"/>
      <c r="L1054" s="11"/>
      <c r="M1054" s="11"/>
      <c r="N1054" s="11"/>
      <c r="O1054" s="11"/>
      <c r="P1054" s="11"/>
      <c r="Q1054" s="13"/>
    </row>
    <row r="1055">
      <c r="A1055" s="11"/>
      <c r="B1055" s="11"/>
      <c r="C1055" s="11"/>
      <c r="D1055" s="11"/>
      <c r="E1055" s="11"/>
      <c r="F1055" s="11"/>
      <c r="G1055" s="11"/>
      <c r="H1055" s="11"/>
      <c r="I1055" s="12"/>
      <c r="J1055" s="12"/>
      <c r="K1055" s="11"/>
      <c r="L1055" s="11"/>
      <c r="M1055" s="11"/>
      <c r="N1055" s="11"/>
      <c r="O1055" s="11"/>
      <c r="P1055" s="11"/>
      <c r="Q1055" s="13"/>
    </row>
    <row r="1056">
      <c r="A1056" s="11"/>
      <c r="B1056" s="11"/>
      <c r="C1056" s="11"/>
      <c r="D1056" s="11"/>
      <c r="E1056" s="11"/>
      <c r="F1056" s="11"/>
      <c r="G1056" s="11"/>
      <c r="H1056" s="11"/>
      <c r="I1056" s="12"/>
      <c r="J1056" s="12"/>
      <c r="K1056" s="11"/>
      <c r="L1056" s="11"/>
      <c r="M1056" s="11"/>
      <c r="N1056" s="11"/>
      <c r="O1056" s="11"/>
      <c r="P1056" s="11"/>
      <c r="Q1056" s="13"/>
    </row>
    <row r="1057">
      <c r="A1057" s="11"/>
      <c r="B1057" s="11"/>
      <c r="C1057" s="11"/>
      <c r="D1057" s="11"/>
      <c r="E1057" s="11"/>
      <c r="F1057" s="11"/>
      <c r="G1057" s="11"/>
      <c r="H1057" s="11"/>
      <c r="I1057" s="12"/>
      <c r="J1057" s="12"/>
      <c r="K1057" s="11"/>
      <c r="L1057" s="11"/>
      <c r="M1057" s="11"/>
      <c r="N1057" s="11"/>
      <c r="O1057" s="11"/>
      <c r="P1057" s="11"/>
      <c r="Q1057" s="13"/>
    </row>
    <row r="1058">
      <c r="A1058" s="11"/>
      <c r="B1058" s="11"/>
      <c r="C1058" s="11"/>
      <c r="D1058" s="11"/>
      <c r="E1058" s="11"/>
      <c r="F1058" s="11"/>
      <c r="G1058" s="11"/>
      <c r="H1058" s="11"/>
      <c r="I1058" s="12"/>
      <c r="J1058" s="12"/>
      <c r="K1058" s="11"/>
      <c r="L1058" s="11"/>
      <c r="M1058" s="11"/>
      <c r="N1058" s="11"/>
      <c r="O1058" s="11"/>
      <c r="P1058" s="11"/>
      <c r="Q1058" s="13"/>
    </row>
    <row r="1059">
      <c r="A1059" s="11"/>
      <c r="B1059" s="11"/>
      <c r="C1059" s="11"/>
      <c r="D1059" s="11"/>
      <c r="E1059" s="11"/>
      <c r="F1059" s="11"/>
      <c r="G1059" s="11"/>
      <c r="H1059" s="11"/>
      <c r="I1059" s="12"/>
      <c r="J1059" s="12"/>
      <c r="K1059" s="11"/>
      <c r="L1059" s="11"/>
      <c r="M1059" s="11"/>
      <c r="N1059" s="11"/>
      <c r="O1059" s="11"/>
      <c r="P1059" s="11"/>
      <c r="Q1059" s="13"/>
    </row>
    <row r="1060">
      <c r="A1060" s="11"/>
      <c r="B1060" s="11"/>
      <c r="C1060" s="11"/>
      <c r="D1060" s="11"/>
      <c r="E1060" s="11"/>
      <c r="F1060" s="11"/>
      <c r="G1060" s="11"/>
      <c r="H1060" s="11"/>
      <c r="I1060" s="12"/>
      <c r="J1060" s="12"/>
      <c r="K1060" s="11"/>
      <c r="L1060" s="11"/>
      <c r="M1060" s="11"/>
      <c r="N1060" s="11"/>
      <c r="O1060" s="11"/>
      <c r="P1060" s="11"/>
      <c r="Q1060" s="13"/>
    </row>
    <row r="1061">
      <c r="A1061" s="11"/>
      <c r="B1061" s="11"/>
      <c r="C1061" s="11"/>
      <c r="D1061" s="11"/>
      <c r="E1061" s="11"/>
      <c r="F1061" s="11"/>
      <c r="G1061" s="11"/>
      <c r="H1061" s="11"/>
      <c r="I1061" s="12"/>
      <c r="J1061" s="12"/>
      <c r="K1061" s="11"/>
      <c r="L1061" s="11"/>
      <c r="M1061" s="11"/>
      <c r="N1061" s="11"/>
      <c r="O1061" s="11"/>
      <c r="P1061" s="11"/>
      <c r="Q1061" s="13"/>
    </row>
    <row r="1062">
      <c r="A1062" s="11"/>
      <c r="B1062" s="11"/>
      <c r="C1062" s="11"/>
      <c r="D1062" s="11"/>
      <c r="E1062" s="11"/>
      <c r="F1062" s="11"/>
      <c r="G1062" s="11"/>
      <c r="H1062" s="11"/>
      <c r="I1062" s="12"/>
      <c r="J1062" s="12"/>
      <c r="K1062" s="11"/>
      <c r="L1062" s="11"/>
      <c r="M1062" s="11"/>
      <c r="N1062" s="11"/>
      <c r="O1062" s="11"/>
      <c r="P1062" s="11"/>
      <c r="Q1062" s="13"/>
    </row>
    <row r="1063">
      <c r="A1063" s="11"/>
      <c r="B1063" s="11"/>
      <c r="C1063" s="11"/>
      <c r="D1063" s="11"/>
      <c r="E1063" s="11"/>
      <c r="F1063" s="11"/>
      <c r="G1063" s="11"/>
      <c r="H1063" s="11"/>
      <c r="I1063" s="12"/>
      <c r="J1063" s="12"/>
      <c r="K1063" s="11"/>
      <c r="L1063" s="11"/>
      <c r="M1063" s="11"/>
      <c r="N1063" s="11"/>
      <c r="O1063" s="11"/>
      <c r="P1063" s="11"/>
      <c r="Q1063" s="13"/>
    </row>
    <row r="1064">
      <c r="A1064" s="11"/>
      <c r="B1064" s="11"/>
      <c r="C1064" s="11"/>
      <c r="D1064" s="11"/>
      <c r="E1064" s="11"/>
      <c r="F1064" s="11"/>
      <c r="G1064" s="11"/>
      <c r="H1064" s="11"/>
      <c r="I1064" s="12"/>
      <c r="J1064" s="12"/>
      <c r="K1064" s="11"/>
      <c r="L1064" s="11"/>
      <c r="M1064" s="11"/>
      <c r="N1064" s="11"/>
      <c r="O1064" s="11"/>
      <c r="P1064" s="11"/>
      <c r="Q1064" s="13"/>
    </row>
    <row r="1065">
      <c r="A1065" s="11"/>
      <c r="B1065" s="11"/>
      <c r="C1065" s="11"/>
      <c r="D1065" s="11"/>
      <c r="E1065" s="11"/>
      <c r="F1065" s="11"/>
      <c r="G1065" s="11"/>
      <c r="H1065" s="11"/>
      <c r="I1065" s="12"/>
      <c r="J1065" s="12"/>
      <c r="K1065" s="11"/>
      <c r="L1065" s="11"/>
      <c r="M1065" s="11"/>
      <c r="N1065" s="11"/>
      <c r="O1065" s="11"/>
      <c r="P1065" s="11"/>
      <c r="Q1065" s="13"/>
    </row>
    <row r="1066">
      <c r="A1066" s="11"/>
      <c r="B1066" s="11"/>
      <c r="C1066" s="11"/>
      <c r="D1066" s="11"/>
      <c r="E1066" s="11"/>
      <c r="F1066" s="11"/>
      <c r="G1066" s="11"/>
      <c r="H1066" s="11"/>
      <c r="I1066" s="12"/>
      <c r="J1066" s="12"/>
      <c r="K1066" s="11"/>
      <c r="L1066" s="11"/>
      <c r="M1066" s="11"/>
      <c r="N1066" s="11"/>
      <c r="O1066" s="11"/>
      <c r="P1066" s="11"/>
      <c r="Q1066" s="13"/>
    </row>
    <row r="1067">
      <c r="A1067" s="11"/>
      <c r="B1067" s="11"/>
      <c r="C1067" s="11"/>
      <c r="D1067" s="11"/>
      <c r="E1067" s="11"/>
      <c r="F1067" s="11"/>
      <c r="G1067" s="11"/>
      <c r="H1067" s="11"/>
      <c r="I1067" s="12"/>
      <c r="J1067" s="12"/>
      <c r="K1067" s="11"/>
      <c r="L1067" s="11"/>
      <c r="M1067" s="11"/>
      <c r="N1067" s="11"/>
      <c r="O1067" s="11"/>
      <c r="P1067" s="11"/>
      <c r="Q1067" s="13"/>
    </row>
    <row r="1068">
      <c r="A1068" s="11"/>
      <c r="B1068" s="11"/>
      <c r="C1068" s="11"/>
      <c r="D1068" s="11"/>
      <c r="E1068" s="11"/>
      <c r="F1068" s="11"/>
      <c r="G1068" s="11"/>
      <c r="H1068" s="11"/>
      <c r="I1068" s="12"/>
      <c r="J1068" s="12"/>
      <c r="K1068" s="11"/>
      <c r="L1068" s="11"/>
      <c r="M1068" s="11"/>
      <c r="N1068" s="11"/>
      <c r="O1068" s="11"/>
      <c r="P1068" s="11"/>
      <c r="Q1068" s="13"/>
    </row>
    <row r="1069">
      <c r="A1069" s="11"/>
      <c r="B1069" s="11"/>
      <c r="C1069" s="11"/>
      <c r="D1069" s="11"/>
      <c r="E1069" s="11"/>
      <c r="F1069" s="11"/>
      <c r="G1069" s="11"/>
      <c r="H1069" s="11"/>
      <c r="I1069" s="12"/>
      <c r="J1069" s="12"/>
      <c r="K1069" s="11"/>
      <c r="L1069" s="11"/>
      <c r="M1069" s="11"/>
      <c r="N1069" s="11"/>
      <c r="O1069" s="11"/>
      <c r="P1069" s="11"/>
      <c r="Q1069" s="13"/>
    </row>
    <row r="1070">
      <c r="A1070" s="11"/>
      <c r="B1070" s="11"/>
      <c r="C1070" s="11"/>
      <c r="D1070" s="11"/>
      <c r="E1070" s="11"/>
      <c r="F1070" s="11"/>
      <c r="G1070" s="11"/>
      <c r="H1070" s="11"/>
      <c r="I1070" s="12"/>
      <c r="J1070" s="12"/>
      <c r="K1070" s="11"/>
      <c r="L1070" s="11"/>
      <c r="M1070" s="11"/>
      <c r="N1070" s="11"/>
      <c r="O1070" s="11"/>
      <c r="P1070" s="11"/>
      <c r="Q1070" s="13"/>
    </row>
    <row r="1071">
      <c r="A1071" s="11"/>
      <c r="B1071" s="11"/>
      <c r="C1071" s="11"/>
      <c r="D1071" s="11"/>
      <c r="E1071" s="11"/>
      <c r="F1071" s="11"/>
      <c r="G1071" s="11"/>
      <c r="H1071" s="11"/>
      <c r="I1071" s="12"/>
      <c r="J1071" s="12"/>
      <c r="K1071" s="11"/>
      <c r="L1071" s="11"/>
      <c r="M1071" s="11"/>
      <c r="N1071" s="11"/>
      <c r="O1071" s="11"/>
      <c r="P1071" s="11"/>
      <c r="Q1071" s="13"/>
    </row>
    <row r="1072">
      <c r="A1072" s="11"/>
      <c r="B1072" s="11"/>
      <c r="C1072" s="11"/>
      <c r="D1072" s="11"/>
      <c r="E1072" s="11"/>
      <c r="F1072" s="11"/>
      <c r="G1072" s="11"/>
      <c r="H1072" s="11"/>
      <c r="I1072" s="12"/>
      <c r="J1072" s="12"/>
      <c r="K1072" s="11"/>
      <c r="L1072" s="11"/>
      <c r="M1072" s="11"/>
      <c r="N1072" s="11"/>
      <c r="O1072" s="11"/>
      <c r="P1072" s="11"/>
      <c r="Q1072" s="13"/>
    </row>
    <row r="1073">
      <c r="A1073" s="11"/>
      <c r="B1073" s="11"/>
      <c r="C1073" s="11"/>
      <c r="D1073" s="11"/>
      <c r="E1073" s="11"/>
      <c r="F1073" s="11"/>
      <c r="G1073" s="11"/>
      <c r="H1073" s="11"/>
      <c r="I1073" s="12"/>
      <c r="J1073" s="12"/>
      <c r="K1073" s="11"/>
      <c r="L1073" s="11"/>
      <c r="M1073" s="11"/>
      <c r="N1073" s="11"/>
      <c r="O1073" s="11"/>
      <c r="P1073" s="11"/>
      <c r="Q1073" s="13"/>
    </row>
    <row r="1074">
      <c r="A1074" s="11"/>
      <c r="B1074" s="11"/>
      <c r="C1074" s="11"/>
      <c r="D1074" s="11"/>
      <c r="E1074" s="11"/>
      <c r="F1074" s="11"/>
      <c r="G1074" s="11"/>
      <c r="H1074" s="11"/>
      <c r="I1074" s="12"/>
      <c r="J1074" s="12"/>
      <c r="K1074" s="11"/>
      <c r="L1074" s="11"/>
      <c r="M1074" s="11"/>
      <c r="N1074" s="11"/>
      <c r="O1074" s="11"/>
      <c r="P1074" s="11"/>
      <c r="Q1074" s="13"/>
    </row>
    <row r="1075">
      <c r="A1075" s="11"/>
      <c r="B1075" s="11"/>
      <c r="C1075" s="11"/>
      <c r="D1075" s="11"/>
      <c r="E1075" s="11"/>
      <c r="F1075" s="11"/>
      <c r="G1075" s="11"/>
      <c r="H1075" s="11"/>
      <c r="I1075" s="12"/>
      <c r="J1075" s="12"/>
      <c r="K1075" s="11"/>
      <c r="L1075" s="11"/>
      <c r="M1075" s="11"/>
      <c r="N1075" s="11"/>
      <c r="O1075" s="11"/>
      <c r="P1075" s="11"/>
      <c r="Q1075" s="13"/>
    </row>
    <row r="1076">
      <c r="A1076" s="11"/>
      <c r="B1076" s="11"/>
      <c r="C1076" s="11"/>
      <c r="D1076" s="11"/>
      <c r="E1076" s="11"/>
      <c r="F1076" s="11"/>
      <c r="G1076" s="11"/>
      <c r="H1076" s="11"/>
      <c r="I1076" s="12"/>
      <c r="J1076" s="12"/>
      <c r="K1076" s="11"/>
      <c r="L1076" s="11"/>
      <c r="M1076" s="11"/>
      <c r="N1076" s="11"/>
      <c r="O1076" s="11"/>
      <c r="P1076" s="11"/>
      <c r="Q1076" s="13"/>
    </row>
    <row r="1077">
      <c r="A1077" s="11"/>
      <c r="B1077" s="11"/>
      <c r="C1077" s="11"/>
      <c r="D1077" s="11"/>
      <c r="E1077" s="11"/>
      <c r="F1077" s="11"/>
      <c r="G1077" s="11"/>
      <c r="H1077" s="11"/>
      <c r="I1077" s="12"/>
      <c r="J1077" s="12"/>
      <c r="K1077" s="11"/>
      <c r="L1077" s="11"/>
      <c r="M1077" s="11"/>
      <c r="N1077" s="11"/>
      <c r="O1077" s="11"/>
      <c r="P1077" s="11"/>
      <c r="Q1077" s="13"/>
    </row>
    <row r="1078">
      <c r="A1078" s="11"/>
      <c r="B1078" s="11"/>
      <c r="C1078" s="11"/>
      <c r="D1078" s="11"/>
      <c r="E1078" s="11"/>
      <c r="F1078" s="11"/>
      <c r="G1078" s="11"/>
      <c r="H1078" s="11"/>
      <c r="I1078" s="12"/>
      <c r="J1078" s="12"/>
      <c r="K1078" s="11"/>
      <c r="L1078" s="11"/>
      <c r="M1078" s="11"/>
      <c r="N1078" s="11"/>
      <c r="O1078" s="11"/>
      <c r="P1078" s="11"/>
      <c r="Q1078" s="13"/>
    </row>
    <row r="1079">
      <c r="A1079" s="11"/>
      <c r="B1079" s="11"/>
      <c r="C1079" s="11"/>
      <c r="D1079" s="11"/>
      <c r="E1079" s="11"/>
      <c r="F1079" s="11"/>
      <c r="G1079" s="11"/>
      <c r="H1079" s="11"/>
      <c r="I1079" s="12"/>
      <c r="J1079" s="12"/>
      <c r="K1079" s="11"/>
      <c r="L1079" s="11"/>
      <c r="M1079" s="11"/>
      <c r="N1079" s="11"/>
      <c r="O1079" s="11"/>
      <c r="P1079" s="11"/>
      <c r="Q1079" s="13"/>
    </row>
    <row r="1080">
      <c r="A1080" s="11"/>
      <c r="B1080" s="11"/>
      <c r="C1080" s="11"/>
      <c r="D1080" s="11"/>
      <c r="E1080" s="11"/>
      <c r="F1080" s="11"/>
      <c r="G1080" s="11"/>
      <c r="H1080" s="11"/>
      <c r="I1080" s="12"/>
      <c r="J1080" s="12"/>
      <c r="K1080" s="11"/>
      <c r="L1080" s="11"/>
      <c r="M1080" s="11"/>
      <c r="N1080" s="11"/>
      <c r="O1080" s="11"/>
      <c r="P1080" s="11"/>
      <c r="Q1080" s="13"/>
    </row>
    <row r="1081">
      <c r="A1081" s="11"/>
      <c r="B1081" s="11"/>
      <c r="C1081" s="11"/>
      <c r="D1081" s="11"/>
      <c r="E1081" s="11"/>
      <c r="F1081" s="11"/>
      <c r="G1081" s="11"/>
      <c r="H1081" s="11"/>
      <c r="I1081" s="12"/>
      <c r="J1081" s="12"/>
      <c r="K1081" s="11"/>
      <c r="L1081" s="11"/>
      <c r="M1081" s="11"/>
      <c r="N1081" s="11"/>
      <c r="O1081" s="11"/>
      <c r="P1081" s="11"/>
      <c r="Q1081" s="13"/>
    </row>
    <row r="1082">
      <c r="A1082" s="11"/>
      <c r="B1082" s="11"/>
      <c r="C1082" s="11"/>
      <c r="D1082" s="11"/>
      <c r="E1082" s="11"/>
      <c r="F1082" s="11"/>
      <c r="G1082" s="11"/>
      <c r="H1082" s="11"/>
      <c r="I1082" s="12"/>
      <c r="J1082" s="12"/>
      <c r="K1082" s="11"/>
      <c r="L1082" s="11"/>
      <c r="M1082" s="11"/>
      <c r="N1082" s="11"/>
      <c r="O1082" s="11"/>
      <c r="P1082" s="11"/>
      <c r="Q1082" s="13"/>
    </row>
    <row r="1083">
      <c r="A1083" s="11"/>
      <c r="B1083" s="11"/>
      <c r="C1083" s="11"/>
      <c r="D1083" s="11"/>
      <c r="E1083" s="11"/>
      <c r="F1083" s="11"/>
      <c r="G1083" s="11"/>
      <c r="H1083" s="11"/>
      <c r="I1083" s="12"/>
      <c r="J1083" s="12"/>
      <c r="K1083" s="11"/>
      <c r="L1083" s="11"/>
      <c r="M1083" s="11"/>
      <c r="N1083" s="11"/>
      <c r="O1083" s="11"/>
      <c r="P1083" s="11"/>
      <c r="Q1083" s="13"/>
    </row>
    <row r="1084">
      <c r="A1084" s="11"/>
      <c r="B1084" s="11"/>
      <c r="C1084" s="11"/>
      <c r="D1084" s="11"/>
      <c r="E1084" s="11"/>
      <c r="F1084" s="11"/>
      <c r="G1084" s="11"/>
      <c r="H1084" s="11"/>
      <c r="I1084" s="12"/>
      <c r="J1084" s="12"/>
      <c r="K1084" s="11"/>
      <c r="L1084" s="11"/>
      <c r="M1084" s="11"/>
      <c r="N1084" s="11"/>
      <c r="O1084" s="11"/>
      <c r="P1084" s="11"/>
      <c r="Q1084" s="13"/>
    </row>
    <row r="1085">
      <c r="A1085" s="11"/>
      <c r="B1085" s="11"/>
      <c r="C1085" s="11"/>
      <c r="D1085" s="11"/>
      <c r="E1085" s="11"/>
      <c r="F1085" s="11"/>
      <c r="G1085" s="11"/>
      <c r="H1085" s="11"/>
      <c r="I1085" s="12"/>
      <c r="J1085" s="12"/>
      <c r="K1085" s="11"/>
      <c r="L1085" s="11"/>
      <c r="M1085" s="11"/>
      <c r="N1085" s="11"/>
      <c r="O1085" s="11"/>
      <c r="P1085" s="11"/>
      <c r="Q1085" s="13"/>
    </row>
    <row r="1086">
      <c r="A1086" s="11"/>
      <c r="B1086" s="11"/>
      <c r="C1086" s="11"/>
      <c r="D1086" s="11"/>
      <c r="E1086" s="11"/>
      <c r="F1086" s="11"/>
      <c r="G1086" s="11"/>
      <c r="H1086" s="11"/>
      <c r="I1086" s="12"/>
      <c r="J1086" s="12"/>
      <c r="K1086" s="11"/>
      <c r="L1086" s="11"/>
      <c r="M1086" s="11"/>
      <c r="N1086" s="11"/>
      <c r="O1086" s="11"/>
      <c r="P1086" s="11"/>
      <c r="Q1086" s="13"/>
    </row>
    <row r="1087">
      <c r="A1087" s="11"/>
      <c r="B1087" s="11"/>
      <c r="C1087" s="11"/>
      <c r="D1087" s="11"/>
      <c r="E1087" s="11"/>
      <c r="F1087" s="11"/>
      <c r="G1087" s="11"/>
      <c r="H1087" s="11"/>
      <c r="I1087" s="12"/>
      <c r="J1087" s="12"/>
      <c r="K1087" s="11"/>
      <c r="L1087" s="11"/>
      <c r="M1087" s="11"/>
      <c r="N1087" s="11"/>
      <c r="O1087" s="11"/>
      <c r="P1087" s="11"/>
      <c r="Q1087" s="13"/>
    </row>
    <row r="1088">
      <c r="A1088" s="11"/>
      <c r="B1088" s="11"/>
      <c r="C1088" s="11"/>
      <c r="D1088" s="11"/>
      <c r="E1088" s="11"/>
      <c r="F1088" s="11"/>
      <c r="G1088" s="11"/>
      <c r="H1088" s="11"/>
      <c r="I1088" s="12"/>
      <c r="J1088" s="12"/>
      <c r="K1088" s="11"/>
      <c r="L1088" s="11"/>
      <c r="M1088" s="11"/>
      <c r="N1088" s="11"/>
      <c r="O1088" s="11"/>
      <c r="P1088" s="11"/>
      <c r="Q1088" s="13"/>
    </row>
    <row r="1089">
      <c r="A1089" s="11"/>
      <c r="B1089" s="11"/>
      <c r="C1089" s="11"/>
      <c r="D1089" s="11"/>
      <c r="E1089" s="11"/>
      <c r="F1089" s="11"/>
      <c r="G1089" s="11"/>
      <c r="H1089" s="11"/>
      <c r="I1089" s="12"/>
      <c r="J1089" s="12"/>
      <c r="K1089" s="11"/>
      <c r="L1089" s="11"/>
      <c r="M1089" s="11"/>
      <c r="N1089" s="11"/>
      <c r="O1089" s="11"/>
      <c r="P1089" s="11"/>
      <c r="Q1089" s="13"/>
    </row>
    <row r="1090">
      <c r="A1090" s="11"/>
      <c r="B1090" s="11"/>
      <c r="C1090" s="11"/>
      <c r="D1090" s="11"/>
      <c r="E1090" s="11"/>
      <c r="F1090" s="11"/>
      <c r="G1090" s="11"/>
      <c r="H1090" s="11"/>
      <c r="I1090" s="12"/>
      <c r="J1090" s="12"/>
      <c r="K1090" s="11"/>
      <c r="L1090" s="11"/>
      <c r="M1090" s="11"/>
      <c r="N1090" s="11"/>
      <c r="O1090" s="11"/>
      <c r="P1090" s="11"/>
      <c r="Q1090" s="13"/>
    </row>
    <row r="1091">
      <c r="A1091" s="11"/>
      <c r="B1091" s="11"/>
      <c r="C1091" s="11"/>
      <c r="D1091" s="11"/>
      <c r="E1091" s="11"/>
      <c r="F1091" s="11"/>
      <c r="G1091" s="11"/>
      <c r="H1091" s="11"/>
      <c r="I1091" s="12"/>
      <c r="J1091" s="12"/>
      <c r="K1091" s="11"/>
      <c r="L1091" s="11"/>
      <c r="M1091" s="11"/>
      <c r="N1091" s="11"/>
      <c r="O1091" s="11"/>
      <c r="P1091" s="11"/>
      <c r="Q1091" s="13"/>
    </row>
    <row r="1092">
      <c r="A1092" s="11"/>
      <c r="B1092" s="11"/>
      <c r="C1092" s="11"/>
      <c r="D1092" s="11"/>
      <c r="E1092" s="11"/>
      <c r="F1092" s="11"/>
      <c r="G1092" s="11"/>
      <c r="H1092" s="11"/>
      <c r="I1092" s="12"/>
      <c r="J1092" s="12"/>
      <c r="K1092" s="11"/>
      <c r="L1092" s="11"/>
      <c r="M1092" s="11"/>
      <c r="N1092" s="11"/>
      <c r="O1092" s="11"/>
      <c r="P1092" s="11"/>
      <c r="Q1092" s="13"/>
    </row>
    <row r="1093">
      <c r="A1093" s="11"/>
      <c r="B1093" s="11"/>
      <c r="C1093" s="11"/>
      <c r="D1093" s="11"/>
      <c r="E1093" s="11"/>
      <c r="F1093" s="11"/>
      <c r="G1093" s="11"/>
      <c r="H1093" s="11"/>
      <c r="I1093" s="12"/>
      <c r="J1093" s="12"/>
      <c r="K1093" s="11"/>
      <c r="L1093" s="11"/>
      <c r="M1093" s="11"/>
      <c r="N1093" s="11"/>
      <c r="O1093" s="11"/>
      <c r="P1093" s="11"/>
      <c r="Q1093" s="13"/>
    </row>
    <row r="1094">
      <c r="A1094" s="11"/>
      <c r="B1094" s="11"/>
      <c r="C1094" s="11"/>
      <c r="D1094" s="11"/>
      <c r="E1094" s="11"/>
      <c r="F1094" s="11"/>
      <c r="G1094" s="11"/>
      <c r="H1094" s="11"/>
      <c r="I1094" s="12"/>
      <c r="J1094" s="12"/>
      <c r="K1094" s="11"/>
      <c r="L1094" s="11"/>
      <c r="M1094" s="11"/>
      <c r="N1094" s="11"/>
      <c r="O1094" s="11"/>
      <c r="P1094" s="11"/>
      <c r="Q1094" s="13"/>
    </row>
    <row r="1095">
      <c r="A1095" s="11"/>
      <c r="B1095" s="11"/>
      <c r="C1095" s="11"/>
      <c r="D1095" s="11"/>
      <c r="E1095" s="11"/>
      <c r="F1095" s="11"/>
      <c r="G1095" s="11"/>
      <c r="H1095" s="11"/>
      <c r="I1095" s="12"/>
      <c r="J1095" s="12"/>
      <c r="K1095" s="11"/>
      <c r="L1095" s="11"/>
      <c r="M1095" s="11"/>
      <c r="N1095" s="11"/>
      <c r="O1095" s="11"/>
      <c r="P1095" s="11"/>
      <c r="Q1095" s="13"/>
    </row>
    <row r="1096">
      <c r="A1096" s="11"/>
      <c r="B1096" s="11"/>
      <c r="C1096" s="11"/>
      <c r="D1096" s="11"/>
      <c r="E1096" s="11"/>
      <c r="F1096" s="11"/>
      <c r="G1096" s="11"/>
      <c r="H1096" s="11"/>
      <c r="I1096" s="12"/>
      <c r="J1096" s="12"/>
      <c r="K1096" s="11"/>
      <c r="L1096" s="11"/>
      <c r="M1096" s="11"/>
      <c r="N1096" s="11"/>
      <c r="O1096" s="11"/>
      <c r="P1096" s="11"/>
      <c r="Q1096" s="13"/>
    </row>
    <row r="1097">
      <c r="A1097" s="11"/>
      <c r="B1097" s="11"/>
      <c r="C1097" s="11"/>
      <c r="D1097" s="11"/>
      <c r="E1097" s="11"/>
      <c r="F1097" s="11"/>
      <c r="G1097" s="11"/>
      <c r="H1097" s="11"/>
      <c r="I1097" s="12"/>
      <c r="J1097" s="12"/>
      <c r="K1097" s="11"/>
      <c r="L1097" s="11"/>
      <c r="M1097" s="11"/>
      <c r="N1097" s="11"/>
      <c r="O1097" s="11"/>
      <c r="P1097" s="11"/>
      <c r="Q1097" s="13"/>
    </row>
    <row r="1098">
      <c r="A1098" s="11"/>
      <c r="B1098" s="11"/>
      <c r="C1098" s="11"/>
      <c r="D1098" s="11"/>
      <c r="E1098" s="11"/>
      <c r="F1098" s="11"/>
      <c r="G1098" s="11"/>
      <c r="H1098" s="11"/>
      <c r="I1098" s="12"/>
      <c r="J1098" s="12"/>
      <c r="K1098" s="11"/>
      <c r="L1098" s="11"/>
      <c r="M1098" s="11"/>
      <c r="N1098" s="11"/>
      <c r="O1098" s="11"/>
      <c r="P1098" s="11"/>
      <c r="Q1098" s="13"/>
    </row>
    <row r="1099">
      <c r="A1099" s="11"/>
      <c r="B1099" s="11"/>
      <c r="C1099" s="11"/>
      <c r="D1099" s="11"/>
      <c r="E1099" s="11"/>
      <c r="F1099" s="11"/>
      <c r="G1099" s="11"/>
      <c r="H1099" s="11"/>
      <c r="I1099" s="12"/>
      <c r="J1099" s="12"/>
      <c r="K1099" s="11"/>
      <c r="L1099" s="11"/>
      <c r="M1099" s="11"/>
      <c r="N1099" s="11"/>
      <c r="O1099" s="11"/>
      <c r="P1099" s="11"/>
      <c r="Q1099" s="13"/>
    </row>
    <row r="1100">
      <c r="A1100" s="11"/>
      <c r="B1100" s="11"/>
      <c r="C1100" s="11"/>
      <c r="D1100" s="11"/>
      <c r="E1100" s="11"/>
      <c r="F1100" s="11"/>
      <c r="G1100" s="11"/>
      <c r="H1100" s="11"/>
      <c r="I1100" s="12"/>
      <c r="J1100" s="12"/>
      <c r="K1100" s="11"/>
      <c r="L1100" s="11"/>
      <c r="M1100" s="11"/>
      <c r="N1100" s="11"/>
      <c r="O1100" s="11"/>
      <c r="P1100" s="11"/>
      <c r="Q1100" s="13"/>
    </row>
    <row r="1101">
      <c r="A1101" s="11"/>
      <c r="B1101" s="11"/>
      <c r="C1101" s="11"/>
      <c r="D1101" s="11"/>
      <c r="E1101" s="11"/>
      <c r="F1101" s="11"/>
      <c r="G1101" s="11"/>
      <c r="H1101" s="11"/>
      <c r="I1101" s="12"/>
      <c r="J1101" s="12"/>
      <c r="K1101" s="11"/>
      <c r="L1101" s="11"/>
      <c r="M1101" s="11"/>
      <c r="N1101" s="11"/>
      <c r="O1101" s="11"/>
      <c r="P1101" s="11"/>
      <c r="Q1101" s="13"/>
    </row>
    <row r="1102">
      <c r="A1102" s="11"/>
      <c r="B1102" s="11"/>
      <c r="C1102" s="11"/>
      <c r="D1102" s="11"/>
      <c r="E1102" s="11"/>
      <c r="F1102" s="11"/>
      <c r="G1102" s="11"/>
      <c r="H1102" s="11"/>
      <c r="I1102" s="12"/>
      <c r="J1102" s="12"/>
      <c r="K1102" s="11"/>
      <c r="L1102" s="11"/>
      <c r="M1102" s="11"/>
      <c r="N1102" s="11"/>
      <c r="O1102" s="11"/>
      <c r="P1102" s="11"/>
      <c r="Q1102" s="13"/>
    </row>
    <row r="1103">
      <c r="A1103" s="11"/>
      <c r="B1103" s="11"/>
      <c r="C1103" s="11"/>
      <c r="D1103" s="11"/>
      <c r="E1103" s="11"/>
      <c r="F1103" s="11"/>
      <c r="G1103" s="11"/>
      <c r="H1103" s="11"/>
      <c r="I1103" s="12"/>
      <c r="J1103" s="12"/>
      <c r="K1103" s="11"/>
      <c r="L1103" s="11"/>
      <c r="M1103" s="11"/>
      <c r="N1103" s="11"/>
      <c r="O1103" s="11"/>
      <c r="P1103" s="11"/>
      <c r="Q1103" s="13"/>
    </row>
    <row r="1104">
      <c r="A1104" s="11"/>
      <c r="B1104" s="11"/>
      <c r="C1104" s="11"/>
      <c r="D1104" s="11"/>
      <c r="E1104" s="11"/>
      <c r="F1104" s="11"/>
      <c r="G1104" s="11"/>
      <c r="H1104" s="11"/>
      <c r="I1104" s="12"/>
      <c r="J1104" s="12"/>
      <c r="K1104" s="11"/>
      <c r="L1104" s="11"/>
      <c r="M1104" s="11"/>
      <c r="N1104" s="11"/>
      <c r="O1104" s="11"/>
      <c r="P1104" s="11"/>
      <c r="Q1104" s="13"/>
    </row>
    <row r="1105">
      <c r="A1105" s="11"/>
      <c r="B1105" s="11"/>
      <c r="C1105" s="11"/>
      <c r="D1105" s="11"/>
      <c r="E1105" s="11"/>
      <c r="F1105" s="11"/>
      <c r="G1105" s="11"/>
      <c r="H1105" s="11"/>
      <c r="I1105" s="12"/>
      <c r="J1105" s="12"/>
      <c r="K1105" s="11"/>
      <c r="L1105" s="11"/>
      <c r="M1105" s="11"/>
      <c r="N1105" s="11"/>
      <c r="O1105" s="11"/>
      <c r="P1105" s="11"/>
      <c r="Q1105" s="13"/>
    </row>
    <row r="1106">
      <c r="A1106" s="11"/>
      <c r="B1106" s="11"/>
      <c r="C1106" s="11"/>
      <c r="D1106" s="11"/>
      <c r="E1106" s="11"/>
      <c r="F1106" s="11"/>
      <c r="G1106" s="11"/>
      <c r="H1106" s="11"/>
      <c r="I1106" s="12"/>
      <c r="J1106" s="12"/>
      <c r="K1106" s="11"/>
      <c r="L1106" s="11"/>
      <c r="M1106" s="11"/>
      <c r="N1106" s="11"/>
      <c r="O1106" s="11"/>
      <c r="P1106" s="11"/>
      <c r="Q1106" s="13"/>
    </row>
    <row r="1107">
      <c r="A1107" s="11"/>
      <c r="B1107" s="11"/>
      <c r="C1107" s="11"/>
      <c r="D1107" s="11"/>
      <c r="E1107" s="11"/>
      <c r="F1107" s="11"/>
      <c r="G1107" s="11"/>
      <c r="H1107" s="11"/>
      <c r="I1107" s="12"/>
      <c r="J1107" s="12"/>
      <c r="K1107" s="11"/>
      <c r="L1107" s="11"/>
      <c r="M1107" s="11"/>
      <c r="N1107" s="11"/>
      <c r="O1107" s="11"/>
      <c r="P1107" s="11"/>
      <c r="Q1107" s="13"/>
    </row>
    <row r="1108">
      <c r="A1108" s="11"/>
      <c r="B1108" s="11"/>
      <c r="C1108" s="11"/>
      <c r="D1108" s="11"/>
      <c r="E1108" s="11"/>
      <c r="F1108" s="11"/>
      <c r="G1108" s="11"/>
      <c r="H1108" s="11"/>
      <c r="I1108" s="12"/>
      <c r="J1108" s="12"/>
      <c r="K1108" s="11"/>
      <c r="L1108" s="11"/>
      <c r="M1108" s="11"/>
      <c r="N1108" s="11"/>
      <c r="O1108" s="11"/>
      <c r="P1108" s="11"/>
      <c r="Q1108" s="13"/>
    </row>
    <row r="1109">
      <c r="A1109" s="11"/>
      <c r="B1109" s="11"/>
      <c r="C1109" s="11"/>
      <c r="D1109" s="11"/>
      <c r="E1109" s="11"/>
      <c r="F1109" s="11"/>
      <c r="G1109" s="11"/>
      <c r="H1109" s="11"/>
      <c r="I1109" s="12"/>
      <c r="J1109" s="12"/>
      <c r="K1109" s="11"/>
      <c r="L1109" s="11"/>
      <c r="M1109" s="11"/>
      <c r="N1109" s="11"/>
      <c r="O1109" s="11"/>
      <c r="P1109" s="11"/>
      <c r="Q1109" s="13"/>
    </row>
    <row r="1110">
      <c r="A1110" s="11"/>
      <c r="B1110" s="11"/>
      <c r="C1110" s="11"/>
      <c r="D1110" s="11"/>
      <c r="E1110" s="11"/>
      <c r="F1110" s="11"/>
      <c r="G1110" s="11"/>
      <c r="H1110" s="11"/>
      <c r="I1110" s="12"/>
      <c r="J1110" s="12"/>
      <c r="K1110" s="11"/>
      <c r="L1110" s="11"/>
      <c r="M1110" s="11"/>
      <c r="N1110" s="11"/>
      <c r="O1110" s="11"/>
      <c r="P1110" s="11"/>
      <c r="Q1110" s="13"/>
    </row>
    <row r="1111">
      <c r="A1111" s="11"/>
      <c r="B1111" s="11"/>
      <c r="C1111" s="11"/>
      <c r="D1111" s="11"/>
      <c r="E1111" s="11"/>
      <c r="F1111" s="11"/>
      <c r="G1111" s="11"/>
      <c r="H1111" s="11"/>
      <c r="I1111" s="12"/>
      <c r="J1111" s="12"/>
      <c r="K1111" s="11"/>
      <c r="L1111" s="11"/>
      <c r="M1111" s="11"/>
      <c r="N1111" s="11"/>
      <c r="O1111" s="11"/>
      <c r="P1111" s="11"/>
      <c r="Q1111" s="13"/>
    </row>
    <row r="1112">
      <c r="A1112" s="11"/>
      <c r="B1112" s="11"/>
      <c r="C1112" s="11"/>
      <c r="D1112" s="11"/>
      <c r="E1112" s="11"/>
      <c r="F1112" s="11"/>
      <c r="G1112" s="11"/>
      <c r="H1112" s="11"/>
      <c r="I1112" s="12"/>
      <c r="J1112" s="12"/>
      <c r="K1112" s="11"/>
      <c r="L1112" s="11"/>
      <c r="M1112" s="11"/>
      <c r="N1112" s="11"/>
      <c r="O1112" s="11"/>
      <c r="P1112" s="11"/>
      <c r="Q1112" s="13"/>
    </row>
    <row r="1113">
      <c r="A1113" s="11"/>
      <c r="B1113" s="11"/>
      <c r="C1113" s="11"/>
      <c r="D1113" s="11"/>
      <c r="E1113" s="11"/>
      <c r="F1113" s="11"/>
      <c r="G1113" s="11"/>
      <c r="H1113" s="11"/>
      <c r="I1113" s="12"/>
      <c r="J1113" s="12"/>
      <c r="K1113" s="11"/>
      <c r="L1113" s="11"/>
      <c r="M1113" s="11"/>
      <c r="N1113" s="11"/>
      <c r="O1113" s="11"/>
      <c r="P1113" s="11"/>
      <c r="Q1113" s="13"/>
    </row>
    <row r="1114">
      <c r="A1114" s="11"/>
      <c r="B1114" s="11"/>
      <c r="C1114" s="11"/>
      <c r="D1114" s="11"/>
      <c r="E1114" s="11"/>
      <c r="F1114" s="11"/>
      <c r="G1114" s="11"/>
      <c r="H1114" s="11"/>
      <c r="I1114" s="12"/>
      <c r="J1114" s="12"/>
      <c r="K1114" s="11"/>
      <c r="L1114" s="11"/>
      <c r="M1114" s="11"/>
      <c r="N1114" s="11"/>
      <c r="O1114" s="11"/>
      <c r="P1114" s="11"/>
      <c r="Q1114" s="13"/>
    </row>
    <row r="1115">
      <c r="A1115" s="11"/>
      <c r="B1115" s="11"/>
      <c r="C1115" s="11"/>
      <c r="D1115" s="11"/>
      <c r="E1115" s="11"/>
      <c r="F1115" s="11"/>
      <c r="G1115" s="11"/>
      <c r="H1115" s="11"/>
      <c r="I1115" s="12"/>
      <c r="J1115" s="12"/>
      <c r="K1115" s="11"/>
      <c r="L1115" s="11"/>
      <c r="M1115" s="11"/>
      <c r="N1115" s="11"/>
      <c r="O1115" s="11"/>
      <c r="P1115" s="11"/>
      <c r="Q1115" s="13"/>
    </row>
    <row r="1116">
      <c r="A1116" s="11"/>
      <c r="B1116" s="11"/>
      <c r="C1116" s="11"/>
      <c r="D1116" s="11"/>
      <c r="E1116" s="11"/>
      <c r="F1116" s="11"/>
      <c r="G1116" s="11"/>
      <c r="H1116" s="11"/>
      <c r="I1116" s="12"/>
      <c r="J1116" s="12"/>
      <c r="K1116" s="11"/>
      <c r="L1116" s="11"/>
      <c r="M1116" s="11"/>
      <c r="N1116" s="11"/>
      <c r="O1116" s="11"/>
      <c r="P1116" s="11"/>
      <c r="Q1116" s="13"/>
    </row>
    <row r="1117">
      <c r="A1117" s="11"/>
      <c r="B1117" s="11"/>
      <c r="C1117" s="11"/>
      <c r="D1117" s="11"/>
      <c r="E1117" s="11"/>
      <c r="F1117" s="11"/>
      <c r="G1117" s="11"/>
      <c r="H1117" s="11"/>
      <c r="I1117" s="12"/>
      <c r="J1117" s="12"/>
      <c r="K1117" s="11"/>
      <c r="L1117" s="11"/>
      <c r="M1117" s="11"/>
      <c r="N1117" s="11"/>
      <c r="O1117" s="11"/>
      <c r="P1117" s="11"/>
      <c r="Q1117" s="13"/>
    </row>
    <row r="1118">
      <c r="A1118" s="11"/>
      <c r="B1118" s="11"/>
      <c r="C1118" s="11"/>
      <c r="D1118" s="11"/>
      <c r="E1118" s="11"/>
      <c r="F1118" s="11"/>
      <c r="G1118" s="11"/>
      <c r="H1118" s="11"/>
      <c r="I1118" s="12"/>
      <c r="J1118" s="12"/>
      <c r="K1118" s="11"/>
      <c r="L1118" s="11"/>
      <c r="M1118" s="11"/>
      <c r="N1118" s="11"/>
      <c r="O1118" s="11"/>
      <c r="P1118" s="11"/>
      <c r="Q1118" s="13"/>
    </row>
    <row r="1119">
      <c r="A1119" s="11"/>
      <c r="B1119" s="11"/>
      <c r="C1119" s="11"/>
      <c r="D1119" s="11"/>
      <c r="E1119" s="11"/>
      <c r="F1119" s="11"/>
      <c r="G1119" s="11"/>
      <c r="H1119" s="11"/>
      <c r="I1119" s="12"/>
      <c r="J1119" s="12"/>
      <c r="K1119" s="11"/>
      <c r="L1119" s="11"/>
      <c r="M1119" s="11"/>
      <c r="N1119" s="11"/>
      <c r="O1119" s="11"/>
      <c r="P1119" s="11"/>
      <c r="Q1119" s="13"/>
    </row>
    <row r="1120">
      <c r="A1120" s="11"/>
      <c r="B1120" s="11"/>
      <c r="C1120" s="11"/>
      <c r="D1120" s="11"/>
      <c r="E1120" s="11"/>
      <c r="F1120" s="11"/>
      <c r="G1120" s="11"/>
      <c r="H1120" s="11"/>
      <c r="I1120" s="12"/>
      <c r="J1120" s="12"/>
      <c r="K1120" s="11"/>
      <c r="L1120" s="11"/>
      <c r="M1120" s="11"/>
      <c r="N1120" s="11"/>
      <c r="O1120" s="11"/>
      <c r="P1120" s="11"/>
      <c r="Q1120" s="13"/>
    </row>
    <row r="1121">
      <c r="A1121" s="11"/>
      <c r="B1121" s="11"/>
      <c r="C1121" s="11"/>
      <c r="D1121" s="11"/>
      <c r="E1121" s="11"/>
      <c r="F1121" s="11"/>
      <c r="G1121" s="11"/>
      <c r="H1121" s="11"/>
      <c r="I1121" s="12"/>
      <c r="J1121" s="12"/>
      <c r="K1121" s="11"/>
      <c r="L1121" s="11"/>
      <c r="M1121" s="11"/>
      <c r="N1121" s="11"/>
      <c r="O1121" s="11"/>
      <c r="P1121" s="11"/>
      <c r="Q1121" s="13"/>
    </row>
    <row r="1122">
      <c r="A1122" s="11"/>
      <c r="B1122" s="11"/>
      <c r="C1122" s="11"/>
      <c r="D1122" s="11"/>
      <c r="E1122" s="11"/>
      <c r="F1122" s="11"/>
      <c r="G1122" s="11"/>
      <c r="H1122" s="11"/>
      <c r="I1122" s="12"/>
      <c r="J1122" s="12"/>
      <c r="K1122" s="11"/>
      <c r="L1122" s="11"/>
      <c r="M1122" s="11"/>
      <c r="N1122" s="11"/>
      <c r="O1122" s="11"/>
      <c r="P1122" s="11"/>
      <c r="Q1122" s="13"/>
    </row>
    <row r="1123">
      <c r="A1123" s="11"/>
      <c r="B1123" s="11"/>
      <c r="C1123" s="11"/>
      <c r="D1123" s="11"/>
      <c r="E1123" s="11"/>
      <c r="F1123" s="11"/>
      <c r="G1123" s="11"/>
      <c r="H1123" s="11"/>
      <c r="I1123" s="12"/>
      <c r="J1123" s="12"/>
      <c r="K1123" s="11"/>
      <c r="L1123" s="11"/>
      <c r="M1123" s="11"/>
      <c r="N1123" s="11"/>
      <c r="O1123" s="11"/>
      <c r="P1123" s="11"/>
      <c r="Q1123" s="13"/>
    </row>
    <row r="1124">
      <c r="A1124" s="11"/>
      <c r="B1124" s="11"/>
      <c r="C1124" s="11"/>
      <c r="D1124" s="11"/>
      <c r="E1124" s="11"/>
      <c r="F1124" s="11"/>
      <c r="G1124" s="11"/>
      <c r="H1124" s="11"/>
      <c r="I1124" s="12"/>
      <c r="J1124" s="12"/>
      <c r="K1124" s="11"/>
      <c r="L1124" s="11"/>
      <c r="M1124" s="11"/>
      <c r="N1124" s="11"/>
      <c r="O1124" s="11"/>
      <c r="P1124" s="11"/>
      <c r="Q1124" s="13"/>
    </row>
    <row r="1125">
      <c r="A1125" s="11"/>
      <c r="B1125" s="11"/>
      <c r="C1125" s="11"/>
      <c r="D1125" s="11"/>
      <c r="E1125" s="11"/>
      <c r="F1125" s="11"/>
      <c r="G1125" s="11"/>
      <c r="H1125" s="11"/>
      <c r="I1125" s="12"/>
      <c r="J1125" s="12"/>
      <c r="K1125" s="11"/>
      <c r="L1125" s="11"/>
      <c r="M1125" s="11"/>
      <c r="N1125" s="11"/>
      <c r="O1125" s="11"/>
      <c r="P1125" s="11"/>
      <c r="Q1125" s="13"/>
    </row>
    <row r="1126">
      <c r="A1126" s="11"/>
      <c r="B1126" s="11"/>
      <c r="C1126" s="11"/>
      <c r="D1126" s="11"/>
      <c r="E1126" s="11"/>
      <c r="F1126" s="11"/>
      <c r="G1126" s="11"/>
      <c r="H1126" s="11"/>
      <c r="I1126" s="12"/>
      <c r="J1126" s="12"/>
      <c r="K1126" s="11"/>
      <c r="L1126" s="11"/>
      <c r="M1126" s="11"/>
      <c r="N1126" s="11"/>
      <c r="O1126" s="11"/>
      <c r="P1126" s="11"/>
      <c r="Q1126" s="13"/>
    </row>
    <row r="1127">
      <c r="A1127" s="11"/>
      <c r="B1127" s="11"/>
      <c r="C1127" s="11"/>
      <c r="D1127" s="11"/>
      <c r="E1127" s="11"/>
      <c r="F1127" s="11"/>
      <c r="G1127" s="11"/>
      <c r="H1127" s="11"/>
      <c r="I1127" s="12"/>
      <c r="J1127" s="12"/>
      <c r="K1127" s="11"/>
      <c r="L1127" s="11"/>
      <c r="M1127" s="11"/>
      <c r="N1127" s="11"/>
      <c r="O1127" s="11"/>
      <c r="P1127" s="11"/>
      <c r="Q1127" s="13"/>
    </row>
    <row r="1128">
      <c r="A1128" s="11"/>
      <c r="B1128" s="11"/>
      <c r="C1128" s="11"/>
      <c r="D1128" s="11"/>
      <c r="E1128" s="11"/>
      <c r="F1128" s="11"/>
      <c r="G1128" s="11"/>
      <c r="H1128" s="11"/>
      <c r="I1128" s="12"/>
      <c r="J1128" s="12"/>
      <c r="K1128" s="11"/>
      <c r="L1128" s="11"/>
      <c r="M1128" s="11"/>
      <c r="N1128" s="11"/>
      <c r="O1128" s="11"/>
      <c r="P1128" s="11"/>
      <c r="Q1128" s="13"/>
    </row>
    <row r="1129">
      <c r="A1129" s="11"/>
      <c r="B1129" s="11"/>
      <c r="C1129" s="11"/>
      <c r="D1129" s="11"/>
      <c r="E1129" s="11"/>
      <c r="F1129" s="11"/>
      <c r="G1129" s="11"/>
      <c r="H1129" s="11"/>
      <c r="I1129" s="12"/>
      <c r="J1129" s="12"/>
      <c r="K1129" s="11"/>
      <c r="L1129" s="11"/>
      <c r="M1129" s="11"/>
      <c r="N1129" s="11"/>
      <c r="O1129" s="11"/>
      <c r="P1129" s="11"/>
      <c r="Q1129" s="13"/>
    </row>
    <row r="1130">
      <c r="A1130" s="11"/>
      <c r="B1130" s="11"/>
      <c r="C1130" s="11"/>
      <c r="D1130" s="11"/>
      <c r="E1130" s="11"/>
      <c r="F1130" s="11"/>
      <c r="G1130" s="11"/>
      <c r="H1130" s="11"/>
      <c r="I1130" s="12"/>
      <c r="J1130" s="12"/>
      <c r="K1130" s="11"/>
      <c r="L1130" s="11"/>
      <c r="M1130" s="11"/>
      <c r="N1130" s="11"/>
      <c r="O1130" s="11"/>
      <c r="P1130" s="11"/>
      <c r="Q1130" s="13"/>
    </row>
    <row r="1131">
      <c r="A1131" s="11"/>
      <c r="B1131" s="11"/>
      <c r="C1131" s="11"/>
      <c r="D1131" s="11"/>
      <c r="E1131" s="11"/>
      <c r="F1131" s="11"/>
      <c r="G1131" s="11"/>
      <c r="H1131" s="11"/>
      <c r="I1131" s="12"/>
      <c r="J1131" s="12"/>
      <c r="K1131" s="11"/>
      <c r="L1131" s="11"/>
      <c r="M1131" s="11"/>
      <c r="N1131" s="11"/>
      <c r="O1131" s="11"/>
      <c r="P1131" s="11"/>
      <c r="Q1131" s="13"/>
    </row>
    <row r="1132">
      <c r="A1132" s="11"/>
      <c r="B1132" s="11"/>
      <c r="C1132" s="11"/>
      <c r="D1132" s="11"/>
      <c r="E1132" s="11"/>
      <c r="F1132" s="11"/>
      <c r="G1132" s="11"/>
      <c r="H1132" s="11"/>
      <c r="I1132" s="12"/>
      <c r="J1132" s="12"/>
      <c r="K1132" s="11"/>
      <c r="L1132" s="11"/>
      <c r="M1132" s="11"/>
      <c r="N1132" s="11"/>
      <c r="O1132" s="11"/>
      <c r="P1132" s="11"/>
      <c r="Q1132" s="13"/>
    </row>
    <row r="1133">
      <c r="A1133" s="11"/>
      <c r="B1133" s="11"/>
      <c r="C1133" s="11"/>
      <c r="D1133" s="11"/>
      <c r="E1133" s="11"/>
      <c r="F1133" s="11"/>
      <c r="G1133" s="11"/>
      <c r="H1133" s="11"/>
      <c r="I1133" s="12"/>
      <c r="J1133" s="12"/>
      <c r="K1133" s="11"/>
      <c r="L1133" s="11"/>
      <c r="M1133" s="11"/>
      <c r="N1133" s="11"/>
      <c r="O1133" s="11"/>
      <c r="P1133" s="11"/>
      <c r="Q1133" s="13"/>
    </row>
    <row r="1134">
      <c r="A1134" s="11"/>
      <c r="B1134" s="11"/>
      <c r="C1134" s="11"/>
      <c r="D1134" s="11"/>
      <c r="E1134" s="11"/>
      <c r="F1134" s="11"/>
      <c r="G1134" s="11"/>
      <c r="H1134" s="11"/>
      <c r="I1134" s="12"/>
      <c r="J1134" s="12"/>
      <c r="K1134" s="11"/>
      <c r="L1134" s="11"/>
      <c r="M1134" s="11"/>
      <c r="N1134" s="11"/>
      <c r="O1134" s="11"/>
      <c r="P1134" s="11"/>
      <c r="Q1134" s="13"/>
    </row>
    <row r="1135">
      <c r="A1135" s="11"/>
      <c r="B1135" s="11"/>
      <c r="C1135" s="11"/>
      <c r="D1135" s="11"/>
      <c r="E1135" s="11"/>
      <c r="F1135" s="11"/>
      <c r="G1135" s="11"/>
      <c r="H1135" s="11"/>
      <c r="I1135" s="12"/>
      <c r="J1135" s="12"/>
      <c r="K1135" s="11"/>
      <c r="L1135" s="11"/>
      <c r="M1135" s="11"/>
      <c r="N1135" s="11"/>
      <c r="O1135" s="11"/>
      <c r="P1135" s="11"/>
      <c r="Q1135" s="13"/>
    </row>
    <row r="1136">
      <c r="A1136" s="11"/>
      <c r="B1136" s="11"/>
      <c r="C1136" s="11"/>
      <c r="D1136" s="11"/>
      <c r="E1136" s="11"/>
      <c r="F1136" s="11"/>
      <c r="G1136" s="11"/>
      <c r="H1136" s="11"/>
      <c r="I1136" s="12"/>
      <c r="J1136" s="12"/>
      <c r="K1136" s="11"/>
      <c r="L1136" s="11"/>
      <c r="M1136" s="11"/>
      <c r="N1136" s="11"/>
      <c r="O1136" s="11"/>
      <c r="P1136" s="11"/>
      <c r="Q1136" s="13"/>
    </row>
    <row r="1137">
      <c r="A1137" s="11"/>
      <c r="B1137" s="11"/>
      <c r="C1137" s="11"/>
      <c r="D1137" s="11"/>
      <c r="E1137" s="11"/>
      <c r="F1137" s="11"/>
      <c r="G1137" s="11"/>
      <c r="H1137" s="11"/>
      <c r="I1137" s="12"/>
      <c r="J1137" s="12"/>
      <c r="K1137" s="11"/>
      <c r="L1137" s="11"/>
      <c r="M1137" s="11"/>
      <c r="N1137" s="11"/>
      <c r="O1137" s="11"/>
      <c r="P1137" s="11"/>
      <c r="Q1137" s="13"/>
    </row>
    <row r="1138">
      <c r="A1138" s="11"/>
      <c r="B1138" s="11"/>
      <c r="C1138" s="11"/>
      <c r="D1138" s="11"/>
      <c r="E1138" s="11"/>
      <c r="F1138" s="11"/>
      <c r="G1138" s="11"/>
      <c r="H1138" s="11"/>
      <c r="I1138" s="12"/>
      <c r="J1138" s="12"/>
      <c r="K1138" s="11"/>
      <c r="L1138" s="11"/>
      <c r="M1138" s="11"/>
      <c r="N1138" s="11"/>
      <c r="O1138" s="11"/>
      <c r="P1138" s="11"/>
      <c r="Q1138" s="13"/>
    </row>
    <row r="1139">
      <c r="A1139" s="11"/>
      <c r="B1139" s="11"/>
      <c r="C1139" s="11"/>
      <c r="D1139" s="11"/>
      <c r="E1139" s="11"/>
      <c r="F1139" s="11"/>
      <c r="G1139" s="11"/>
      <c r="H1139" s="11"/>
      <c r="I1139" s="12"/>
      <c r="J1139" s="12"/>
      <c r="K1139" s="11"/>
      <c r="L1139" s="11"/>
      <c r="M1139" s="11"/>
      <c r="N1139" s="11"/>
      <c r="O1139" s="11"/>
      <c r="P1139" s="11"/>
      <c r="Q1139" s="13"/>
    </row>
    <row r="1140">
      <c r="A1140" s="11"/>
      <c r="B1140" s="11"/>
      <c r="C1140" s="11"/>
      <c r="D1140" s="11"/>
      <c r="E1140" s="11"/>
      <c r="F1140" s="11"/>
      <c r="G1140" s="11"/>
      <c r="H1140" s="11"/>
      <c r="I1140" s="12"/>
      <c r="J1140" s="12"/>
      <c r="K1140" s="11"/>
      <c r="L1140" s="11"/>
      <c r="M1140" s="11"/>
      <c r="N1140" s="11"/>
      <c r="O1140" s="11"/>
      <c r="P1140" s="11"/>
      <c r="Q1140" s="13"/>
    </row>
    <row r="1141">
      <c r="A1141" s="11"/>
      <c r="B1141" s="11"/>
      <c r="C1141" s="11"/>
      <c r="D1141" s="11"/>
      <c r="E1141" s="11"/>
      <c r="F1141" s="11"/>
      <c r="G1141" s="11"/>
      <c r="H1141" s="11"/>
      <c r="I1141" s="12"/>
      <c r="J1141" s="12"/>
      <c r="K1141" s="11"/>
      <c r="L1141" s="11"/>
      <c r="M1141" s="11"/>
      <c r="N1141" s="11"/>
      <c r="O1141" s="11"/>
      <c r="P1141" s="11"/>
      <c r="Q1141" s="13"/>
    </row>
    <row r="1142">
      <c r="A1142" s="11"/>
      <c r="B1142" s="11"/>
      <c r="C1142" s="11"/>
      <c r="D1142" s="11"/>
      <c r="E1142" s="11"/>
      <c r="F1142" s="11"/>
      <c r="G1142" s="11"/>
      <c r="H1142" s="11"/>
      <c r="I1142" s="12"/>
      <c r="J1142" s="12"/>
      <c r="K1142" s="11"/>
      <c r="L1142" s="11"/>
      <c r="M1142" s="11"/>
      <c r="N1142" s="11"/>
      <c r="O1142" s="11"/>
      <c r="P1142" s="11"/>
      <c r="Q1142" s="13"/>
    </row>
    <row r="1143">
      <c r="A1143" s="11"/>
      <c r="B1143" s="11"/>
      <c r="C1143" s="11"/>
      <c r="D1143" s="11"/>
      <c r="E1143" s="11"/>
      <c r="F1143" s="11"/>
      <c r="G1143" s="11"/>
      <c r="H1143" s="11"/>
      <c r="I1143" s="12"/>
      <c r="J1143" s="12"/>
      <c r="K1143" s="11"/>
      <c r="L1143" s="11"/>
      <c r="M1143" s="11"/>
      <c r="N1143" s="11"/>
      <c r="O1143" s="11"/>
      <c r="P1143" s="11"/>
      <c r="Q1143" s="13"/>
    </row>
    <row r="1144">
      <c r="A1144" s="11"/>
      <c r="B1144" s="11"/>
      <c r="C1144" s="11"/>
      <c r="D1144" s="11"/>
      <c r="E1144" s="11"/>
      <c r="F1144" s="11"/>
      <c r="G1144" s="11"/>
      <c r="H1144" s="11"/>
      <c r="I1144" s="12"/>
      <c r="J1144" s="12"/>
      <c r="K1144" s="11"/>
      <c r="L1144" s="11"/>
      <c r="M1144" s="11"/>
      <c r="N1144" s="11"/>
      <c r="O1144" s="11"/>
      <c r="P1144" s="11"/>
      <c r="Q1144" s="13"/>
    </row>
    <row r="1145">
      <c r="A1145" s="11"/>
      <c r="B1145" s="11"/>
      <c r="C1145" s="11"/>
      <c r="D1145" s="11"/>
      <c r="E1145" s="11"/>
      <c r="F1145" s="11"/>
      <c r="G1145" s="11"/>
      <c r="H1145" s="11"/>
      <c r="I1145" s="12"/>
      <c r="J1145" s="12"/>
      <c r="K1145" s="11"/>
      <c r="L1145" s="11"/>
      <c r="M1145" s="11"/>
      <c r="N1145" s="11"/>
      <c r="O1145" s="11"/>
      <c r="P1145" s="11"/>
      <c r="Q1145" s="13"/>
    </row>
    <row r="1146">
      <c r="A1146" s="11"/>
      <c r="B1146" s="11"/>
      <c r="C1146" s="11"/>
      <c r="D1146" s="11"/>
      <c r="E1146" s="11"/>
      <c r="F1146" s="11"/>
      <c r="G1146" s="11"/>
      <c r="H1146" s="11"/>
      <c r="I1146" s="12"/>
      <c r="J1146" s="12"/>
      <c r="K1146" s="11"/>
      <c r="L1146" s="11"/>
      <c r="M1146" s="11"/>
      <c r="N1146" s="11"/>
      <c r="O1146" s="11"/>
      <c r="P1146" s="11"/>
      <c r="Q1146" s="13"/>
    </row>
    <row r="1147">
      <c r="A1147" s="11"/>
      <c r="B1147" s="11"/>
      <c r="C1147" s="11"/>
      <c r="D1147" s="11"/>
      <c r="E1147" s="11"/>
      <c r="F1147" s="11"/>
      <c r="G1147" s="11"/>
      <c r="H1147" s="11"/>
      <c r="I1147" s="12"/>
      <c r="J1147" s="12"/>
      <c r="K1147" s="11"/>
      <c r="L1147" s="11"/>
      <c r="M1147" s="11"/>
      <c r="N1147" s="11"/>
      <c r="O1147" s="11"/>
      <c r="P1147" s="11"/>
      <c r="Q1147" s="13"/>
    </row>
    <row r="1148">
      <c r="A1148" s="11"/>
      <c r="B1148" s="11"/>
      <c r="C1148" s="11"/>
      <c r="D1148" s="11"/>
      <c r="E1148" s="11"/>
      <c r="F1148" s="11"/>
      <c r="G1148" s="11"/>
      <c r="H1148" s="11"/>
      <c r="I1148" s="12"/>
      <c r="J1148" s="12"/>
      <c r="K1148" s="11"/>
      <c r="L1148" s="11"/>
      <c r="M1148" s="11"/>
      <c r="N1148" s="11"/>
      <c r="O1148" s="11"/>
      <c r="P1148" s="11"/>
      <c r="Q1148" s="13"/>
    </row>
    <row r="1149">
      <c r="A1149" s="11"/>
      <c r="B1149" s="11"/>
      <c r="C1149" s="11"/>
      <c r="D1149" s="11"/>
      <c r="E1149" s="11"/>
      <c r="F1149" s="11"/>
      <c r="G1149" s="11"/>
      <c r="H1149" s="11"/>
      <c r="I1149" s="12"/>
      <c r="J1149" s="12"/>
      <c r="K1149" s="11"/>
      <c r="L1149" s="11"/>
      <c r="M1149" s="11"/>
      <c r="N1149" s="11"/>
      <c r="O1149" s="11"/>
      <c r="P1149" s="11"/>
      <c r="Q1149" s="13"/>
    </row>
    <row r="1150">
      <c r="A1150" s="11"/>
      <c r="B1150" s="11"/>
      <c r="C1150" s="11"/>
      <c r="D1150" s="11"/>
      <c r="E1150" s="11"/>
      <c r="F1150" s="11"/>
      <c r="G1150" s="11"/>
      <c r="H1150" s="11"/>
      <c r="I1150" s="12"/>
      <c r="J1150" s="12"/>
      <c r="K1150" s="11"/>
      <c r="L1150" s="11"/>
      <c r="M1150" s="11"/>
      <c r="N1150" s="11"/>
      <c r="O1150" s="11"/>
      <c r="P1150" s="11"/>
      <c r="Q1150" s="13"/>
    </row>
    <row r="1151">
      <c r="A1151" s="11"/>
      <c r="B1151" s="11"/>
      <c r="C1151" s="11"/>
      <c r="D1151" s="11"/>
      <c r="E1151" s="11"/>
      <c r="F1151" s="11"/>
      <c r="G1151" s="11"/>
      <c r="H1151" s="11"/>
      <c r="I1151" s="12"/>
      <c r="J1151" s="12"/>
      <c r="K1151" s="11"/>
      <c r="L1151" s="11"/>
      <c r="M1151" s="11"/>
      <c r="N1151" s="11"/>
      <c r="O1151" s="11"/>
      <c r="P1151" s="11"/>
      <c r="Q1151" s="13"/>
    </row>
    <row r="1152">
      <c r="A1152" s="11"/>
      <c r="B1152" s="11"/>
      <c r="C1152" s="11"/>
      <c r="D1152" s="11"/>
      <c r="E1152" s="11"/>
      <c r="F1152" s="11"/>
      <c r="G1152" s="11"/>
      <c r="H1152" s="11"/>
      <c r="I1152" s="12"/>
      <c r="J1152" s="12"/>
      <c r="K1152" s="11"/>
      <c r="L1152" s="11"/>
      <c r="M1152" s="11"/>
      <c r="N1152" s="11"/>
      <c r="O1152" s="11"/>
      <c r="P1152" s="11"/>
      <c r="Q1152" s="13"/>
    </row>
    <row r="1153">
      <c r="A1153" s="11"/>
      <c r="B1153" s="11"/>
      <c r="C1153" s="11"/>
      <c r="D1153" s="11"/>
      <c r="E1153" s="11"/>
      <c r="F1153" s="11"/>
      <c r="G1153" s="11"/>
      <c r="H1153" s="11"/>
      <c r="I1153" s="12"/>
      <c r="J1153" s="12"/>
      <c r="K1153" s="11"/>
      <c r="L1153" s="11"/>
      <c r="M1153" s="11"/>
      <c r="N1153" s="11"/>
      <c r="O1153" s="11"/>
      <c r="P1153" s="11"/>
      <c r="Q1153" s="13"/>
    </row>
    <row r="1154">
      <c r="A1154" s="11"/>
      <c r="B1154" s="11"/>
      <c r="C1154" s="11"/>
      <c r="D1154" s="11"/>
      <c r="E1154" s="11"/>
      <c r="F1154" s="11"/>
      <c r="G1154" s="11"/>
      <c r="H1154" s="11"/>
      <c r="I1154" s="12"/>
      <c r="J1154" s="12"/>
      <c r="K1154" s="11"/>
      <c r="L1154" s="11"/>
      <c r="M1154" s="11"/>
      <c r="N1154" s="11"/>
      <c r="O1154" s="11"/>
      <c r="P1154" s="11"/>
      <c r="Q1154" s="13"/>
    </row>
    <row r="1155">
      <c r="A1155" s="11"/>
      <c r="B1155" s="11"/>
      <c r="C1155" s="11"/>
      <c r="D1155" s="11"/>
      <c r="E1155" s="11"/>
      <c r="F1155" s="11"/>
      <c r="G1155" s="11"/>
      <c r="H1155" s="11"/>
      <c r="I1155" s="12"/>
      <c r="J1155" s="12"/>
      <c r="K1155" s="11"/>
      <c r="L1155" s="11"/>
      <c r="M1155" s="11"/>
      <c r="N1155" s="11"/>
      <c r="O1155" s="11"/>
      <c r="P1155" s="11"/>
      <c r="Q1155" s="13"/>
    </row>
    <row r="1156">
      <c r="A1156" s="11"/>
      <c r="B1156" s="11"/>
      <c r="C1156" s="11"/>
      <c r="D1156" s="11"/>
      <c r="E1156" s="11"/>
      <c r="F1156" s="11"/>
      <c r="G1156" s="11"/>
      <c r="H1156" s="11"/>
      <c r="I1156" s="12"/>
      <c r="J1156" s="12"/>
      <c r="K1156" s="11"/>
      <c r="L1156" s="11"/>
      <c r="M1156" s="11"/>
      <c r="N1156" s="11"/>
      <c r="O1156" s="11"/>
      <c r="P1156" s="11"/>
      <c r="Q1156" s="13"/>
    </row>
    <row r="1157">
      <c r="A1157" s="11"/>
      <c r="B1157" s="11"/>
      <c r="C1157" s="11"/>
      <c r="D1157" s="11"/>
      <c r="E1157" s="11"/>
      <c r="F1157" s="11"/>
      <c r="G1157" s="11"/>
      <c r="H1157" s="11"/>
      <c r="I1157" s="12"/>
      <c r="J1157" s="12"/>
      <c r="K1157" s="11"/>
      <c r="L1157" s="11"/>
      <c r="M1157" s="11"/>
      <c r="N1157" s="11"/>
      <c r="O1157" s="11"/>
      <c r="P1157" s="11"/>
      <c r="Q1157" s="13"/>
    </row>
    <row r="1158">
      <c r="A1158" s="11"/>
      <c r="B1158" s="11"/>
      <c r="C1158" s="11"/>
      <c r="D1158" s="11"/>
      <c r="E1158" s="11"/>
      <c r="F1158" s="11"/>
      <c r="G1158" s="11"/>
      <c r="H1158" s="11"/>
      <c r="I1158" s="12"/>
      <c r="J1158" s="12"/>
      <c r="K1158" s="11"/>
      <c r="L1158" s="11"/>
      <c r="M1158" s="11"/>
      <c r="N1158" s="11"/>
      <c r="O1158" s="11"/>
      <c r="P1158" s="11"/>
      <c r="Q1158" s="13"/>
    </row>
    <row r="1159">
      <c r="A1159" s="11"/>
      <c r="B1159" s="11"/>
      <c r="C1159" s="11"/>
      <c r="D1159" s="11"/>
      <c r="E1159" s="11"/>
      <c r="F1159" s="11"/>
      <c r="G1159" s="11"/>
      <c r="H1159" s="11"/>
      <c r="I1159" s="12"/>
      <c r="J1159" s="12"/>
      <c r="K1159" s="11"/>
      <c r="L1159" s="11"/>
      <c r="M1159" s="11"/>
      <c r="N1159" s="11"/>
      <c r="O1159" s="11"/>
      <c r="P1159" s="11"/>
      <c r="Q1159" s="13"/>
    </row>
    <row r="1160">
      <c r="A1160" s="11"/>
      <c r="B1160" s="11"/>
      <c r="C1160" s="11"/>
      <c r="D1160" s="11"/>
      <c r="E1160" s="11"/>
      <c r="F1160" s="11"/>
      <c r="G1160" s="11"/>
      <c r="H1160" s="11"/>
      <c r="I1160" s="12"/>
      <c r="J1160" s="12"/>
      <c r="K1160" s="11"/>
      <c r="L1160" s="11"/>
      <c r="M1160" s="11"/>
      <c r="N1160" s="11"/>
      <c r="O1160" s="11"/>
      <c r="P1160" s="11"/>
      <c r="Q1160" s="13"/>
    </row>
    <row r="1161">
      <c r="A1161" s="11"/>
      <c r="B1161" s="11"/>
      <c r="C1161" s="11"/>
      <c r="D1161" s="11"/>
      <c r="E1161" s="11"/>
      <c r="F1161" s="11"/>
      <c r="G1161" s="11"/>
      <c r="H1161" s="11"/>
      <c r="I1161" s="12"/>
      <c r="J1161" s="12"/>
      <c r="K1161" s="11"/>
      <c r="L1161" s="11"/>
      <c r="M1161" s="11"/>
      <c r="N1161" s="11"/>
      <c r="O1161" s="11"/>
      <c r="P1161" s="11"/>
      <c r="Q1161" s="13"/>
    </row>
    <row r="1162">
      <c r="A1162" s="11"/>
      <c r="B1162" s="11"/>
      <c r="C1162" s="11"/>
      <c r="D1162" s="11"/>
      <c r="E1162" s="11"/>
      <c r="F1162" s="11"/>
      <c r="G1162" s="11"/>
      <c r="H1162" s="11"/>
      <c r="I1162" s="12"/>
      <c r="J1162" s="12"/>
      <c r="K1162" s="11"/>
      <c r="L1162" s="11"/>
      <c r="M1162" s="11"/>
      <c r="N1162" s="11"/>
      <c r="O1162" s="11"/>
      <c r="P1162" s="11"/>
      <c r="Q1162" s="13"/>
    </row>
    <row r="1163">
      <c r="A1163" s="11"/>
      <c r="B1163" s="11"/>
      <c r="C1163" s="11"/>
      <c r="D1163" s="11"/>
      <c r="E1163" s="11"/>
      <c r="F1163" s="11"/>
      <c r="G1163" s="11"/>
      <c r="H1163" s="11"/>
      <c r="I1163" s="12"/>
      <c r="J1163" s="12"/>
      <c r="K1163" s="11"/>
      <c r="L1163" s="11"/>
      <c r="M1163" s="11"/>
      <c r="N1163" s="11"/>
      <c r="O1163" s="11"/>
      <c r="P1163" s="11"/>
      <c r="Q1163" s="13"/>
    </row>
    <row r="1164">
      <c r="A1164" s="11"/>
      <c r="B1164" s="11"/>
      <c r="C1164" s="11"/>
      <c r="D1164" s="11"/>
      <c r="E1164" s="11"/>
      <c r="F1164" s="11"/>
      <c r="G1164" s="11"/>
      <c r="H1164" s="11"/>
      <c r="I1164" s="12"/>
      <c r="J1164" s="12"/>
      <c r="K1164" s="11"/>
      <c r="L1164" s="11"/>
      <c r="M1164" s="11"/>
      <c r="N1164" s="11"/>
      <c r="O1164" s="11"/>
      <c r="P1164" s="11"/>
      <c r="Q1164" s="13"/>
    </row>
    <row r="1165">
      <c r="A1165" s="11"/>
      <c r="B1165" s="11"/>
      <c r="C1165" s="11"/>
      <c r="D1165" s="11"/>
      <c r="E1165" s="11"/>
      <c r="F1165" s="11"/>
      <c r="G1165" s="11"/>
      <c r="H1165" s="11"/>
      <c r="I1165" s="12"/>
      <c r="J1165" s="12"/>
      <c r="K1165" s="11"/>
      <c r="L1165" s="11"/>
      <c r="M1165" s="11"/>
      <c r="N1165" s="11"/>
      <c r="O1165" s="11"/>
      <c r="P1165" s="11"/>
      <c r="Q1165" s="13"/>
    </row>
    <row r="1166">
      <c r="A1166" s="11"/>
      <c r="B1166" s="11"/>
      <c r="C1166" s="11"/>
      <c r="D1166" s="11"/>
      <c r="E1166" s="11"/>
      <c r="F1166" s="11"/>
      <c r="G1166" s="11"/>
      <c r="H1166" s="11"/>
      <c r="I1166" s="12"/>
      <c r="J1166" s="12"/>
      <c r="K1166" s="11"/>
      <c r="L1166" s="11"/>
      <c r="M1166" s="11"/>
      <c r="N1166" s="11"/>
      <c r="O1166" s="11"/>
      <c r="P1166" s="11"/>
      <c r="Q1166" s="13"/>
    </row>
    <row r="1167">
      <c r="A1167" s="11"/>
      <c r="B1167" s="11"/>
      <c r="C1167" s="11"/>
      <c r="D1167" s="11"/>
      <c r="E1167" s="11"/>
      <c r="F1167" s="11"/>
      <c r="G1167" s="11"/>
      <c r="H1167" s="11"/>
      <c r="I1167" s="12"/>
      <c r="J1167" s="12"/>
      <c r="K1167" s="11"/>
      <c r="L1167" s="11"/>
      <c r="M1167" s="11"/>
      <c r="N1167" s="11"/>
      <c r="O1167" s="11"/>
      <c r="P1167" s="11"/>
      <c r="Q1167" s="13"/>
    </row>
    <row r="1168">
      <c r="A1168" s="11"/>
      <c r="B1168" s="11"/>
      <c r="C1168" s="11"/>
      <c r="D1168" s="11"/>
      <c r="E1168" s="11"/>
      <c r="F1168" s="11"/>
      <c r="G1168" s="11"/>
      <c r="H1168" s="11"/>
      <c r="I1168" s="12"/>
      <c r="J1168" s="12"/>
      <c r="K1168" s="11"/>
      <c r="L1168" s="11"/>
      <c r="M1168" s="11"/>
      <c r="N1168" s="11"/>
      <c r="O1168" s="11"/>
      <c r="P1168" s="11"/>
      <c r="Q1168" s="13"/>
    </row>
    <row r="1169">
      <c r="A1169" s="11"/>
      <c r="B1169" s="11"/>
      <c r="C1169" s="11"/>
      <c r="D1169" s="11"/>
      <c r="E1169" s="11"/>
      <c r="F1169" s="11"/>
      <c r="G1169" s="11"/>
      <c r="H1169" s="11"/>
      <c r="I1169" s="12"/>
      <c r="J1169" s="12"/>
      <c r="K1169" s="11"/>
      <c r="L1169" s="11"/>
      <c r="M1169" s="11"/>
      <c r="N1169" s="11"/>
      <c r="O1169" s="11"/>
      <c r="P1169" s="11"/>
      <c r="Q1169" s="13"/>
    </row>
    <row r="1170">
      <c r="A1170" s="11"/>
      <c r="B1170" s="11"/>
      <c r="C1170" s="11"/>
      <c r="D1170" s="11"/>
      <c r="E1170" s="11"/>
      <c r="F1170" s="11"/>
      <c r="G1170" s="11"/>
      <c r="H1170" s="11"/>
      <c r="I1170" s="12"/>
      <c r="J1170" s="12"/>
      <c r="K1170" s="11"/>
      <c r="L1170" s="11"/>
      <c r="M1170" s="11"/>
      <c r="N1170" s="11"/>
      <c r="O1170" s="11"/>
      <c r="P1170" s="11"/>
      <c r="Q1170" s="13"/>
    </row>
    <row r="1171">
      <c r="A1171" s="11"/>
      <c r="B1171" s="11"/>
      <c r="C1171" s="11"/>
      <c r="D1171" s="11"/>
      <c r="E1171" s="11"/>
      <c r="F1171" s="11"/>
      <c r="G1171" s="11"/>
      <c r="H1171" s="11"/>
      <c r="I1171" s="12"/>
      <c r="J1171" s="12"/>
      <c r="K1171" s="11"/>
      <c r="L1171" s="11"/>
      <c r="M1171" s="11"/>
      <c r="N1171" s="11"/>
      <c r="O1171" s="11"/>
      <c r="P1171" s="11"/>
      <c r="Q1171" s="13"/>
    </row>
    <row r="1172">
      <c r="A1172" s="11"/>
      <c r="B1172" s="11"/>
      <c r="C1172" s="11"/>
      <c r="D1172" s="11"/>
      <c r="E1172" s="11"/>
      <c r="F1172" s="11"/>
      <c r="G1172" s="11"/>
      <c r="H1172" s="11"/>
      <c r="I1172" s="12"/>
      <c r="J1172" s="12"/>
      <c r="K1172" s="11"/>
      <c r="L1172" s="11"/>
      <c r="M1172" s="11"/>
      <c r="N1172" s="11"/>
      <c r="O1172" s="11"/>
      <c r="P1172" s="11"/>
      <c r="Q1172" s="13"/>
    </row>
    <row r="1173">
      <c r="A1173" s="11"/>
      <c r="B1173" s="11"/>
      <c r="C1173" s="11"/>
      <c r="D1173" s="11"/>
      <c r="E1173" s="11"/>
      <c r="F1173" s="11"/>
      <c r="G1173" s="11"/>
      <c r="H1173" s="11"/>
      <c r="I1173" s="12"/>
      <c r="J1173" s="12"/>
      <c r="K1173" s="11"/>
      <c r="L1173" s="11"/>
      <c r="M1173" s="11"/>
      <c r="N1173" s="11"/>
      <c r="O1173" s="11"/>
      <c r="P1173" s="11"/>
      <c r="Q1173" s="13"/>
    </row>
    <row r="1174">
      <c r="A1174" s="11"/>
      <c r="B1174" s="11"/>
      <c r="C1174" s="11"/>
      <c r="D1174" s="11"/>
      <c r="E1174" s="11"/>
      <c r="F1174" s="11"/>
      <c r="G1174" s="11"/>
      <c r="H1174" s="11"/>
      <c r="I1174" s="12"/>
      <c r="J1174" s="12"/>
      <c r="K1174" s="11"/>
      <c r="L1174" s="11"/>
      <c r="M1174" s="11"/>
      <c r="N1174" s="11"/>
      <c r="O1174" s="11"/>
      <c r="P1174" s="11"/>
      <c r="Q1174" s="13"/>
    </row>
    <row r="1175">
      <c r="A1175" s="11"/>
      <c r="B1175" s="11"/>
      <c r="C1175" s="11"/>
      <c r="D1175" s="11"/>
      <c r="E1175" s="11"/>
      <c r="F1175" s="11"/>
      <c r="G1175" s="11"/>
      <c r="H1175" s="11"/>
      <c r="I1175" s="12"/>
      <c r="J1175" s="12"/>
      <c r="K1175" s="11"/>
      <c r="L1175" s="11"/>
      <c r="M1175" s="11"/>
      <c r="N1175" s="11"/>
      <c r="O1175" s="11"/>
      <c r="P1175" s="11"/>
      <c r="Q1175" s="13"/>
    </row>
    <row r="1176">
      <c r="A1176" s="11"/>
      <c r="B1176" s="11"/>
      <c r="C1176" s="11"/>
      <c r="D1176" s="11"/>
      <c r="E1176" s="11"/>
      <c r="F1176" s="11"/>
      <c r="G1176" s="11"/>
      <c r="H1176" s="11"/>
      <c r="I1176" s="12"/>
      <c r="J1176" s="12"/>
      <c r="K1176" s="11"/>
      <c r="L1176" s="11"/>
      <c r="M1176" s="11"/>
      <c r="N1176" s="11"/>
      <c r="O1176" s="11"/>
      <c r="P1176" s="11"/>
      <c r="Q1176" s="13"/>
    </row>
    <row r="1177">
      <c r="A1177" s="11"/>
      <c r="B1177" s="11"/>
      <c r="C1177" s="11"/>
      <c r="D1177" s="11"/>
      <c r="E1177" s="11"/>
      <c r="F1177" s="11"/>
      <c r="G1177" s="11"/>
      <c r="H1177" s="11"/>
      <c r="I1177" s="12"/>
      <c r="J1177" s="12"/>
      <c r="K1177" s="11"/>
      <c r="L1177" s="11"/>
      <c r="M1177" s="11"/>
      <c r="N1177" s="11"/>
      <c r="O1177" s="11"/>
      <c r="P1177" s="11"/>
      <c r="Q1177" s="13"/>
    </row>
    <row r="1178">
      <c r="A1178" s="11"/>
      <c r="B1178" s="11"/>
      <c r="C1178" s="11"/>
      <c r="D1178" s="11"/>
      <c r="E1178" s="11"/>
      <c r="F1178" s="11"/>
      <c r="G1178" s="11"/>
      <c r="H1178" s="11"/>
      <c r="I1178" s="12"/>
      <c r="J1178" s="12"/>
      <c r="K1178" s="11"/>
      <c r="L1178" s="11"/>
      <c r="M1178" s="11"/>
      <c r="N1178" s="11"/>
      <c r="O1178" s="11"/>
      <c r="P1178" s="11"/>
      <c r="Q1178" s="13"/>
    </row>
    <row r="1179">
      <c r="A1179" s="11"/>
      <c r="B1179" s="11"/>
      <c r="C1179" s="11"/>
      <c r="D1179" s="11"/>
      <c r="E1179" s="11"/>
      <c r="F1179" s="11"/>
      <c r="G1179" s="11"/>
      <c r="H1179" s="11"/>
      <c r="I1179" s="12"/>
      <c r="J1179" s="12"/>
      <c r="K1179" s="11"/>
      <c r="L1179" s="11"/>
      <c r="M1179" s="11"/>
      <c r="N1179" s="11"/>
      <c r="O1179" s="11"/>
      <c r="P1179" s="11"/>
      <c r="Q1179" s="13"/>
    </row>
    <row r="1180">
      <c r="A1180" s="11"/>
      <c r="B1180" s="11"/>
      <c r="C1180" s="11"/>
      <c r="D1180" s="11"/>
      <c r="E1180" s="11"/>
      <c r="F1180" s="11"/>
      <c r="G1180" s="11"/>
      <c r="H1180" s="11"/>
      <c r="I1180" s="12"/>
      <c r="J1180" s="12"/>
      <c r="K1180" s="11"/>
      <c r="L1180" s="11"/>
      <c r="M1180" s="11"/>
      <c r="N1180" s="11"/>
      <c r="O1180" s="11"/>
      <c r="P1180" s="11"/>
      <c r="Q1180" s="13"/>
    </row>
    <row r="1181">
      <c r="A1181" s="11"/>
      <c r="B1181" s="11"/>
      <c r="C1181" s="11"/>
      <c r="D1181" s="11"/>
      <c r="E1181" s="11"/>
      <c r="F1181" s="11"/>
      <c r="G1181" s="11"/>
      <c r="H1181" s="11"/>
      <c r="I1181" s="12"/>
      <c r="J1181" s="12"/>
      <c r="K1181" s="11"/>
      <c r="L1181" s="11"/>
      <c r="M1181" s="11"/>
      <c r="N1181" s="11"/>
      <c r="O1181" s="11"/>
      <c r="P1181" s="11"/>
      <c r="Q1181" s="13"/>
    </row>
    <row r="1182">
      <c r="A1182" s="11"/>
      <c r="B1182" s="11"/>
      <c r="C1182" s="11"/>
      <c r="D1182" s="11"/>
      <c r="E1182" s="11"/>
      <c r="F1182" s="11"/>
      <c r="G1182" s="11"/>
      <c r="H1182" s="11"/>
      <c r="I1182" s="12"/>
      <c r="J1182" s="12"/>
      <c r="K1182" s="11"/>
      <c r="L1182" s="11"/>
      <c r="M1182" s="11"/>
      <c r="N1182" s="11"/>
      <c r="O1182" s="11"/>
      <c r="P1182" s="11"/>
      <c r="Q1182" s="13"/>
    </row>
    <row r="1183">
      <c r="A1183" s="11"/>
      <c r="B1183" s="11"/>
      <c r="C1183" s="11"/>
      <c r="D1183" s="11"/>
      <c r="E1183" s="11"/>
      <c r="F1183" s="11"/>
      <c r="G1183" s="11"/>
      <c r="H1183" s="11"/>
      <c r="I1183" s="12"/>
      <c r="J1183" s="12"/>
      <c r="K1183" s="11"/>
      <c r="L1183" s="11"/>
      <c r="M1183" s="11"/>
      <c r="N1183" s="11"/>
      <c r="O1183" s="11"/>
      <c r="P1183" s="11"/>
      <c r="Q1183" s="13"/>
    </row>
    <row r="1184">
      <c r="A1184" s="11"/>
      <c r="B1184" s="11"/>
      <c r="C1184" s="11"/>
      <c r="D1184" s="11"/>
      <c r="E1184" s="11"/>
      <c r="F1184" s="11"/>
      <c r="G1184" s="11"/>
      <c r="H1184" s="11"/>
      <c r="I1184" s="12"/>
      <c r="J1184" s="12"/>
      <c r="K1184" s="11"/>
      <c r="L1184" s="11"/>
      <c r="M1184" s="11"/>
      <c r="N1184" s="11"/>
      <c r="O1184" s="11"/>
      <c r="P1184" s="11"/>
      <c r="Q1184" s="13"/>
    </row>
    <row r="1185">
      <c r="A1185" s="11"/>
      <c r="B1185" s="11"/>
      <c r="C1185" s="11"/>
      <c r="D1185" s="11"/>
      <c r="E1185" s="11"/>
      <c r="F1185" s="11"/>
      <c r="G1185" s="11"/>
      <c r="H1185" s="11"/>
      <c r="I1185" s="12"/>
      <c r="J1185" s="12"/>
      <c r="K1185" s="11"/>
      <c r="L1185" s="11"/>
      <c r="M1185" s="11"/>
      <c r="N1185" s="11"/>
      <c r="O1185" s="11"/>
      <c r="P1185" s="11"/>
      <c r="Q1185" s="13"/>
    </row>
    <row r="1186">
      <c r="A1186" s="11"/>
      <c r="B1186" s="11"/>
      <c r="C1186" s="11"/>
      <c r="D1186" s="11"/>
      <c r="E1186" s="11"/>
      <c r="F1186" s="11"/>
      <c r="G1186" s="11"/>
      <c r="H1186" s="11"/>
      <c r="I1186" s="12"/>
      <c r="J1186" s="12"/>
      <c r="K1186" s="11"/>
      <c r="L1186" s="11"/>
      <c r="M1186" s="11"/>
      <c r="N1186" s="11"/>
      <c r="O1186" s="11"/>
      <c r="P1186" s="11"/>
      <c r="Q1186" s="13"/>
    </row>
    <row r="1187">
      <c r="A1187" s="11"/>
      <c r="B1187" s="11"/>
      <c r="C1187" s="11"/>
      <c r="D1187" s="11"/>
      <c r="E1187" s="11"/>
      <c r="F1187" s="11"/>
      <c r="G1187" s="11"/>
      <c r="H1187" s="11"/>
      <c r="I1187" s="12"/>
      <c r="J1187" s="12"/>
      <c r="K1187" s="11"/>
      <c r="L1187" s="11"/>
      <c r="M1187" s="11"/>
      <c r="N1187" s="11"/>
      <c r="O1187" s="11"/>
      <c r="P1187" s="11"/>
      <c r="Q1187" s="13"/>
    </row>
    <row r="1188">
      <c r="A1188" s="11"/>
      <c r="B1188" s="11"/>
      <c r="C1188" s="11"/>
      <c r="D1188" s="11"/>
      <c r="E1188" s="11"/>
      <c r="F1188" s="11"/>
      <c r="G1188" s="11"/>
      <c r="H1188" s="11"/>
      <c r="I1188" s="12"/>
      <c r="J1188" s="12"/>
      <c r="K1188" s="11"/>
      <c r="L1188" s="11"/>
      <c r="M1188" s="11"/>
      <c r="N1188" s="11"/>
      <c r="O1188" s="11"/>
      <c r="P1188" s="11"/>
      <c r="Q1188" s="13"/>
    </row>
    <row r="1189">
      <c r="A1189" s="11"/>
      <c r="B1189" s="11"/>
      <c r="C1189" s="11"/>
      <c r="D1189" s="11"/>
      <c r="E1189" s="11"/>
      <c r="F1189" s="11"/>
      <c r="G1189" s="11"/>
      <c r="H1189" s="11"/>
      <c r="I1189" s="12"/>
      <c r="J1189" s="12"/>
      <c r="K1189" s="11"/>
      <c r="L1189" s="11"/>
      <c r="M1189" s="11"/>
      <c r="N1189" s="11"/>
      <c r="O1189" s="11"/>
      <c r="P1189" s="11"/>
      <c r="Q1189" s="13"/>
    </row>
    <row r="1190">
      <c r="A1190" s="11"/>
      <c r="B1190" s="11"/>
      <c r="C1190" s="11"/>
      <c r="D1190" s="11"/>
      <c r="E1190" s="11"/>
      <c r="F1190" s="11"/>
      <c r="G1190" s="11"/>
      <c r="H1190" s="11"/>
      <c r="I1190" s="12"/>
      <c r="J1190" s="12"/>
      <c r="K1190" s="11"/>
      <c r="L1190" s="11"/>
      <c r="M1190" s="11"/>
      <c r="N1190" s="11"/>
      <c r="O1190" s="11"/>
      <c r="P1190" s="11"/>
      <c r="Q1190" s="13"/>
    </row>
    <row r="1191">
      <c r="A1191" s="11"/>
      <c r="B1191" s="11"/>
      <c r="C1191" s="11"/>
      <c r="D1191" s="11"/>
      <c r="E1191" s="11"/>
      <c r="F1191" s="11"/>
      <c r="G1191" s="11"/>
      <c r="H1191" s="11"/>
      <c r="I1191" s="12"/>
      <c r="J1191" s="12"/>
      <c r="K1191" s="11"/>
      <c r="L1191" s="11"/>
      <c r="M1191" s="11"/>
      <c r="N1191" s="11"/>
      <c r="O1191" s="11"/>
      <c r="P1191" s="11"/>
      <c r="Q1191" s="13"/>
    </row>
    <row r="1192">
      <c r="A1192" s="11"/>
      <c r="B1192" s="11"/>
      <c r="C1192" s="11"/>
      <c r="D1192" s="11"/>
      <c r="E1192" s="11"/>
      <c r="F1192" s="11"/>
      <c r="G1192" s="11"/>
      <c r="H1192" s="11"/>
      <c r="I1192" s="12"/>
      <c r="J1192" s="12"/>
      <c r="K1192" s="11"/>
      <c r="L1192" s="11"/>
      <c r="M1192" s="11"/>
      <c r="N1192" s="11"/>
      <c r="O1192" s="11"/>
      <c r="P1192" s="11"/>
      <c r="Q1192" s="13"/>
    </row>
    <row r="1193">
      <c r="A1193" s="11"/>
      <c r="B1193" s="11"/>
      <c r="C1193" s="11"/>
      <c r="D1193" s="11"/>
      <c r="E1193" s="11"/>
      <c r="F1193" s="11"/>
      <c r="G1193" s="11"/>
      <c r="H1193" s="11"/>
      <c r="I1193" s="12"/>
      <c r="J1193" s="12"/>
      <c r="K1193" s="11"/>
      <c r="L1193" s="11"/>
      <c r="M1193" s="11"/>
      <c r="N1193" s="11"/>
      <c r="O1193" s="11"/>
      <c r="P1193" s="11"/>
      <c r="Q1193" s="13"/>
    </row>
    <row r="1194">
      <c r="A1194" s="11"/>
      <c r="B1194" s="11"/>
      <c r="C1194" s="11"/>
      <c r="D1194" s="11"/>
      <c r="E1194" s="11"/>
      <c r="F1194" s="11"/>
      <c r="G1194" s="11"/>
      <c r="H1194" s="11"/>
      <c r="I1194" s="12"/>
      <c r="J1194" s="12"/>
      <c r="K1194" s="11"/>
      <c r="L1194" s="11"/>
      <c r="M1194" s="11"/>
      <c r="N1194" s="11"/>
      <c r="O1194" s="11"/>
      <c r="P1194" s="11"/>
      <c r="Q1194" s="13"/>
    </row>
    <row r="1195">
      <c r="A1195" s="11"/>
      <c r="B1195" s="11"/>
      <c r="C1195" s="11"/>
      <c r="D1195" s="11"/>
      <c r="E1195" s="11"/>
      <c r="F1195" s="11"/>
      <c r="G1195" s="11"/>
      <c r="H1195" s="11"/>
      <c r="I1195" s="12"/>
      <c r="J1195" s="12"/>
      <c r="K1195" s="11"/>
      <c r="L1195" s="11"/>
      <c r="M1195" s="11"/>
      <c r="N1195" s="11"/>
      <c r="O1195" s="11"/>
      <c r="P1195" s="11"/>
      <c r="Q1195" s="13"/>
    </row>
    <row r="1196">
      <c r="A1196" s="11"/>
      <c r="B1196" s="11"/>
      <c r="C1196" s="11"/>
      <c r="D1196" s="11"/>
      <c r="E1196" s="11"/>
      <c r="F1196" s="11"/>
      <c r="G1196" s="11"/>
      <c r="H1196" s="11"/>
      <c r="I1196" s="12"/>
      <c r="J1196" s="12"/>
      <c r="K1196" s="11"/>
      <c r="L1196" s="11"/>
      <c r="M1196" s="11"/>
      <c r="N1196" s="11"/>
      <c r="O1196" s="11"/>
      <c r="P1196" s="11"/>
      <c r="Q1196" s="13"/>
    </row>
    <row r="1197">
      <c r="A1197" s="11"/>
      <c r="B1197" s="11"/>
      <c r="C1197" s="11"/>
      <c r="D1197" s="11"/>
      <c r="E1197" s="11"/>
      <c r="F1197" s="11"/>
      <c r="G1197" s="11"/>
      <c r="H1197" s="11"/>
      <c r="I1197" s="12"/>
      <c r="J1197" s="12"/>
      <c r="K1197" s="11"/>
      <c r="L1197" s="11"/>
      <c r="M1197" s="11"/>
      <c r="N1197" s="11"/>
      <c r="O1197" s="11"/>
      <c r="P1197" s="11"/>
      <c r="Q1197" s="13"/>
    </row>
    <row r="1198">
      <c r="A1198" s="11"/>
      <c r="B1198" s="11"/>
      <c r="C1198" s="11"/>
      <c r="D1198" s="11"/>
      <c r="E1198" s="11"/>
      <c r="F1198" s="11"/>
      <c r="G1198" s="11"/>
      <c r="H1198" s="11"/>
      <c r="I1198" s="12"/>
      <c r="J1198" s="12"/>
      <c r="K1198" s="11"/>
      <c r="L1198" s="11"/>
      <c r="M1198" s="11"/>
      <c r="N1198" s="11"/>
      <c r="O1198" s="11"/>
      <c r="P1198" s="11"/>
      <c r="Q1198" s="13"/>
    </row>
    <row r="1199">
      <c r="A1199" s="11"/>
      <c r="B1199" s="11"/>
      <c r="C1199" s="11"/>
      <c r="D1199" s="11"/>
      <c r="E1199" s="11"/>
      <c r="F1199" s="11"/>
      <c r="G1199" s="11"/>
      <c r="H1199" s="11"/>
      <c r="I1199" s="12"/>
      <c r="J1199" s="12"/>
      <c r="K1199" s="11"/>
      <c r="L1199" s="11"/>
      <c r="M1199" s="11"/>
      <c r="N1199" s="11"/>
      <c r="O1199" s="11"/>
      <c r="P1199" s="11"/>
      <c r="Q1199" s="13"/>
    </row>
    <row r="1200">
      <c r="A1200" s="11"/>
      <c r="B1200" s="11"/>
      <c r="C1200" s="11"/>
      <c r="D1200" s="11"/>
      <c r="E1200" s="11"/>
      <c r="F1200" s="11"/>
      <c r="G1200" s="11"/>
      <c r="H1200" s="11"/>
      <c r="I1200" s="12"/>
      <c r="J1200" s="12"/>
      <c r="K1200" s="11"/>
      <c r="L1200" s="11"/>
      <c r="M1200" s="11"/>
      <c r="N1200" s="11"/>
      <c r="O1200" s="11"/>
      <c r="P1200" s="11"/>
      <c r="Q1200" s="13"/>
    </row>
    <row r="1201">
      <c r="A1201" s="11"/>
      <c r="B1201" s="11"/>
      <c r="C1201" s="11"/>
      <c r="D1201" s="11"/>
      <c r="E1201" s="11"/>
      <c r="F1201" s="11"/>
      <c r="G1201" s="11"/>
      <c r="H1201" s="11"/>
      <c r="I1201" s="12"/>
      <c r="J1201" s="12"/>
      <c r="K1201" s="11"/>
      <c r="L1201" s="11"/>
      <c r="M1201" s="11"/>
      <c r="N1201" s="11"/>
      <c r="O1201" s="11"/>
      <c r="P1201" s="11"/>
      <c r="Q1201" s="13"/>
    </row>
    <row r="1202">
      <c r="A1202" s="11"/>
      <c r="B1202" s="11"/>
      <c r="C1202" s="11"/>
      <c r="D1202" s="11"/>
      <c r="E1202" s="11"/>
      <c r="F1202" s="11"/>
      <c r="G1202" s="11"/>
      <c r="H1202" s="11"/>
      <c r="I1202" s="12"/>
      <c r="J1202" s="12"/>
      <c r="K1202" s="11"/>
      <c r="L1202" s="11"/>
      <c r="M1202" s="11"/>
      <c r="N1202" s="11"/>
      <c r="O1202" s="11"/>
      <c r="P1202" s="11"/>
      <c r="Q1202" s="13"/>
    </row>
    <row r="1203">
      <c r="A1203" s="11"/>
      <c r="B1203" s="11"/>
      <c r="C1203" s="11"/>
      <c r="D1203" s="11"/>
      <c r="E1203" s="11"/>
      <c r="F1203" s="11"/>
      <c r="G1203" s="11"/>
      <c r="H1203" s="11"/>
      <c r="I1203" s="12"/>
      <c r="J1203" s="12"/>
      <c r="K1203" s="11"/>
      <c r="L1203" s="11"/>
      <c r="M1203" s="11"/>
      <c r="N1203" s="11"/>
      <c r="O1203" s="11"/>
      <c r="P1203" s="11"/>
      <c r="Q1203" s="13"/>
    </row>
    <row r="1204">
      <c r="A1204" s="11"/>
      <c r="B1204" s="11"/>
      <c r="C1204" s="11"/>
      <c r="D1204" s="11"/>
      <c r="E1204" s="11"/>
      <c r="F1204" s="11"/>
      <c r="G1204" s="11"/>
      <c r="H1204" s="11"/>
      <c r="I1204" s="12"/>
      <c r="J1204" s="12"/>
      <c r="K1204" s="11"/>
      <c r="L1204" s="11"/>
      <c r="M1204" s="11"/>
      <c r="N1204" s="11"/>
      <c r="O1204" s="11"/>
      <c r="P1204" s="11"/>
      <c r="Q1204" s="13"/>
    </row>
    <row r="1205">
      <c r="A1205" s="11"/>
      <c r="B1205" s="11"/>
      <c r="C1205" s="11"/>
      <c r="D1205" s="11"/>
      <c r="E1205" s="11"/>
      <c r="F1205" s="11"/>
      <c r="G1205" s="11"/>
      <c r="H1205" s="11"/>
      <c r="I1205" s="12"/>
      <c r="J1205" s="12"/>
      <c r="K1205" s="11"/>
      <c r="L1205" s="11"/>
      <c r="M1205" s="11"/>
      <c r="N1205" s="11"/>
      <c r="O1205" s="11"/>
      <c r="P1205" s="11"/>
      <c r="Q1205" s="13"/>
    </row>
    <row r="1206">
      <c r="A1206" s="11"/>
      <c r="B1206" s="11"/>
      <c r="C1206" s="11"/>
      <c r="D1206" s="11"/>
      <c r="E1206" s="11"/>
      <c r="F1206" s="11"/>
      <c r="G1206" s="11"/>
      <c r="H1206" s="11"/>
      <c r="I1206" s="12"/>
      <c r="J1206" s="12"/>
      <c r="K1206" s="11"/>
      <c r="L1206" s="11"/>
      <c r="M1206" s="11"/>
      <c r="N1206" s="11"/>
      <c r="O1206" s="11"/>
      <c r="P1206" s="11"/>
      <c r="Q1206" s="13"/>
    </row>
    <row r="1207">
      <c r="A1207" s="11"/>
      <c r="B1207" s="11"/>
      <c r="C1207" s="11"/>
      <c r="D1207" s="11"/>
      <c r="E1207" s="11"/>
      <c r="F1207" s="11"/>
      <c r="G1207" s="11"/>
      <c r="H1207" s="11"/>
      <c r="I1207" s="12"/>
      <c r="J1207" s="12"/>
      <c r="K1207" s="11"/>
      <c r="L1207" s="11"/>
      <c r="M1207" s="11"/>
      <c r="N1207" s="11"/>
      <c r="O1207" s="11"/>
      <c r="P1207" s="11"/>
      <c r="Q1207" s="13"/>
    </row>
    <row r="1208">
      <c r="A1208" s="11"/>
      <c r="B1208" s="11"/>
      <c r="C1208" s="11"/>
      <c r="D1208" s="11"/>
      <c r="E1208" s="11"/>
      <c r="F1208" s="11"/>
      <c r="G1208" s="11"/>
      <c r="H1208" s="11"/>
      <c r="I1208" s="12"/>
      <c r="J1208" s="12"/>
      <c r="K1208" s="11"/>
      <c r="L1208" s="11"/>
      <c r="M1208" s="11"/>
      <c r="N1208" s="11"/>
      <c r="O1208" s="11"/>
      <c r="P1208" s="11"/>
      <c r="Q1208" s="13"/>
    </row>
    <row r="1209">
      <c r="A1209" s="11"/>
      <c r="B1209" s="11"/>
      <c r="C1209" s="11"/>
      <c r="D1209" s="11"/>
      <c r="E1209" s="11"/>
      <c r="F1209" s="11"/>
      <c r="G1209" s="11"/>
      <c r="H1209" s="11"/>
      <c r="I1209" s="12"/>
      <c r="J1209" s="12"/>
      <c r="K1209" s="11"/>
      <c r="L1209" s="11"/>
      <c r="M1209" s="11"/>
      <c r="N1209" s="11"/>
      <c r="O1209" s="11"/>
      <c r="P1209" s="11"/>
      <c r="Q1209" s="13"/>
    </row>
    <row r="1210">
      <c r="A1210" s="11"/>
      <c r="B1210" s="11"/>
      <c r="C1210" s="11"/>
      <c r="D1210" s="11"/>
      <c r="E1210" s="11"/>
      <c r="F1210" s="11"/>
      <c r="G1210" s="11"/>
      <c r="H1210" s="11"/>
      <c r="I1210" s="12"/>
      <c r="J1210" s="12"/>
      <c r="K1210" s="11"/>
      <c r="L1210" s="11"/>
      <c r="M1210" s="11"/>
      <c r="N1210" s="11"/>
      <c r="O1210" s="11"/>
      <c r="P1210" s="11"/>
      <c r="Q1210" s="13"/>
    </row>
    <row r="1211">
      <c r="A1211" s="11"/>
      <c r="B1211" s="11"/>
      <c r="C1211" s="11"/>
      <c r="D1211" s="11"/>
      <c r="E1211" s="11"/>
      <c r="F1211" s="11"/>
      <c r="G1211" s="11"/>
      <c r="H1211" s="11"/>
      <c r="I1211" s="12"/>
      <c r="J1211" s="12"/>
      <c r="K1211" s="11"/>
      <c r="L1211" s="11"/>
      <c r="M1211" s="11"/>
      <c r="N1211" s="11"/>
      <c r="O1211" s="11"/>
      <c r="P1211" s="11"/>
      <c r="Q1211" s="13"/>
    </row>
    <row r="1212">
      <c r="A1212" s="11"/>
      <c r="B1212" s="11"/>
      <c r="C1212" s="11"/>
      <c r="D1212" s="11"/>
      <c r="E1212" s="11"/>
      <c r="F1212" s="11"/>
      <c r="G1212" s="11"/>
      <c r="H1212" s="11"/>
      <c r="I1212" s="12"/>
      <c r="J1212" s="12"/>
      <c r="K1212" s="11"/>
      <c r="L1212" s="11"/>
      <c r="M1212" s="11"/>
      <c r="N1212" s="11"/>
      <c r="O1212" s="11"/>
      <c r="P1212" s="11"/>
      <c r="Q1212" s="13"/>
    </row>
    <row r="1213">
      <c r="A1213" s="11"/>
      <c r="B1213" s="11"/>
      <c r="C1213" s="11"/>
      <c r="D1213" s="11"/>
      <c r="E1213" s="11"/>
      <c r="F1213" s="11"/>
      <c r="G1213" s="11"/>
      <c r="H1213" s="11"/>
      <c r="I1213" s="12"/>
      <c r="J1213" s="12"/>
      <c r="K1213" s="11"/>
      <c r="L1213" s="11"/>
      <c r="M1213" s="11"/>
      <c r="N1213" s="11"/>
      <c r="O1213" s="11"/>
      <c r="P1213" s="11"/>
      <c r="Q1213" s="13"/>
    </row>
    <row r="1214">
      <c r="A1214" s="11"/>
      <c r="B1214" s="11"/>
      <c r="C1214" s="11"/>
      <c r="D1214" s="11"/>
      <c r="E1214" s="11"/>
      <c r="F1214" s="11"/>
      <c r="G1214" s="11"/>
      <c r="H1214" s="11"/>
      <c r="I1214" s="12"/>
      <c r="J1214" s="12"/>
      <c r="K1214" s="11"/>
      <c r="L1214" s="11"/>
      <c r="M1214" s="11"/>
      <c r="N1214" s="11"/>
      <c r="O1214" s="11"/>
      <c r="P1214" s="11"/>
      <c r="Q1214" s="13"/>
    </row>
    <row r="1215">
      <c r="A1215" s="11"/>
      <c r="B1215" s="11"/>
      <c r="C1215" s="11"/>
      <c r="D1215" s="11"/>
      <c r="E1215" s="11"/>
      <c r="F1215" s="11"/>
      <c r="G1215" s="11"/>
      <c r="H1215" s="11"/>
      <c r="I1215" s="12"/>
      <c r="J1215" s="12"/>
      <c r="K1215" s="11"/>
      <c r="L1215" s="11"/>
      <c r="M1215" s="11"/>
      <c r="N1215" s="11"/>
      <c r="O1215" s="11"/>
      <c r="P1215" s="11"/>
      <c r="Q1215" s="13"/>
    </row>
    <row r="1216">
      <c r="A1216" s="11"/>
      <c r="B1216" s="11"/>
      <c r="C1216" s="11"/>
      <c r="D1216" s="11"/>
      <c r="E1216" s="11"/>
      <c r="F1216" s="11"/>
      <c r="G1216" s="11"/>
      <c r="H1216" s="11"/>
      <c r="I1216" s="12"/>
      <c r="J1216" s="12"/>
      <c r="K1216" s="11"/>
      <c r="L1216" s="11"/>
      <c r="M1216" s="11"/>
      <c r="N1216" s="11"/>
      <c r="O1216" s="11"/>
      <c r="P1216" s="11"/>
      <c r="Q1216" s="13"/>
    </row>
    <row r="1217">
      <c r="A1217" s="11"/>
      <c r="B1217" s="11"/>
      <c r="C1217" s="11"/>
      <c r="D1217" s="11"/>
      <c r="E1217" s="11"/>
      <c r="F1217" s="11"/>
      <c r="G1217" s="11"/>
      <c r="H1217" s="11"/>
      <c r="I1217" s="12"/>
      <c r="J1217" s="12"/>
      <c r="K1217" s="11"/>
      <c r="L1217" s="11"/>
      <c r="M1217" s="11"/>
      <c r="N1217" s="11"/>
      <c r="O1217" s="11"/>
      <c r="P1217" s="11"/>
      <c r="Q1217" s="13"/>
    </row>
    <row r="1218">
      <c r="A1218" s="11"/>
      <c r="B1218" s="11"/>
      <c r="C1218" s="11"/>
      <c r="D1218" s="11"/>
      <c r="E1218" s="11"/>
      <c r="F1218" s="11"/>
      <c r="G1218" s="11"/>
      <c r="H1218" s="11"/>
      <c r="I1218" s="12"/>
      <c r="J1218" s="12"/>
      <c r="K1218" s="11"/>
      <c r="L1218" s="11"/>
      <c r="M1218" s="11"/>
      <c r="N1218" s="11"/>
      <c r="O1218" s="11"/>
      <c r="P1218" s="11"/>
      <c r="Q1218" s="13"/>
    </row>
    <row r="1219">
      <c r="A1219" s="11"/>
      <c r="B1219" s="11"/>
      <c r="C1219" s="11"/>
      <c r="D1219" s="11"/>
      <c r="E1219" s="11"/>
      <c r="F1219" s="11"/>
      <c r="G1219" s="11"/>
      <c r="H1219" s="11"/>
      <c r="I1219" s="12"/>
      <c r="J1219" s="12"/>
      <c r="K1219" s="11"/>
      <c r="L1219" s="11"/>
      <c r="M1219" s="11"/>
      <c r="N1219" s="11"/>
      <c r="O1219" s="11"/>
      <c r="P1219" s="11"/>
      <c r="Q1219" s="13"/>
    </row>
    <row r="1220">
      <c r="A1220" s="11"/>
      <c r="B1220" s="11"/>
      <c r="C1220" s="11"/>
      <c r="D1220" s="11"/>
      <c r="E1220" s="11"/>
      <c r="F1220" s="11"/>
      <c r="G1220" s="11"/>
      <c r="H1220" s="11"/>
      <c r="I1220" s="12"/>
      <c r="J1220" s="12"/>
      <c r="K1220" s="11"/>
      <c r="L1220" s="11"/>
      <c r="M1220" s="11"/>
      <c r="N1220" s="11"/>
      <c r="O1220" s="11"/>
      <c r="P1220" s="11"/>
      <c r="Q1220" s="13"/>
    </row>
    <row r="1221">
      <c r="A1221" s="11"/>
      <c r="B1221" s="11"/>
      <c r="C1221" s="11"/>
      <c r="D1221" s="11"/>
      <c r="E1221" s="11"/>
      <c r="F1221" s="11"/>
      <c r="G1221" s="11"/>
      <c r="H1221" s="11"/>
      <c r="I1221" s="12"/>
      <c r="J1221" s="12"/>
      <c r="K1221" s="11"/>
      <c r="L1221" s="11"/>
      <c r="M1221" s="11"/>
      <c r="N1221" s="11"/>
      <c r="O1221" s="11"/>
      <c r="P1221" s="11"/>
      <c r="Q1221" s="13"/>
    </row>
    <row r="1222">
      <c r="A1222" s="11"/>
      <c r="B1222" s="11"/>
      <c r="C1222" s="11"/>
      <c r="D1222" s="11"/>
      <c r="E1222" s="11"/>
      <c r="F1222" s="11"/>
      <c r="G1222" s="11"/>
      <c r="H1222" s="11"/>
      <c r="I1222" s="12"/>
      <c r="J1222" s="12"/>
      <c r="K1222" s="11"/>
      <c r="L1222" s="11"/>
      <c r="M1222" s="11"/>
      <c r="N1222" s="11"/>
      <c r="O1222" s="11"/>
      <c r="P1222" s="11"/>
      <c r="Q1222" s="13"/>
    </row>
    <row r="1223">
      <c r="A1223" s="11"/>
      <c r="B1223" s="11"/>
      <c r="C1223" s="11"/>
      <c r="D1223" s="11"/>
      <c r="E1223" s="11"/>
      <c r="F1223" s="11"/>
      <c r="G1223" s="11"/>
      <c r="H1223" s="11"/>
      <c r="I1223" s="12"/>
      <c r="J1223" s="12"/>
      <c r="K1223" s="11"/>
      <c r="L1223" s="11"/>
      <c r="M1223" s="11"/>
      <c r="N1223" s="11"/>
      <c r="O1223" s="11"/>
      <c r="P1223" s="11"/>
      <c r="Q1223" s="13"/>
    </row>
    <row r="1224">
      <c r="A1224" s="11"/>
      <c r="B1224" s="11"/>
      <c r="C1224" s="11"/>
      <c r="D1224" s="11"/>
      <c r="E1224" s="11"/>
      <c r="F1224" s="11"/>
      <c r="G1224" s="11"/>
      <c r="H1224" s="11"/>
      <c r="I1224" s="12"/>
      <c r="J1224" s="12"/>
      <c r="K1224" s="11"/>
      <c r="L1224" s="11"/>
      <c r="M1224" s="11"/>
      <c r="N1224" s="11"/>
      <c r="O1224" s="11"/>
      <c r="P1224" s="11"/>
      <c r="Q1224" s="13"/>
    </row>
    <row r="1225">
      <c r="A1225" s="11"/>
      <c r="B1225" s="11"/>
      <c r="C1225" s="11"/>
      <c r="D1225" s="11"/>
      <c r="E1225" s="11"/>
      <c r="F1225" s="11"/>
      <c r="G1225" s="11"/>
      <c r="H1225" s="11"/>
      <c r="I1225" s="12"/>
      <c r="J1225" s="12"/>
      <c r="K1225" s="11"/>
      <c r="L1225" s="11"/>
      <c r="M1225" s="11"/>
      <c r="N1225" s="11"/>
      <c r="O1225" s="11"/>
      <c r="P1225" s="11"/>
      <c r="Q1225" s="13"/>
    </row>
    <row r="1226">
      <c r="A1226" s="11"/>
      <c r="B1226" s="11"/>
      <c r="C1226" s="11"/>
      <c r="D1226" s="11"/>
      <c r="E1226" s="11"/>
      <c r="F1226" s="11"/>
      <c r="G1226" s="11"/>
      <c r="H1226" s="11"/>
      <c r="I1226" s="12"/>
      <c r="J1226" s="12"/>
      <c r="K1226" s="11"/>
      <c r="L1226" s="11"/>
      <c r="M1226" s="11"/>
      <c r="N1226" s="11"/>
      <c r="O1226" s="11"/>
      <c r="P1226" s="11"/>
      <c r="Q1226" s="13"/>
    </row>
    <row r="1227">
      <c r="A1227" s="11"/>
      <c r="B1227" s="11"/>
      <c r="C1227" s="11"/>
      <c r="D1227" s="11"/>
      <c r="E1227" s="11"/>
      <c r="F1227" s="11"/>
      <c r="G1227" s="11"/>
      <c r="H1227" s="11"/>
      <c r="I1227" s="12"/>
      <c r="J1227" s="12"/>
      <c r="K1227" s="11"/>
      <c r="L1227" s="11"/>
      <c r="M1227" s="11"/>
      <c r="N1227" s="11"/>
      <c r="O1227" s="11"/>
      <c r="P1227" s="11"/>
      <c r="Q1227" s="13"/>
    </row>
    <row r="1228">
      <c r="A1228" s="11"/>
      <c r="B1228" s="11"/>
      <c r="C1228" s="11"/>
      <c r="D1228" s="11"/>
      <c r="E1228" s="11"/>
      <c r="F1228" s="11"/>
      <c r="G1228" s="11"/>
      <c r="H1228" s="11"/>
      <c r="I1228" s="12"/>
      <c r="J1228" s="12"/>
      <c r="K1228" s="11"/>
      <c r="L1228" s="11"/>
      <c r="M1228" s="11"/>
      <c r="N1228" s="11"/>
      <c r="O1228" s="11"/>
      <c r="P1228" s="11"/>
      <c r="Q1228" s="13"/>
    </row>
    <row r="1229">
      <c r="A1229" s="11"/>
      <c r="B1229" s="11"/>
      <c r="C1229" s="11"/>
      <c r="D1229" s="11"/>
      <c r="E1229" s="11"/>
      <c r="F1229" s="11"/>
      <c r="G1229" s="11"/>
      <c r="H1229" s="11"/>
      <c r="I1229" s="12"/>
      <c r="J1229" s="12"/>
      <c r="K1229" s="11"/>
      <c r="L1229" s="11"/>
      <c r="M1229" s="11"/>
      <c r="N1229" s="11"/>
      <c r="O1229" s="11"/>
      <c r="P1229" s="11"/>
      <c r="Q1229" s="13"/>
    </row>
    <row r="1230">
      <c r="A1230" s="11"/>
      <c r="B1230" s="11"/>
      <c r="C1230" s="11"/>
      <c r="D1230" s="11"/>
      <c r="E1230" s="11"/>
      <c r="F1230" s="11"/>
      <c r="G1230" s="11"/>
      <c r="H1230" s="11"/>
      <c r="I1230" s="12"/>
      <c r="J1230" s="12"/>
      <c r="K1230" s="11"/>
      <c r="L1230" s="11"/>
      <c r="M1230" s="11"/>
      <c r="N1230" s="11"/>
      <c r="O1230" s="11"/>
      <c r="P1230" s="11"/>
      <c r="Q1230" s="13"/>
    </row>
    <row r="1231">
      <c r="A1231" s="11"/>
      <c r="B1231" s="11"/>
      <c r="C1231" s="11"/>
      <c r="D1231" s="11"/>
      <c r="E1231" s="11"/>
      <c r="F1231" s="11"/>
      <c r="G1231" s="11"/>
      <c r="H1231" s="11"/>
      <c r="I1231" s="12"/>
      <c r="J1231" s="12"/>
      <c r="K1231" s="11"/>
      <c r="L1231" s="11"/>
      <c r="M1231" s="11"/>
      <c r="N1231" s="11"/>
      <c r="O1231" s="11"/>
      <c r="P1231" s="11"/>
      <c r="Q1231" s="13"/>
    </row>
    <row r="1232">
      <c r="A1232" s="11"/>
      <c r="B1232" s="11"/>
      <c r="C1232" s="11"/>
      <c r="D1232" s="11"/>
      <c r="E1232" s="11"/>
      <c r="F1232" s="11"/>
      <c r="G1232" s="11"/>
      <c r="H1232" s="11"/>
      <c r="I1232" s="12"/>
      <c r="J1232" s="12"/>
      <c r="K1232" s="11"/>
      <c r="L1232" s="11"/>
      <c r="M1232" s="11"/>
      <c r="N1232" s="11"/>
      <c r="O1232" s="11"/>
      <c r="P1232" s="11"/>
      <c r="Q1232" s="13"/>
    </row>
    <row r="1233">
      <c r="A1233" s="11"/>
      <c r="B1233" s="11"/>
      <c r="C1233" s="11"/>
      <c r="D1233" s="11"/>
      <c r="E1233" s="11"/>
      <c r="F1233" s="11"/>
      <c r="G1233" s="11"/>
      <c r="H1233" s="11"/>
      <c r="I1233" s="12"/>
      <c r="J1233" s="12"/>
      <c r="K1233" s="11"/>
      <c r="L1233" s="11"/>
      <c r="M1233" s="11"/>
      <c r="N1233" s="11"/>
      <c r="O1233" s="11"/>
      <c r="P1233" s="11"/>
      <c r="Q1233" s="13"/>
    </row>
    <row r="1234">
      <c r="A1234" s="11"/>
      <c r="B1234" s="11"/>
      <c r="C1234" s="11"/>
      <c r="D1234" s="11"/>
      <c r="E1234" s="11"/>
      <c r="F1234" s="11"/>
      <c r="G1234" s="11"/>
      <c r="H1234" s="11"/>
      <c r="I1234" s="12"/>
      <c r="J1234" s="12"/>
      <c r="K1234" s="11"/>
      <c r="L1234" s="11"/>
      <c r="M1234" s="11"/>
      <c r="N1234" s="11"/>
      <c r="O1234" s="11"/>
      <c r="P1234" s="11"/>
      <c r="Q1234" s="13"/>
    </row>
    <row r="1235">
      <c r="A1235" s="11"/>
      <c r="B1235" s="11"/>
      <c r="C1235" s="11"/>
      <c r="D1235" s="11"/>
      <c r="E1235" s="11"/>
      <c r="F1235" s="11"/>
      <c r="G1235" s="11"/>
      <c r="H1235" s="11"/>
      <c r="I1235" s="12"/>
      <c r="J1235" s="12"/>
      <c r="K1235" s="11"/>
      <c r="L1235" s="11"/>
      <c r="M1235" s="11"/>
      <c r="N1235" s="11"/>
      <c r="O1235" s="11"/>
      <c r="P1235" s="11"/>
      <c r="Q1235" s="13"/>
    </row>
    <row r="1236">
      <c r="A1236" s="11"/>
      <c r="B1236" s="11"/>
      <c r="C1236" s="11"/>
      <c r="D1236" s="11"/>
      <c r="E1236" s="11"/>
      <c r="F1236" s="11"/>
      <c r="G1236" s="11"/>
      <c r="H1236" s="11"/>
      <c r="I1236" s="12"/>
      <c r="J1236" s="12"/>
      <c r="K1236" s="11"/>
      <c r="L1236" s="11"/>
      <c r="M1236" s="11"/>
      <c r="N1236" s="11"/>
      <c r="O1236" s="11"/>
      <c r="P1236" s="11"/>
      <c r="Q1236" s="13"/>
    </row>
    <row r="1237">
      <c r="A1237" s="11"/>
      <c r="B1237" s="11"/>
      <c r="C1237" s="11"/>
      <c r="D1237" s="11"/>
      <c r="E1237" s="11"/>
      <c r="F1237" s="11"/>
      <c r="G1237" s="11"/>
      <c r="H1237" s="11"/>
      <c r="I1237" s="12"/>
      <c r="J1237" s="12"/>
      <c r="K1237" s="11"/>
      <c r="L1237" s="11"/>
      <c r="M1237" s="11"/>
      <c r="N1237" s="11"/>
      <c r="O1237" s="11"/>
      <c r="P1237" s="11"/>
      <c r="Q1237" s="13"/>
    </row>
    <row r="1238">
      <c r="A1238" s="11"/>
      <c r="B1238" s="11"/>
      <c r="C1238" s="11"/>
      <c r="D1238" s="11"/>
      <c r="E1238" s="11"/>
      <c r="F1238" s="11"/>
      <c r="G1238" s="11"/>
      <c r="H1238" s="11"/>
      <c r="I1238" s="12"/>
      <c r="J1238" s="12"/>
      <c r="K1238" s="11"/>
      <c r="L1238" s="11"/>
      <c r="M1238" s="11"/>
      <c r="N1238" s="11"/>
      <c r="O1238" s="11"/>
      <c r="P1238" s="11"/>
      <c r="Q1238" s="13"/>
    </row>
    <row r="1239">
      <c r="A1239" s="11"/>
      <c r="B1239" s="11"/>
      <c r="C1239" s="11"/>
      <c r="D1239" s="11"/>
      <c r="E1239" s="11"/>
      <c r="F1239" s="11"/>
      <c r="G1239" s="11"/>
      <c r="H1239" s="11"/>
      <c r="I1239" s="12"/>
      <c r="J1239" s="12"/>
      <c r="K1239" s="11"/>
      <c r="L1239" s="11"/>
      <c r="M1239" s="11"/>
      <c r="N1239" s="11"/>
      <c r="O1239" s="11"/>
      <c r="P1239" s="11"/>
      <c r="Q1239" s="13"/>
    </row>
    <row r="1240">
      <c r="A1240" s="11"/>
      <c r="B1240" s="11"/>
      <c r="C1240" s="11"/>
      <c r="D1240" s="11"/>
      <c r="E1240" s="11"/>
      <c r="F1240" s="11"/>
      <c r="G1240" s="11"/>
      <c r="H1240" s="11"/>
      <c r="I1240" s="12"/>
      <c r="J1240" s="12"/>
      <c r="K1240" s="11"/>
      <c r="L1240" s="11"/>
      <c r="M1240" s="11"/>
      <c r="N1240" s="11"/>
      <c r="O1240" s="11"/>
      <c r="P1240" s="11"/>
      <c r="Q1240" s="13"/>
    </row>
    <row r="1241">
      <c r="A1241" s="11"/>
      <c r="B1241" s="11"/>
      <c r="C1241" s="11"/>
      <c r="D1241" s="11"/>
      <c r="E1241" s="11"/>
      <c r="F1241" s="11"/>
      <c r="G1241" s="11"/>
      <c r="H1241" s="11"/>
      <c r="I1241" s="12"/>
      <c r="J1241" s="12"/>
      <c r="K1241" s="11"/>
      <c r="L1241" s="11"/>
      <c r="M1241" s="11"/>
      <c r="N1241" s="11"/>
      <c r="O1241" s="11"/>
      <c r="P1241" s="11"/>
      <c r="Q1241" s="13"/>
    </row>
    <row r="1242">
      <c r="A1242" s="11"/>
      <c r="B1242" s="11"/>
      <c r="C1242" s="11"/>
      <c r="D1242" s="11"/>
      <c r="E1242" s="11"/>
      <c r="F1242" s="11"/>
      <c r="G1242" s="11"/>
      <c r="H1242" s="11"/>
      <c r="I1242" s="12"/>
      <c r="J1242" s="12"/>
      <c r="K1242" s="11"/>
      <c r="L1242" s="11"/>
      <c r="M1242" s="11"/>
      <c r="N1242" s="11"/>
      <c r="O1242" s="11"/>
      <c r="P1242" s="11"/>
      <c r="Q1242" s="13"/>
    </row>
    <row r="1243">
      <c r="A1243" s="11"/>
      <c r="B1243" s="11"/>
      <c r="C1243" s="11"/>
      <c r="D1243" s="11"/>
      <c r="E1243" s="11"/>
      <c r="F1243" s="11"/>
      <c r="G1243" s="11"/>
      <c r="H1243" s="11"/>
      <c r="I1243" s="12"/>
      <c r="J1243" s="12"/>
      <c r="K1243" s="11"/>
      <c r="L1243" s="11"/>
      <c r="M1243" s="11"/>
      <c r="N1243" s="11"/>
      <c r="O1243" s="11"/>
      <c r="P1243" s="11"/>
      <c r="Q1243" s="13"/>
    </row>
    <row r="1244">
      <c r="A1244" s="11"/>
      <c r="B1244" s="11"/>
      <c r="C1244" s="11"/>
      <c r="D1244" s="11"/>
      <c r="E1244" s="11"/>
      <c r="F1244" s="11"/>
      <c r="G1244" s="11"/>
      <c r="H1244" s="11"/>
      <c r="I1244" s="12"/>
      <c r="J1244" s="12"/>
      <c r="K1244" s="11"/>
      <c r="L1244" s="11"/>
      <c r="M1244" s="11"/>
      <c r="N1244" s="11"/>
      <c r="O1244" s="11"/>
      <c r="P1244" s="11"/>
      <c r="Q1244" s="13"/>
    </row>
    <row r="1245">
      <c r="A1245" s="11"/>
      <c r="B1245" s="11"/>
      <c r="C1245" s="11"/>
      <c r="D1245" s="11"/>
      <c r="E1245" s="11"/>
      <c r="F1245" s="11"/>
      <c r="G1245" s="11"/>
      <c r="H1245" s="11"/>
      <c r="I1245" s="12"/>
      <c r="J1245" s="12"/>
      <c r="K1245" s="11"/>
      <c r="L1245" s="11"/>
      <c r="M1245" s="11"/>
      <c r="N1245" s="11"/>
      <c r="O1245" s="11"/>
      <c r="P1245" s="11"/>
      <c r="Q1245" s="13"/>
    </row>
    <row r="1246">
      <c r="A1246" s="11"/>
      <c r="B1246" s="11"/>
      <c r="C1246" s="11"/>
      <c r="D1246" s="11"/>
      <c r="E1246" s="11"/>
      <c r="F1246" s="11"/>
      <c r="G1246" s="11"/>
      <c r="H1246" s="11"/>
      <c r="I1246" s="12"/>
      <c r="J1246" s="12"/>
      <c r="K1246" s="11"/>
      <c r="L1246" s="11"/>
      <c r="M1246" s="11"/>
      <c r="N1246" s="11"/>
      <c r="O1246" s="11"/>
      <c r="P1246" s="11"/>
      <c r="Q1246" s="13"/>
    </row>
    <row r="1247">
      <c r="A1247" s="11"/>
      <c r="B1247" s="11"/>
      <c r="C1247" s="11"/>
      <c r="D1247" s="11"/>
      <c r="E1247" s="11"/>
      <c r="F1247" s="11"/>
      <c r="G1247" s="11"/>
      <c r="H1247" s="11"/>
      <c r="I1247" s="12"/>
      <c r="J1247" s="12"/>
      <c r="K1247" s="11"/>
      <c r="L1247" s="11"/>
      <c r="M1247" s="11"/>
      <c r="N1247" s="11"/>
      <c r="O1247" s="11"/>
      <c r="P1247" s="11"/>
      <c r="Q1247" s="13"/>
    </row>
    <row r="1248">
      <c r="A1248" s="11"/>
      <c r="B1248" s="11"/>
      <c r="C1248" s="11"/>
      <c r="D1248" s="11"/>
      <c r="E1248" s="11"/>
      <c r="F1248" s="11"/>
      <c r="G1248" s="11"/>
      <c r="H1248" s="11"/>
      <c r="I1248" s="12"/>
      <c r="J1248" s="12"/>
      <c r="K1248" s="11"/>
      <c r="L1248" s="11"/>
      <c r="M1248" s="11"/>
      <c r="N1248" s="11"/>
      <c r="O1248" s="11"/>
      <c r="P1248" s="11"/>
      <c r="Q1248" s="13"/>
    </row>
    <row r="1249">
      <c r="A1249" s="11"/>
      <c r="B1249" s="11"/>
      <c r="C1249" s="11"/>
      <c r="D1249" s="11"/>
      <c r="E1249" s="11"/>
      <c r="F1249" s="11"/>
      <c r="G1249" s="11"/>
      <c r="H1249" s="11"/>
      <c r="I1249" s="12"/>
      <c r="J1249" s="12"/>
      <c r="K1249" s="11"/>
      <c r="L1249" s="11"/>
      <c r="M1249" s="11"/>
      <c r="N1249" s="11"/>
      <c r="O1249" s="11"/>
      <c r="P1249" s="11"/>
      <c r="Q1249" s="13"/>
    </row>
    <row r="1250">
      <c r="A1250" s="11"/>
      <c r="B1250" s="11"/>
      <c r="C1250" s="11"/>
      <c r="D1250" s="11"/>
      <c r="E1250" s="11"/>
      <c r="F1250" s="11"/>
      <c r="G1250" s="11"/>
      <c r="H1250" s="11"/>
      <c r="I1250" s="12"/>
      <c r="J1250" s="12"/>
      <c r="K1250" s="11"/>
      <c r="L1250" s="11"/>
      <c r="M1250" s="11"/>
      <c r="N1250" s="11"/>
      <c r="O1250" s="11"/>
      <c r="P1250" s="11"/>
      <c r="Q1250" s="13"/>
    </row>
    <row r="1251">
      <c r="A1251" s="11"/>
      <c r="B1251" s="11"/>
      <c r="C1251" s="11"/>
      <c r="D1251" s="11"/>
      <c r="E1251" s="11"/>
      <c r="F1251" s="11"/>
      <c r="G1251" s="11"/>
      <c r="H1251" s="11"/>
      <c r="I1251" s="12"/>
      <c r="J1251" s="12"/>
      <c r="K1251" s="11"/>
      <c r="L1251" s="11"/>
      <c r="M1251" s="11"/>
      <c r="N1251" s="11"/>
      <c r="O1251" s="11"/>
      <c r="P1251" s="11"/>
      <c r="Q1251" s="13"/>
    </row>
    <row r="1252">
      <c r="A1252" s="11"/>
      <c r="B1252" s="11"/>
      <c r="C1252" s="11"/>
      <c r="D1252" s="11"/>
      <c r="E1252" s="11"/>
      <c r="F1252" s="11"/>
      <c r="G1252" s="11"/>
      <c r="H1252" s="11"/>
      <c r="I1252" s="12"/>
      <c r="J1252" s="12"/>
      <c r="K1252" s="11"/>
      <c r="L1252" s="11"/>
      <c r="M1252" s="11"/>
      <c r="N1252" s="11"/>
      <c r="O1252" s="11"/>
      <c r="P1252" s="11"/>
      <c r="Q1252" s="13"/>
    </row>
    <row r="1253">
      <c r="A1253" s="11"/>
      <c r="B1253" s="11"/>
      <c r="C1253" s="11"/>
      <c r="D1253" s="11"/>
      <c r="E1253" s="11"/>
      <c r="F1253" s="11"/>
      <c r="G1253" s="11"/>
      <c r="H1253" s="11"/>
      <c r="I1253" s="12"/>
      <c r="J1253" s="12"/>
      <c r="K1253" s="11"/>
      <c r="L1253" s="11"/>
      <c r="M1253" s="11"/>
      <c r="N1253" s="11"/>
      <c r="O1253" s="11"/>
      <c r="P1253" s="11"/>
      <c r="Q1253" s="13"/>
    </row>
    <row r="1254">
      <c r="A1254" s="11"/>
      <c r="B1254" s="11"/>
      <c r="C1254" s="11"/>
      <c r="D1254" s="11"/>
      <c r="E1254" s="11"/>
      <c r="F1254" s="11"/>
      <c r="G1254" s="11"/>
      <c r="H1254" s="11"/>
      <c r="I1254" s="12"/>
      <c r="J1254" s="12"/>
      <c r="K1254" s="11"/>
      <c r="L1254" s="11"/>
      <c r="M1254" s="11"/>
      <c r="N1254" s="11"/>
      <c r="O1254" s="11"/>
      <c r="P1254" s="11"/>
      <c r="Q1254" s="13"/>
    </row>
    <row r="1255">
      <c r="A1255" s="11"/>
      <c r="B1255" s="11"/>
      <c r="C1255" s="11"/>
      <c r="D1255" s="11"/>
      <c r="E1255" s="11"/>
      <c r="F1255" s="11"/>
      <c r="G1255" s="11"/>
      <c r="H1255" s="11"/>
      <c r="I1255" s="12"/>
      <c r="J1255" s="12"/>
      <c r="K1255" s="11"/>
      <c r="L1255" s="11"/>
      <c r="M1255" s="11"/>
      <c r="N1255" s="11"/>
      <c r="O1255" s="11"/>
      <c r="P1255" s="11"/>
      <c r="Q1255" s="13"/>
    </row>
    <row r="1256">
      <c r="A1256" s="11"/>
      <c r="B1256" s="11"/>
      <c r="C1256" s="11"/>
      <c r="D1256" s="11"/>
      <c r="E1256" s="11"/>
      <c r="F1256" s="11"/>
      <c r="G1256" s="11"/>
      <c r="H1256" s="11"/>
      <c r="I1256" s="12"/>
      <c r="J1256" s="12"/>
      <c r="K1256" s="11"/>
      <c r="L1256" s="11"/>
      <c r="M1256" s="11"/>
      <c r="N1256" s="11"/>
      <c r="O1256" s="11"/>
      <c r="P1256" s="11"/>
      <c r="Q1256" s="13"/>
    </row>
    <row r="1257">
      <c r="A1257" s="11"/>
      <c r="B1257" s="11"/>
      <c r="C1257" s="11"/>
      <c r="D1257" s="11"/>
      <c r="E1257" s="11"/>
      <c r="F1257" s="11"/>
      <c r="G1257" s="11"/>
      <c r="H1257" s="11"/>
      <c r="I1257" s="12"/>
      <c r="J1257" s="12"/>
      <c r="K1257" s="11"/>
      <c r="L1257" s="11"/>
      <c r="M1257" s="11"/>
      <c r="N1257" s="11"/>
      <c r="O1257" s="11"/>
      <c r="P1257" s="11"/>
      <c r="Q1257" s="13"/>
    </row>
    <row r="1258">
      <c r="A1258" s="11"/>
      <c r="B1258" s="11"/>
      <c r="C1258" s="11"/>
      <c r="D1258" s="11"/>
      <c r="E1258" s="11"/>
      <c r="F1258" s="11"/>
      <c r="G1258" s="11"/>
      <c r="H1258" s="11"/>
      <c r="I1258" s="12"/>
      <c r="J1258" s="12"/>
      <c r="K1258" s="11"/>
      <c r="L1258" s="11"/>
      <c r="M1258" s="11"/>
      <c r="N1258" s="11"/>
      <c r="O1258" s="11"/>
      <c r="P1258" s="11"/>
      <c r="Q1258" s="13"/>
    </row>
    <row r="1259">
      <c r="A1259" s="11"/>
      <c r="B1259" s="11"/>
      <c r="C1259" s="11"/>
      <c r="D1259" s="11"/>
      <c r="E1259" s="11"/>
      <c r="F1259" s="11"/>
      <c r="G1259" s="11"/>
      <c r="H1259" s="11"/>
      <c r="I1259" s="12"/>
      <c r="J1259" s="12"/>
      <c r="K1259" s="11"/>
      <c r="L1259" s="11"/>
      <c r="M1259" s="11"/>
      <c r="N1259" s="11"/>
      <c r="O1259" s="11"/>
      <c r="P1259" s="11"/>
      <c r="Q1259" s="13"/>
    </row>
    <row r="1260">
      <c r="A1260" s="11"/>
      <c r="B1260" s="11"/>
      <c r="C1260" s="11"/>
      <c r="D1260" s="11"/>
      <c r="E1260" s="11"/>
      <c r="F1260" s="11"/>
      <c r="G1260" s="11"/>
      <c r="H1260" s="11"/>
      <c r="I1260" s="12"/>
      <c r="J1260" s="12"/>
      <c r="K1260" s="11"/>
      <c r="L1260" s="11"/>
      <c r="M1260" s="11"/>
      <c r="N1260" s="11"/>
      <c r="O1260" s="11"/>
      <c r="P1260" s="11"/>
      <c r="Q1260" s="13"/>
    </row>
    <row r="1261">
      <c r="A1261" s="11"/>
      <c r="B1261" s="11"/>
      <c r="C1261" s="11"/>
      <c r="D1261" s="11"/>
      <c r="E1261" s="11"/>
      <c r="F1261" s="11"/>
      <c r="G1261" s="11"/>
      <c r="H1261" s="11"/>
      <c r="I1261" s="12"/>
      <c r="J1261" s="12"/>
      <c r="K1261" s="11"/>
      <c r="L1261" s="11"/>
      <c r="M1261" s="11"/>
      <c r="N1261" s="11"/>
      <c r="O1261" s="11"/>
      <c r="P1261" s="11"/>
      <c r="Q1261" s="13"/>
    </row>
    <row r="1262">
      <c r="A1262" s="11"/>
      <c r="B1262" s="11"/>
      <c r="C1262" s="11"/>
      <c r="D1262" s="11"/>
      <c r="E1262" s="11"/>
      <c r="F1262" s="11"/>
      <c r="G1262" s="11"/>
      <c r="H1262" s="11"/>
      <c r="I1262" s="12"/>
      <c r="J1262" s="12"/>
      <c r="K1262" s="11"/>
      <c r="L1262" s="11"/>
      <c r="M1262" s="11"/>
      <c r="N1262" s="11"/>
      <c r="O1262" s="11"/>
      <c r="P1262" s="11"/>
      <c r="Q1262" s="13"/>
    </row>
    <row r="1263">
      <c r="A1263" s="11"/>
      <c r="B1263" s="11"/>
      <c r="C1263" s="11"/>
      <c r="D1263" s="11"/>
      <c r="E1263" s="11"/>
      <c r="F1263" s="11"/>
      <c r="G1263" s="11"/>
      <c r="H1263" s="11"/>
      <c r="I1263" s="12"/>
      <c r="J1263" s="12"/>
      <c r="K1263" s="11"/>
      <c r="L1263" s="11"/>
      <c r="M1263" s="11"/>
      <c r="N1263" s="11"/>
      <c r="O1263" s="11"/>
      <c r="P1263" s="11"/>
      <c r="Q1263" s="13"/>
    </row>
    <row r="1264">
      <c r="A1264" s="11"/>
      <c r="B1264" s="11"/>
      <c r="C1264" s="11"/>
      <c r="D1264" s="11"/>
      <c r="E1264" s="11"/>
      <c r="F1264" s="11"/>
      <c r="G1264" s="11"/>
      <c r="H1264" s="11"/>
      <c r="I1264" s="12"/>
      <c r="J1264" s="12"/>
      <c r="K1264" s="11"/>
      <c r="L1264" s="11"/>
      <c r="M1264" s="11"/>
      <c r="N1264" s="11"/>
      <c r="O1264" s="11"/>
      <c r="P1264" s="11"/>
      <c r="Q1264" s="13"/>
    </row>
    <row r="1265">
      <c r="A1265" s="11"/>
      <c r="B1265" s="11"/>
      <c r="C1265" s="11"/>
      <c r="D1265" s="11"/>
      <c r="E1265" s="11"/>
      <c r="F1265" s="11"/>
      <c r="G1265" s="11"/>
      <c r="H1265" s="11"/>
      <c r="I1265" s="12"/>
      <c r="J1265" s="12"/>
      <c r="K1265" s="11"/>
      <c r="L1265" s="11"/>
      <c r="M1265" s="11"/>
      <c r="N1265" s="11"/>
      <c r="O1265" s="11"/>
      <c r="P1265" s="11"/>
      <c r="Q1265" s="13"/>
    </row>
    <row r="1266">
      <c r="A1266" s="11"/>
      <c r="B1266" s="11"/>
      <c r="C1266" s="11"/>
      <c r="D1266" s="11"/>
      <c r="E1266" s="11"/>
      <c r="F1266" s="11"/>
      <c r="G1266" s="11"/>
      <c r="H1266" s="11"/>
      <c r="I1266" s="12"/>
      <c r="J1266" s="12"/>
      <c r="K1266" s="11"/>
      <c r="L1266" s="11"/>
      <c r="M1266" s="11"/>
      <c r="N1266" s="11"/>
      <c r="O1266" s="11"/>
      <c r="P1266" s="11"/>
      <c r="Q1266" s="13"/>
    </row>
    <row r="1267">
      <c r="A1267" s="11"/>
      <c r="B1267" s="11"/>
      <c r="C1267" s="11"/>
      <c r="D1267" s="11"/>
      <c r="E1267" s="11"/>
      <c r="F1267" s="11"/>
      <c r="G1267" s="11"/>
      <c r="H1267" s="11"/>
      <c r="I1267" s="12"/>
      <c r="J1267" s="12"/>
      <c r="K1267" s="11"/>
      <c r="L1267" s="11"/>
      <c r="M1267" s="11"/>
      <c r="N1267" s="11"/>
      <c r="O1267" s="11"/>
      <c r="P1267" s="11"/>
      <c r="Q1267" s="13"/>
    </row>
    <row r="1268">
      <c r="A1268" s="11"/>
      <c r="B1268" s="11"/>
      <c r="C1268" s="11"/>
      <c r="D1268" s="11"/>
      <c r="E1268" s="11"/>
      <c r="F1268" s="11"/>
      <c r="G1268" s="11"/>
      <c r="H1268" s="11"/>
      <c r="I1268" s="12"/>
      <c r="J1268" s="12"/>
      <c r="K1268" s="11"/>
      <c r="L1268" s="11"/>
      <c r="M1268" s="11"/>
      <c r="N1268" s="11"/>
      <c r="O1268" s="11"/>
      <c r="P1268" s="11"/>
      <c r="Q1268" s="13"/>
    </row>
    <row r="1269">
      <c r="A1269" s="11"/>
      <c r="B1269" s="11"/>
      <c r="C1269" s="11"/>
      <c r="D1269" s="11"/>
      <c r="E1269" s="11"/>
      <c r="F1269" s="11"/>
      <c r="G1269" s="11"/>
      <c r="H1269" s="11"/>
      <c r="I1269" s="12"/>
      <c r="J1269" s="12"/>
      <c r="K1269" s="11"/>
      <c r="L1269" s="11"/>
      <c r="M1269" s="11"/>
      <c r="N1269" s="11"/>
      <c r="O1269" s="11"/>
      <c r="P1269" s="11"/>
      <c r="Q1269" s="13"/>
    </row>
    <row r="1270">
      <c r="A1270" s="11"/>
      <c r="B1270" s="11"/>
      <c r="C1270" s="11"/>
      <c r="D1270" s="11"/>
      <c r="E1270" s="11"/>
      <c r="F1270" s="11"/>
      <c r="G1270" s="11"/>
      <c r="H1270" s="11"/>
      <c r="I1270" s="12"/>
      <c r="J1270" s="12"/>
      <c r="K1270" s="11"/>
      <c r="L1270" s="11"/>
      <c r="M1270" s="11"/>
      <c r="N1270" s="11"/>
      <c r="O1270" s="11"/>
      <c r="P1270" s="11"/>
      <c r="Q1270" s="13"/>
    </row>
    <row r="1271">
      <c r="A1271" s="11"/>
      <c r="B1271" s="11"/>
      <c r="C1271" s="11"/>
      <c r="D1271" s="11"/>
      <c r="E1271" s="11"/>
      <c r="F1271" s="11"/>
      <c r="G1271" s="11"/>
      <c r="H1271" s="11"/>
      <c r="I1271" s="12"/>
      <c r="J1271" s="12"/>
      <c r="K1271" s="11"/>
      <c r="L1271" s="11"/>
      <c r="M1271" s="11"/>
      <c r="N1271" s="11"/>
      <c r="O1271" s="11"/>
      <c r="P1271" s="11"/>
      <c r="Q1271" s="13"/>
    </row>
    <row r="1272">
      <c r="A1272" s="11"/>
      <c r="B1272" s="11"/>
      <c r="C1272" s="11"/>
      <c r="D1272" s="11"/>
      <c r="E1272" s="11"/>
      <c r="F1272" s="11"/>
      <c r="G1272" s="11"/>
      <c r="H1272" s="11"/>
      <c r="I1272" s="12"/>
      <c r="J1272" s="12"/>
      <c r="K1272" s="11"/>
      <c r="L1272" s="11"/>
      <c r="M1272" s="11"/>
      <c r="N1272" s="11"/>
      <c r="O1272" s="11"/>
      <c r="P1272" s="11"/>
      <c r="Q1272" s="13"/>
    </row>
    <row r="1273">
      <c r="A1273" s="11"/>
      <c r="B1273" s="11"/>
      <c r="C1273" s="11"/>
      <c r="D1273" s="11"/>
      <c r="E1273" s="11"/>
      <c r="F1273" s="11"/>
      <c r="G1273" s="11"/>
      <c r="H1273" s="11"/>
      <c r="I1273" s="12"/>
      <c r="J1273" s="12"/>
      <c r="K1273" s="11"/>
      <c r="L1273" s="11"/>
      <c r="M1273" s="11"/>
      <c r="N1273" s="11"/>
      <c r="O1273" s="11"/>
      <c r="P1273" s="11"/>
      <c r="Q1273" s="13"/>
    </row>
    <row r="1274">
      <c r="A1274" s="11"/>
      <c r="B1274" s="11"/>
      <c r="C1274" s="11"/>
      <c r="D1274" s="11"/>
      <c r="E1274" s="11"/>
      <c r="F1274" s="11"/>
      <c r="G1274" s="11"/>
      <c r="H1274" s="11"/>
      <c r="I1274" s="12"/>
      <c r="J1274" s="12"/>
      <c r="K1274" s="11"/>
      <c r="L1274" s="11"/>
      <c r="M1274" s="11"/>
      <c r="N1274" s="11"/>
      <c r="O1274" s="11"/>
      <c r="P1274" s="11"/>
      <c r="Q1274" s="13"/>
    </row>
    <row r="1275">
      <c r="A1275" s="11"/>
      <c r="B1275" s="11"/>
      <c r="C1275" s="11"/>
      <c r="D1275" s="11"/>
      <c r="E1275" s="11"/>
      <c r="F1275" s="11"/>
      <c r="G1275" s="11"/>
      <c r="H1275" s="11"/>
      <c r="I1275" s="12"/>
      <c r="J1275" s="12"/>
      <c r="K1275" s="11"/>
      <c r="L1275" s="11"/>
      <c r="M1275" s="11"/>
      <c r="N1275" s="11"/>
      <c r="O1275" s="11"/>
      <c r="P1275" s="11"/>
      <c r="Q1275" s="13"/>
    </row>
    <row r="1276">
      <c r="A1276" s="11"/>
      <c r="B1276" s="11"/>
      <c r="C1276" s="11"/>
      <c r="D1276" s="11"/>
      <c r="E1276" s="11"/>
      <c r="F1276" s="11"/>
      <c r="G1276" s="11"/>
      <c r="H1276" s="11"/>
      <c r="I1276" s="12"/>
      <c r="J1276" s="12"/>
      <c r="K1276" s="11"/>
      <c r="L1276" s="11"/>
      <c r="M1276" s="11"/>
      <c r="N1276" s="11"/>
      <c r="O1276" s="11"/>
      <c r="P1276" s="11"/>
      <c r="Q1276" s="13"/>
    </row>
    <row r="1277">
      <c r="A1277" s="11"/>
      <c r="B1277" s="11"/>
      <c r="C1277" s="11"/>
      <c r="D1277" s="11"/>
      <c r="E1277" s="11"/>
      <c r="F1277" s="11"/>
      <c r="G1277" s="11"/>
      <c r="H1277" s="11"/>
      <c r="I1277" s="12"/>
      <c r="J1277" s="12"/>
      <c r="K1277" s="11"/>
      <c r="L1277" s="11"/>
      <c r="M1277" s="11"/>
      <c r="N1277" s="11"/>
      <c r="O1277" s="11"/>
      <c r="P1277" s="11"/>
      <c r="Q1277" s="13"/>
    </row>
    <row r="1278">
      <c r="A1278" s="11"/>
      <c r="B1278" s="11"/>
      <c r="C1278" s="11"/>
      <c r="D1278" s="11"/>
      <c r="E1278" s="11"/>
      <c r="F1278" s="11"/>
      <c r="G1278" s="11"/>
      <c r="H1278" s="11"/>
      <c r="I1278" s="12"/>
      <c r="J1278" s="12"/>
      <c r="K1278" s="11"/>
      <c r="L1278" s="11"/>
      <c r="M1278" s="11"/>
      <c r="N1278" s="11"/>
      <c r="O1278" s="11"/>
      <c r="P1278" s="11"/>
      <c r="Q1278" s="13"/>
    </row>
    <row r="1279">
      <c r="A1279" s="11"/>
      <c r="B1279" s="11"/>
      <c r="C1279" s="11"/>
      <c r="D1279" s="11"/>
      <c r="E1279" s="11"/>
      <c r="F1279" s="11"/>
      <c r="G1279" s="11"/>
      <c r="H1279" s="11"/>
      <c r="I1279" s="12"/>
      <c r="J1279" s="12"/>
      <c r="K1279" s="11"/>
      <c r="L1279" s="11"/>
      <c r="M1279" s="11"/>
      <c r="N1279" s="11"/>
      <c r="O1279" s="11"/>
      <c r="P1279" s="11"/>
      <c r="Q1279" s="13"/>
    </row>
    <row r="1280">
      <c r="A1280" s="11"/>
      <c r="B1280" s="11"/>
      <c r="C1280" s="11"/>
      <c r="D1280" s="11"/>
      <c r="E1280" s="11"/>
      <c r="F1280" s="11"/>
      <c r="G1280" s="11"/>
      <c r="H1280" s="11"/>
      <c r="I1280" s="12"/>
      <c r="J1280" s="12"/>
      <c r="K1280" s="11"/>
      <c r="L1280" s="11"/>
      <c r="M1280" s="11"/>
      <c r="N1280" s="11"/>
      <c r="O1280" s="11"/>
      <c r="P1280" s="11"/>
      <c r="Q1280" s="13"/>
    </row>
    <row r="1281">
      <c r="A1281" s="11"/>
      <c r="B1281" s="11"/>
      <c r="C1281" s="11"/>
      <c r="D1281" s="11"/>
      <c r="E1281" s="11"/>
      <c r="F1281" s="11"/>
      <c r="G1281" s="11"/>
      <c r="H1281" s="11"/>
      <c r="I1281" s="12"/>
      <c r="J1281" s="12"/>
      <c r="K1281" s="11"/>
      <c r="L1281" s="11"/>
      <c r="M1281" s="11"/>
      <c r="N1281" s="11"/>
      <c r="O1281" s="11"/>
      <c r="P1281" s="11"/>
      <c r="Q1281" s="13"/>
    </row>
    <row r="1282">
      <c r="A1282" s="11"/>
      <c r="B1282" s="11"/>
      <c r="C1282" s="11"/>
      <c r="D1282" s="11"/>
      <c r="E1282" s="11"/>
      <c r="F1282" s="11"/>
      <c r="G1282" s="11"/>
      <c r="H1282" s="11"/>
      <c r="I1282" s="12"/>
      <c r="J1282" s="12"/>
      <c r="K1282" s="11"/>
      <c r="L1282" s="11"/>
      <c r="M1282" s="11"/>
      <c r="N1282" s="11"/>
      <c r="O1282" s="11"/>
      <c r="P1282" s="11"/>
      <c r="Q1282" s="13"/>
    </row>
    <row r="1283">
      <c r="A1283" s="11"/>
      <c r="B1283" s="11"/>
      <c r="C1283" s="11"/>
      <c r="D1283" s="11"/>
      <c r="E1283" s="11"/>
      <c r="F1283" s="11"/>
      <c r="G1283" s="11"/>
      <c r="H1283" s="11"/>
      <c r="I1283" s="12"/>
      <c r="J1283" s="12"/>
      <c r="K1283" s="11"/>
      <c r="L1283" s="11"/>
      <c r="M1283" s="11"/>
      <c r="N1283" s="11"/>
      <c r="O1283" s="11"/>
      <c r="P1283" s="11"/>
      <c r="Q1283" s="13"/>
    </row>
    <row r="1284">
      <c r="A1284" s="11"/>
      <c r="B1284" s="11"/>
      <c r="C1284" s="11"/>
      <c r="D1284" s="11"/>
      <c r="E1284" s="11"/>
      <c r="F1284" s="11"/>
      <c r="G1284" s="11"/>
      <c r="H1284" s="11"/>
      <c r="I1284" s="12"/>
      <c r="J1284" s="12"/>
      <c r="K1284" s="11"/>
      <c r="L1284" s="11"/>
      <c r="M1284" s="11"/>
      <c r="N1284" s="11"/>
      <c r="O1284" s="11"/>
      <c r="P1284" s="11"/>
      <c r="Q1284" s="13"/>
    </row>
    <row r="1285">
      <c r="A1285" s="11"/>
      <c r="B1285" s="11"/>
      <c r="C1285" s="11"/>
      <c r="D1285" s="11"/>
      <c r="E1285" s="11"/>
      <c r="F1285" s="11"/>
      <c r="G1285" s="11"/>
      <c r="H1285" s="11"/>
      <c r="I1285" s="12"/>
      <c r="J1285" s="12"/>
      <c r="K1285" s="11"/>
      <c r="L1285" s="11"/>
      <c r="M1285" s="11"/>
      <c r="N1285" s="11"/>
      <c r="O1285" s="11"/>
      <c r="P1285" s="11"/>
      <c r="Q1285" s="13"/>
    </row>
    <row r="1286">
      <c r="A1286" s="11"/>
      <c r="B1286" s="11"/>
      <c r="C1286" s="11"/>
      <c r="D1286" s="11"/>
      <c r="E1286" s="11"/>
      <c r="F1286" s="11"/>
      <c r="G1286" s="11"/>
      <c r="H1286" s="11"/>
      <c r="I1286" s="12"/>
      <c r="J1286" s="12"/>
      <c r="K1286" s="11"/>
      <c r="L1286" s="11"/>
      <c r="M1286" s="11"/>
      <c r="N1286" s="11"/>
      <c r="O1286" s="11"/>
      <c r="P1286" s="11"/>
      <c r="Q1286" s="13"/>
    </row>
    <row r="1287">
      <c r="A1287" s="11"/>
      <c r="B1287" s="11"/>
      <c r="C1287" s="11"/>
      <c r="D1287" s="11"/>
      <c r="E1287" s="11"/>
      <c r="F1287" s="11"/>
      <c r="G1287" s="11"/>
      <c r="H1287" s="11"/>
      <c r="I1287" s="12"/>
      <c r="J1287" s="12"/>
      <c r="K1287" s="11"/>
      <c r="L1287" s="11"/>
      <c r="M1287" s="11"/>
      <c r="N1287" s="11"/>
      <c r="O1287" s="11"/>
      <c r="P1287" s="11"/>
      <c r="Q1287" s="13"/>
    </row>
    <row r="1288">
      <c r="A1288" s="11"/>
      <c r="B1288" s="11"/>
      <c r="C1288" s="11"/>
      <c r="D1288" s="11"/>
      <c r="E1288" s="11"/>
      <c r="F1288" s="11"/>
      <c r="G1288" s="11"/>
      <c r="H1288" s="11"/>
      <c r="I1288" s="12"/>
      <c r="J1288" s="12"/>
      <c r="K1288" s="11"/>
      <c r="L1288" s="11"/>
      <c r="M1288" s="11"/>
      <c r="N1288" s="11"/>
      <c r="O1288" s="11"/>
      <c r="P1288" s="11"/>
      <c r="Q1288" s="13"/>
    </row>
    <row r="1289">
      <c r="A1289" s="11"/>
      <c r="B1289" s="11"/>
      <c r="C1289" s="11"/>
      <c r="D1289" s="11"/>
      <c r="E1289" s="11"/>
      <c r="F1289" s="11"/>
      <c r="G1289" s="11"/>
      <c r="H1289" s="11"/>
      <c r="I1289" s="12"/>
      <c r="J1289" s="12"/>
      <c r="K1289" s="11"/>
      <c r="L1289" s="11"/>
      <c r="M1289" s="11"/>
      <c r="N1289" s="11"/>
      <c r="O1289" s="11"/>
      <c r="P1289" s="11"/>
      <c r="Q1289" s="13"/>
    </row>
    <row r="1290">
      <c r="A1290" s="11"/>
      <c r="B1290" s="11"/>
      <c r="C1290" s="11"/>
      <c r="D1290" s="11"/>
      <c r="E1290" s="11"/>
      <c r="F1290" s="11"/>
      <c r="G1290" s="11"/>
      <c r="H1290" s="11"/>
      <c r="I1290" s="12"/>
      <c r="J1290" s="12"/>
      <c r="K1290" s="11"/>
      <c r="L1290" s="11"/>
      <c r="M1290" s="11"/>
      <c r="N1290" s="11"/>
      <c r="O1290" s="11"/>
      <c r="P1290" s="11"/>
      <c r="Q1290" s="13"/>
    </row>
    <row r="1291">
      <c r="A1291" s="11"/>
      <c r="B1291" s="11"/>
      <c r="C1291" s="11"/>
      <c r="D1291" s="11"/>
      <c r="E1291" s="11"/>
      <c r="F1291" s="11"/>
      <c r="G1291" s="11"/>
      <c r="H1291" s="11"/>
      <c r="I1291" s="12"/>
      <c r="J1291" s="12"/>
      <c r="K1291" s="11"/>
      <c r="L1291" s="11"/>
      <c r="M1291" s="11"/>
      <c r="N1291" s="11"/>
      <c r="O1291" s="11"/>
      <c r="P1291" s="11"/>
      <c r="Q1291" s="13"/>
    </row>
    <row r="1292">
      <c r="A1292" s="11"/>
      <c r="B1292" s="11"/>
      <c r="C1292" s="11"/>
      <c r="D1292" s="11"/>
      <c r="E1292" s="11"/>
      <c r="F1292" s="11"/>
      <c r="G1292" s="11"/>
      <c r="H1292" s="11"/>
      <c r="I1292" s="12"/>
      <c r="J1292" s="12"/>
      <c r="K1292" s="11"/>
      <c r="L1292" s="11"/>
      <c r="M1292" s="11"/>
      <c r="N1292" s="11"/>
      <c r="O1292" s="11"/>
      <c r="P1292" s="11"/>
      <c r="Q1292" s="13"/>
    </row>
    <row r="1293">
      <c r="A1293" s="11"/>
      <c r="B1293" s="11"/>
      <c r="C1293" s="11"/>
      <c r="D1293" s="11"/>
      <c r="E1293" s="11"/>
      <c r="F1293" s="11"/>
      <c r="G1293" s="11"/>
      <c r="H1293" s="11"/>
      <c r="I1293" s="12"/>
      <c r="J1293" s="12"/>
      <c r="K1293" s="11"/>
      <c r="L1293" s="11"/>
      <c r="M1293" s="11"/>
      <c r="N1293" s="11"/>
      <c r="O1293" s="11"/>
      <c r="P1293" s="11"/>
      <c r="Q1293" s="13"/>
    </row>
    <row r="1294">
      <c r="A1294" s="11"/>
      <c r="B1294" s="11"/>
      <c r="C1294" s="11"/>
      <c r="D1294" s="11"/>
      <c r="E1294" s="11"/>
      <c r="F1294" s="11"/>
      <c r="G1294" s="11"/>
      <c r="H1294" s="11"/>
      <c r="I1294" s="12"/>
      <c r="J1294" s="12"/>
      <c r="K1294" s="11"/>
      <c r="L1294" s="11"/>
      <c r="M1294" s="11"/>
      <c r="N1294" s="11"/>
      <c r="O1294" s="11"/>
      <c r="P1294" s="11"/>
      <c r="Q1294" s="13"/>
    </row>
    <row r="1295">
      <c r="A1295" s="11"/>
      <c r="B1295" s="11"/>
      <c r="C1295" s="11"/>
      <c r="D1295" s="11"/>
      <c r="E1295" s="11"/>
      <c r="F1295" s="11"/>
      <c r="G1295" s="11"/>
      <c r="H1295" s="11"/>
      <c r="I1295" s="12"/>
      <c r="J1295" s="12"/>
      <c r="K1295" s="11"/>
      <c r="L1295" s="11"/>
      <c r="M1295" s="11"/>
      <c r="N1295" s="11"/>
      <c r="O1295" s="11"/>
      <c r="P1295" s="11"/>
      <c r="Q1295" s="13"/>
    </row>
    <row r="1296">
      <c r="A1296" s="11"/>
      <c r="B1296" s="11"/>
      <c r="C1296" s="11"/>
      <c r="D1296" s="11"/>
      <c r="E1296" s="11"/>
      <c r="F1296" s="11"/>
      <c r="G1296" s="11"/>
      <c r="H1296" s="11"/>
      <c r="I1296" s="12"/>
      <c r="J1296" s="12"/>
      <c r="K1296" s="11"/>
      <c r="L1296" s="11"/>
      <c r="M1296" s="11"/>
      <c r="N1296" s="11"/>
      <c r="O1296" s="11"/>
      <c r="P1296" s="11"/>
      <c r="Q1296" s="13"/>
    </row>
    <row r="1297">
      <c r="A1297" s="11"/>
      <c r="B1297" s="11"/>
      <c r="C1297" s="11"/>
      <c r="D1297" s="11"/>
      <c r="E1297" s="11"/>
      <c r="F1297" s="11"/>
      <c r="G1297" s="11"/>
      <c r="H1297" s="11"/>
      <c r="I1297" s="12"/>
      <c r="J1297" s="12"/>
      <c r="K1297" s="11"/>
      <c r="L1297" s="11"/>
      <c r="M1297" s="11"/>
      <c r="N1297" s="11"/>
      <c r="O1297" s="11"/>
      <c r="P1297" s="11"/>
      <c r="Q1297" s="13"/>
    </row>
    <row r="1298">
      <c r="A1298" s="11"/>
      <c r="B1298" s="11"/>
      <c r="C1298" s="11"/>
      <c r="D1298" s="11"/>
      <c r="E1298" s="11"/>
      <c r="F1298" s="11"/>
      <c r="G1298" s="11"/>
      <c r="H1298" s="11"/>
      <c r="I1298" s="12"/>
      <c r="J1298" s="12"/>
      <c r="K1298" s="11"/>
      <c r="L1298" s="11"/>
      <c r="M1298" s="11"/>
      <c r="N1298" s="11"/>
      <c r="O1298" s="11"/>
      <c r="P1298" s="11"/>
      <c r="Q1298" s="13"/>
    </row>
    <row r="1299">
      <c r="A1299" s="11"/>
      <c r="B1299" s="11"/>
      <c r="C1299" s="11"/>
      <c r="D1299" s="11"/>
      <c r="E1299" s="11"/>
      <c r="F1299" s="11"/>
      <c r="G1299" s="11"/>
      <c r="H1299" s="11"/>
      <c r="I1299" s="12"/>
      <c r="J1299" s="12"/>
      <c r="K1299" s="11"/>
      <c r="L1299" s="11"/>
      <c r="M1299" s="11"/>
      <c r="N1299" s="11"/>
      <c r="O1299" s="11"/>
      <c r="P1299" s="11"/>
      <c r="Q1299" s="13"/>
    </row>
    <row r="1300">
      <c r="A1300" s="11"/>
      <c r="B1300" s="11"/>
      <c r="C1300" s="11"/>
      <c r="D1300" s="11"/>
      <c r="E1300" s="11"/>
      <c r="F1300" s="11"/>
      <c r="G1300" s="11"/>
      <c r="H1300" s="11"/>
      <c r="I1300" s="12"/>
      <c r="J1300" s="12"/>
      <c r="K1300" s="11"/>
      <c r="L1300" s="11"/>
      <c r="M1300" s="11"/>
      <c r="N1300" s="11"/>
      <c r="O1300" s="11"/>
      <c r="P1300" s="11"/>
      <c r="Q1300" s="13"/>
    </row>
    <row r="1301">
      <c r="A1301" s="11"/>
      <c r="B1301" s="11"/>
      <c r="C1301" s="11"/>
      <c r="D1301" s="11"/>
      <c r="E1301" s="11"/>
      <c r="F1301" s="11"/>
      <c r="G1301" s="11"/>
      <c r="H1301" s="11"/>
      <c r="I1301" s="12"/>
      <c r="J1301" s="12"/>
      <c r="K1301" s="11"/>
      <c r="L1301" s="11"/>
      <c r="M1301" s="11"/>
      <c r="N1301" s="11"/>
      <c r="O1301" s="11"/>
      <c r="P1301" s="11"/>
      <c r="Q1301" s="13"/>
    </row>
    <row r="1302">
      <c r="A1302" s="11"/>
      <c r="B1302" s="11"/>
      <c r="C1302" s="11"/>
      <c r="D1302" s="11"/>
      <c r="E1302" s="11"/>
      <c r="F1302" s="11"/>
      <c r="G1302" s="11"/>
      <c r="H1302" s="11"/>
      <c r="I1302" s="12"/>
      <c r="J1302" s="12"/>
      <c r="K1302" s="11"/>
      <c r="L1302" s="11"/>
      <c r="M1302" s="11"/>
      <c r="N1302" s="11"/>
      <c r="O1302" s="11"/>
      <c r="P1302" s="11"/>
      <c r="Q1302" s="13"/>
    </row>
    <row r="1303">
      <c r="A1303" s="11"/>
      <c r="B1303" s="11"/>
      <c r="C1303" s="11"/>
      <c r="D1303" s="11"/>
      <c r="E1303" s="11"/>
      <c r="F1303" s="11"/>
      <c r="G1303" s="11"/>
      <c r="H1303" s="11"/>
      <c r="I1303" s="12"/>
      <c r="J1303" s="12"/>
      <c r="K1303" s="11"/>
      <c r="L1303" s="11"/>
      <c r="M1303" s="11"/>
      <c r="N1303" s="11"/>
      <c r="O1303" s="11"/>
      <c r="P1303" s="11"/>
      <c r="Q1303" s="13"/>
    </row>
    <row r="1304">
      <c r="A1304" s="11"/>
      <c r="B1304" s="11"/>
      <c r="C1304" s="11"/>
      <c r="D1304" s="11"/>
      <c r="E1304" s="11"/>
      <c r="F1304" s="11"/>
      <c r="G1304" s="11"/>
      <c r="H1304" s="11"/>
      <c r="I1304" s="12"/>
      <c r="J1304" s="12"/>
      <c r="K1304" s="11"/>
      <c r="L1304" s="11"/>
      <c r="M1304" s="11"/>
      <c r="N1304" s="11"/>
      <c r="O1304" s="11"/>
      <c r="P1304" s="11"/>
      <c r="Q1304" s="13"/>
    </row>
    <row r="1305">
      <c r="A1305" s="11"/>
      <c r="B1305" s="11"/>
      <c r="C1305" s="11"/>
      <c r="D1305" s="11"/>
      <c r="E1305" s="11"/>
      <c r="F1305" s="11"/>
      <c r="G1305" s="11"/>
      <c r="H1305" s="11"/>
      <c r="I1305" s="12"/>
      <c r="J1305" s="12"/>
      <c r="K1305" s="11"/>
      <c r="L1305" s="11"/>
      <c r="M1305" s="11"/>
      <c r="N1305" s="11"/>
      <c r="O1305" s="11"/>
      <c r="P1305" s="11"/>
      <c r="Q1305" s="13"/>
    </row>
    <row r="1306">
      <c r="A1306" s="11"/>
      <c r="B1306" s="11"/>
      <c r="C1306" s="11"/>
      <c r="D1306" s="11"/>
      <c r="E1306" s="11"/>
      <c r="F1306" s="11"/>
      <c r="G1306" s="11"/>
      <c r="H1306" s="11"/>
      <c r="I1306" s="12"/>
      <c r="J1306" s="12"/>
      <c r="K1306" s="11"/>
      <c r="L1306" s="11"/>
      <c r="M1306" s="11"/>
      <c r="N1306" s="11"/>
      <c r="O1306" s="11"/>
      <c r="P1306" s="11"/>
      <c r="Q1306" s="13"/>
    </row>
    <row r="1307">
      <c r="A1307" s="11"/>
      <c r="B1307" s="11"/>
      <c r="C1307" s="11"/>
      <c r="D1307" s="11"/>
      <c r="E1307" s="11"/>
      <c r="F1307" s="11"/>
      <c r="G1307" s="11"/>
      <c r="H1307" s="11"/>
      <c r="I1307" s="12"/>
      <c r="J1307" s="12"/>
      <c r="K1307" s="11"/>
      <c r="L1307" s="11"/>
      <c r="M1307" s="11"/>
      <c r="N1307" s="11"/>
      <c r="O1307" s="11"/>
      <c r="P1307" s="11"/>
      <c r="Q1307" s="13"/>
    </row>
    <row r="1308">
      <c r="A1308" s="11"/>
      <c r="B1308" s="11"/>
      <c r="C1308" s="11"/>
      <c r="D1308" s="11"/>
      <c r="E1308" s="11"/>
      <c r="F1308" s="11"/>
      <c r="G1308" s="11"/>
      <c r="H1308" s="11"/>
      <c r="I1308" s="12"/>
      <c r="J1308" s="12"/>
      <c r="K1308" s="11"/>
      <c r="L1308" s="11"/>
      <c r="M1308" s="11"/>
      <c r="N1308" s="11"/>
      <c r="O1308" s="11"/>
      <c r="P1308" s="11"/>
      <c r="Q1308" s="13"/>
    </row>
    <row r="1309">
      <c r="A1309" s="11"/>
      <c r="B1309" s="11"/>
      <c r="C1309" s="11"/>
      <c r="D1309" s="11"/>
      <c r="E1309" s="11"/>
      <c r="F1309" s="11"/>
      <c r="G1309" s="11"/>
      <c r="H1309" s="11"/>
      <c r="I1309" s="12"/>
      <c r="J1309" s="12"/>
      <c r="K1309" s="11"/>
      <c r="L1309" s="11"/>
      <c r="M1309" s="11"/>
      <c r="N1309" s="11"/>
      <c r="O1309" s="11"/>
      <c r="P1309" s="11"/>
      <c r="Q1309" s="13"/>
    </row>
    <row r="1310">
      <c r="A1310" s="11"/>
      <c r="B1310" s="11"/>
      <c r="C1310" s="11"/>
      <c r="D1310" s="11"/>
      <c r="E1310" s="11"/>
      <c r="F1310" s="11"/>
      <c r="G1310" s="11"/>
      <c r="H1310" s="11"/>
      <c r="I1310" s="12"/>
      <c r="J1310" s="12"/>
      <c r="K1310" s="11"/>
      <c r="L1310" s="11"/>
      <c r="M1310" s="11"/>
      <c r="N1310" s="11"/>
      <c r="O1310" s="11"/>
      <c r="P1310" s="11"/>
      <c r="Q1310" s="13"/>
    </row>
    <row r="1311">
      <c r="A1311" s="11"/>
      <c r="B1311" s="11"/>
      <c r="C1311" s="11"/>
      <c r="D1311" s="11"/>
      <c r="E1311" s="11"/>
      <c r="F1311" s="11"/>
      <c r="G1311" s="11"/>
      <c r="H1311" s="11"/>
      <c r="I1311" s="12"/>
      <c r="J1311" s="12"/>
      <c r="K1311" s="11"/>
      <c r="L1311" s="11"/>
      <c r="M1311" s="11"/>
      <c r="N1311" s="11"/>
      <c r="O1311" s="11"/>
      <c r="P1311" s="11"/>
      <c r="Q1311" s="13"/>
    </row>
    <row r="1312">
      <c r="A1312" s="11"/>
      <c r="B1312" s="11"/>
      <c r="C1312" s="11"/>
      <c r="D1312" s="11"/>
      <c r="E1312" s="11"/>
      <c r="F1312" s="11"/>
      <c r="G1312" s="11"/>
      <c r="H1312" s="11"/>
      <c r="I1312" s="12"/>
      <c r="J1312" s="12"/>
      <c r="K1312" s="11"/>
      <c r="L1312" s="11"/>
      <c r="M1312" s="11"/>
      <c r="N1312" s="11"/>
      <c r="O1312" s="11"/>
      <c r="P1312" s="11"/>
      <c r="Q1312" s="13"/>
    </row>
    <row r="1313">
      <c r="A1313" s="11"/>
      <c r="B1313" s="11"/>
      <c r="C1313" s="11"/>
      <c r="D1313" s="11"/>
      <c r="E1313" s="11"/>
      <c r="F1313" s="11"/>
      <c r="G1313" s="11"/>
      <c r="H1313" s="11"/>
      <c r="I1313" s="12"/>
      <c r="J1313" s="12"/>
      <c r="K1313" s="11"/>
      <c r="L1313" s="11"/>
      <c r="M1313" s="11"/>
      <c r="N1313" s="11"/>
      <c r="O1313" s="11"/>
      <c r="P1313" s="11"/>
      <c r="Q1313" s="13"/>
    </row>
    <row r="1314">
      <c r="A1314" s="11"/>
      <c r="B1314" s="11"/>
      <c r="C1314" s="11"/>
      <c r="D1314" s="11"/>
      <c r="E1314" s="11"/>
      <c r="F1314" s="11"/>
      <c r="G1314" s="11"/>
      <c r="H1314" s="11"/>
      <c r="I1314" s="12"/>
      <c r="J1314" s="12"/>
      <c r="K1314" s="11"/>
      <c r="L1314" s="11"/>
      <c r="M1314" s="11"/>
      <c r="N1314" s="11"/>
      <c r="O1314" s="11"/>
      <c r="P1314" s="11"/>
      <c r="Q1314" s="13"/>
    </row>
    <row r="1315">
      <c r="A1315" s="11"/>
      <c r="B1315" s="11"/>
      <c r="C1315" s="11"/>
      <c r="D1315" s="11"/>
      <c r="E1315" s="11"/>
      <c r="F1315" s="11"/>
      <c r="G1315" s="11"/>
      <c r="H1315" s="11"/>
      <c r="I1315" s="12"/>
      <c r="J1315" s="12"/>
      <c r="K1315" s="11"/>
      <c r="L1315" s="11"/>
      <c r="M1315" s="11"/>
      <c r="N1315" s="11"/>
      <c r="O1315" s="11"/>
      <c r="P1315" s="11"/>
      <c r="Q1315" s="13"/>
    </row>
    <row r="1316">
      <c r="A1316" s="11"/>
      <c r="B1316" s="11"/>
      <c r="C1316" s="11"/>
      <c r="D1316" s="11"/>
      <c r="E1316" s="11"/>
      <c r="F1316" s="11"/>
      <c r="G1316" s="11"/>
      <c r="H1316" s="11"/>
      <c r="I1316" s="12"/>
      <c r="J1316" s="12"/>
      <c r="K1316" s="11"/>
      <c r="L1316" s="11"/>
      <c r="M1316" s="11"/>
      <c r="N1316" s="11"/>
      <c r="O1316" s="11"/>
      <c r="P1316" s="11"/>
      <c r="Q1316" s="13"/>
    </row>
    <row r="1317">
      <c r="A1317" s="11"/>
      <c r="B1317" s="11"/>
      <c r="C1317" s="11"/>
      <c r="D1317" s="11"/>
      <c r="E1317" s="11"/>
      <c r="F1317" s="11"/>
      <c r="G1317" s="11"/>
      <c r="H1317" s="11"/>
      <c r="I1317" s="12"/>
      <c r="J1317" s="12"/>
      <c r="K1317" s="11"/>
      <c r="L1317" s="11"/>
      <c r="M1317" s="11"/>
      <c r="N1317" s="11"/>
      <c r="O1317" s="11"/>
      <c r="P1317" s="11"/>
      <c r="Q1317" s="13"/>
    </row>
    <row r="1318">
      <c r="A1318" s="11"/>
      <c r="B1318" s="11"/>
      <c r="C1318" s="11"/>
      <c r="D1318" s="11"/>
      <c r="E1318" s="11"/>
      <c r="F1318" s="11"/>
      <c r="G1318" s="11"/>
      <c r="H1318" s="11"/>
      <c r="I1318" s="12"/>
      <c r="J1318" s="12"/>
      <c r="K1318" s="11"/>
      <c r="L1318" s="11"/>
      <c r="M1318" s="11"/>
      <c r="N1318" s="11"/>
      <c r="O1318" s="11"/>
      <c r="P1318" s="11"/>
      <c r="Q1318" s="13"/>
    </row>
    <row r="1319">
      <c r="A1319" s="11"/>
      <c r="B1319" s="11"/>
      <c r="C1319" s="11"/>
      <c r="D1319" s="11"/>
      <c r="E1319" s="11"/>
      <c r="F1319" s="11"/>
      <c r="G1319" s="11"/>
      <c r="H1319" s="11"/>
      <c r="I1319" s="12"/>
      <c r="J1319" s="12"/>
      <c r="K1319" s="11"/>
      <c r="L1319" s="11"/>
      <c r="M1319" s="11"/>
      <c r="N1319" s="11"/>
      <c r="O1319" s="11"/>
      <c r="P1319" s="11"/>
      <c r="Q1319" s="13"/>
    </row>
    <row r="1320">
      <c r="A1320" s="11"/>
      <c r="B1320" s="11"/>
      <c r="C1320" s="11"/>
      <c r="D1320" s="11"/>
      <c r="E1320" s="11"/>
      <c r="F1320" s="11"/>
      <c r="G1320" s="11"/>
      <c r="H1320" s="11"/>
      <c r="I1320" s="12"/>
      <c r="J1320" s="12"/>
      <c r="K1320" s="11"/>
      <c r="L1320" s="11"/>
      <c r="M1320" s="11"/>
      <c r="N1320" s="11"/>
      <c r="O1320" s="11"/>
      <c r="P1320" s="11"/>
      <c r="Q1320" s="13"/>
    </row>
    <row r="1321">
      <c r="A1321" s="11"/>
      <c r="B1321" s="11"/>
      <c r="C1321" s="11"/>
      <c r="D1321" s="11"/>
      <c r="E1321" s="11"/>
      <c r="F1321" s="11"/>
      <c r="G1321" s="11"/>
      <c r="H1321" s="11"/>
      <c r="I1321" s="12"/>
      <c r="J1321" s="12"/>
      <c r="K1321" s="11"/>
      <c r="L1321" s="11"/>
      <c r="M1321" s="11"/>
      <c r="N1321" s="11"/>
      <c r="O1321" s="11"/>
      <c r="P1321" s="11"/>
      <c r="Q1321" s="13"/>
    </row>
    <row r="1322">
      <c r="A1322" s="11"/>
      <c r="B1322" s="11"/>
      <c r="C1322" s="11"/>
      <c r="D1322" s="11"/>
      <c r="E1322" s="11"/>
      <c r="F1322" s="11"/>
      <c r="G1322" s="11"/>
      <c r="H1322" s="11"/>
      <c r="I1322" s="12"/>
      <c r="J1322" s="12"/>
      <c r="K1322" s="11"/>
      <c r="L1322" s="11"/>
      <c r="M1322" s="11"/>
      <c r="N1322" s="11"/>
      <c r="O1322" s="11"/>
      <c r="P1322" s="11"/>
      <c r="Q1322" s="13"/>
    </row>
    <row r="1323">
      <c r="A1323" s="11"/>
      <c r="B1323" s="11"/>
      <c r="C1323" s="11"/>
      <c r="D1323" s="11"/>
      <c r="E1323" s="11"/>
      <c r="F1323" s="11"/>
      <c r="G1323" s="11"/>
      <c r="H1323" s="11"/>
      <c r="I1323" s="12"/>
      <c r="J1323" s="12"/>
      <c r="K1323" s="11"/>
      <c r="L1323" s="11"/>
      <c r="M1323" s="11"/>
      <c r="N1323" s="11"/>
      <c r="O1323" s="11"/>
      <c r="P1323" s="11"/>
      <c r="Q1323" s="13"/>
    </row>
    <row r="1324">
      <c r="A1324" s="11"/>
      <c r="B1324" s="11"/>
      <c r="C1324" s="11"/>
      <c r="D1324" s="11"/>
      <c r="E1324" s="11"/>
      <c r="F1324" s="11"/>
      <c r="G1324" s="11"/>
      <c r="H1324" s="11"/>
      <c r="I1324" s="12"/>
      <c r="J1324" s="12"/>
      <c r="K1324" s="11"/>
      <c r="L1324" s="11"/>
      <c r="M1324" s="11"/>
      <c r="N1324" s="11"/>
      <c r="O1324" s="11"/>
      <c r="P1324" s="11"/>
      <c r="Q1324" s="13"/>
    </row>
    <row r="1325">
      <c r="A1325" s="11"/>
      <c r="B1325" s="11"/>
      <c r="C1325" s="11"/>
      <c r="D1325" s="11"/>
      <c r="E1325" s="11"/>
      <c r="F1325" s="11"/>
      <c r="G1325" s="11"/>
      <c r="H1325" s="11"/>
      <c r="I1325" s="12"/>
      <c r="J1325" s="12"/>
      <c r="K1325" s="11"/>
      <c r="L1325" s="11"/>
      <c r="M1325" s="11"/>
      <c r="N1325" s="11"/>
      <c r="O1325" s="11"/>
      <c r="P1325" s="11"/>
      <c r="Q1325" s="13"/>
    </row>
    <row r="1326">
      <c r="A1326" s="11"/>
      <c r="B1326" s="11"/>
      <c r="C1326" s="11"/>
      <c r="D1326" s="11"/>
      <c r="E1326" s="11"/>
      <c r="F1326" s="11"/>
      <c r="G1326" s="11"/>
      <c r="H1326" s="11"/>
      <c r="I1326" s="12"/>
      <c r="J1326" s="12"/>
      <c r="K1326" s="11"/>
      <c r="L1326" s="11"/>
      <c r="M1326" s="11"/>
      <c r="N1326" s="11"/>
      <c r="O1326" s="11"/>
      <c r="P1326" s="11"/>
      <c r="Q1326" s="13"/>
    </row>
    <row r="1327">
      <c r="A1327" s="11"/>
      <c r="B1327" s="11"/>
      <c r="C1327" s="11"/>
      <c r="D1327" s="11"/>
      <c r="E1327" s="11"/>
      <c r="F1327" s="11"/>
      <c r="G1327" s="11"/>
      <c r="H1327" s="11"/>
      <c r="I1327" s="12"/>
      <c r="J1327" s="12"/>
      <c r="K1327" s="11"/>
      <c r="L1327" s="11"/>
      <c r="M1327" s="11"/>
      <c r="N1327" s="11"/>
      <c r="O1327" s="11"/>
      <c r="P1327" s="11"/>
      <c r="Q1327" s="13"/>
    </row>
    <row r="1328">
      <c r="A1328" s="11"/>
      <c r="B1328" s="11"/>
      <c r="C1328" s="11"/>
      <c r="D1328" s="11"/>
      <c r="E1328" s="11"/>
      <c r="F1328" s="11"/>
      <c r="G1328" s="11"/>
      <c r="H1328" s="11"/>
      <c r="I1328" s="12"/>
      <c r="J1328" s="12"/>
      <c r="K1328" s="11"/>
      <c r="L1328" s="11"/>
      <c r="M1328" s="11"/>
      <c r="N1328" s="11"/>
      <c r="O1328" s="11"/>
      <c r="P1328" s="11"/>
      <c r="Q1328" s="13"/>
    </row>
    <row r="1329">
      <c r="A1329" s="11"/>
      <c r="B1329" s="11"/>
      <c r="C1329" s="11"/>
      <c r="D1329" s="11"/>
      <c r="E1329" s="11"/>
      <c r="F1329" s="11"/>
      <c r="G1329" s="11"/>
      <c r="H1329" s="11"/>
      <c r="I1329" s="12"/>
      <c r="J1329" s="12"/>
      <c r="K1329" s="11"/>
      <c r="L1329" s="11"/>
      <c r="M1329" s="11"/>
      <c r="N1329" s="11"/>
      <c r="O1329" s="11"/>
      <c r="P1329" s="11"/>
      <c r="Q1329" s="13"/>
    </row>
    <row r="1330">
      <c r="A1330" s="11"/>
      <c r="B1330" s="11"/>
      <c r="C1330" s="11"/>
      <c r="D1330" s="11"/>
      <c r="E1330" s="11"/>
      <c r="F1330" s="11"/>
      <c r="G1330" s="11"/>
      <c r="H1330" s="11"/>
      <c r="I1330" s="12"/>
      <c r="J1330" s="12"/>
      <c r="K1330" s="11"/>
      <c r="L1330" s="11"/>
      <c r="M1330" s="11"/>
      <c r="N1330" s="11"/>
      <c r="O1330" s="11"/>
      <c r="P1330" s="11"/>
      <c r="Q1330" s="13"/>
    </row>
    <row r="1331">
      <c r="A1331" s="11"/>
      <c r="B1331" s="11"/>
      <c r="C1331" s="11"/>
      <c r="D1331" s="11"/>
      <c r="E1331" s="11"/>
      <c r="F1331" s="11"/>
      <c r="G1331" s="11"/>
      <c r="H1331" s="11"/>
      <c r="I1331" s="12"/>
      <c r="J1331" s="12"/>
      <c r="K1331" s="11"/>
      <c r="L1331" s="11"/>
      <c r="M1331" s="11"/>
      <c r="N1331" s="11"/>
      <c r="O1331" s="11"/>
      <c r="P1331" s="11"/>
      <c r="Q1331" s="13"/>
    </row>
    <row r="1332">
      <c r="A1332" s="11"/>
      <c r="B1332" s="11"/>
      <c r="C1332" s="11"/>
      <c r="D1332" s="11"/>
      <c r="E1332" s="11"/>
      <c r="F1332" s="11"/>
      <c r="G1332" s="11"/>
      <c r="H1332" s="11"/>
      <c r="I1332" s="12"/>
      <c r="J1332" s="12"/>
      <c r="K1332" s="11"/>
      <c r="L1332" s="11"/>
      <c r="M1332" s="11"/>
      <c r="N1332" s="11"/>
      <c r="O1332" s="11"/>
      <c r="P1332" s="11"/>
      <c r="Q1332" s="13"/>
    </row>
    <row r="1333">
      <c r="A1333" s="11"/>
      <c r="B1333" s="11"/>
      <c r="C1333" s="11"/>
      <c r="D1333" s="11"/>
      <c r="E1333" s="11"/>
      <c r="F1333" s="11"/>
      <c r="G1333" s="11"/>
      <c r="H1333" s="11"/>
      <c r="I1333" s="12"/>
      <c r="J1333" s="12"/>
      <c r="K1333" s="11"/>
      <c r="L1333" s="11"/>
      <c r="M1333" s="11"/>
      <c r="N1333" s="11"/>
      <c r="O1333" s="11"/>
      <c r="P1333" s="11"/>
      <c r="Q1333" s="13"/>
    </row>
    <row r="1334">
      <c r="A1334" s="11"/>
      <c r="B1334" s="11"/>
      <c r="C1334" s="11"/>
      <c r="D1334" s="11"/>
      <c r="E1334" s="11"/>
      <c r="F1334" s="11"/>
      <c r="G1334" s="11"/>
      <c r="H1334" s="11"/>
      <c r="I1334" s="12"/>
      <c r="J1334" s="12"/>
      <c r="K1334" s="11"/>
      <c r="L1334" s="11"/>
      <c r="M1334" s="11"/>
      <c r="N1334" s="11"/>
      <c r="O1334" s="11"/>
      <c r="P1334" s="11"/>
      <c r="Q1334" s="13"/>
    </row>
    <row r="1335">
      <c r="A1335" s="11"/>
      <c r="B1335" s="11"/>
      <c r="C1335" s="11"/>
      <c r="D1335" s="11"/>
      <c r="E1335" s="11"/>
      <c r="F1335" s="11"/>
      <c r="G1335" s="11"/>
      <c r="H1335" s="11"/>
      <c r="I1335" s="12"/>
      <c r="J1335" s="12"/>
      <c r="K1335" s="11"/>
      <c r="L1335" s="11"/>
      <c r="M1335" s="11"/>
      <c r="N1335" s="11"/>
      <c r="O1335" s="11"/>
      <c r="P1335" s="11"/>
      <c r="Q1335" s="13"/>
    </row>
    <row r="1336">
      <c r="A1336" s="11"/>
      <c r="B1336" s="11"/>
      <c r="C1336" s="11"/>
      <c r="D1336" s="11"/>
      <c r="E1336" s="11"/>
      <c r="F1336" s="11"/>
      <c r="G1336" s="11"/>
      <c r="H1336" s="11"/>
      <c r="I1336" s="12"/>
      <c r="J1336" s="12"/>
      <c r="K1336" s="11"/>
      <c r="L1336" s="11"/>
      <c r="M1336" s="11"/>
      <c r="N1336" s="11"/>
      <c r="O1336" s="11"/>
      <c r="P1336" s="11"/>
      <c r="Q1336" s="13"/>
    </row>
    <row r="1337">
      <c r="A1337" s="11"/>
      <c r="B1337" s="11"/>
      <c r="C1337" s="11"/>
      <c r="D1337" s="11"/>
      <c r="E1337" s="11"/>
      <c r="F1337" s="11"/>
      <c r="G1337" s="11"/>
      <c r="H1337" s="11"/>
      <c r="I1337" s="12"/>
      <c r="J1337" s="12"/>
      <c r="K1337" s="11"/>
      <c r="L1337" s="11"/>
      <c r="M1337" s="11"/>
      <c r="N1337" s="11"/>
      <c r="O1337" s="11"/>
      <c r="P1337" s="11"/>
      <c r="Q1337" s="13"/>
    </row>
    <row r="1338">
      <c r="A1338" s="11"/>
      <c r="B1338" s="11"/>
      <c r="C1338" s="11"/>
      <c r="D1338" s="11"/>
      <c r="E1338" s="11"/>
      <c r="F1338" s="11"/>
      <c r="G1338" s="11"/>
      <c r="H1338" s="11"/>
      <c r="I1338" s="12"/>
      <c r="J1338" s="12"/>
      <c r="K1338" s="11"/>
      <c r="L1338" s="11"/>
      <c r="M1338" s="11"/>
      <c r="N1338" s="11"/>
      <c r="O1338" s="11"/>
      <c r="P1338" s="11"/>
      <c r="Q1338" s="13"/>
    </row>
    <row r="1339">
      <c r="A1339" s="11"/>
      <c r="B1339" s="11"/>
      <c r="C1339" s="11"/>
      <c r="D1339" s="11"/>
      <c r="E1339" s="11"/>
      <c r="F1339" s="11"/>
      <c r="G1339" s="11"/>
      <c r="H1339" s="11"/>
      <c r="I1339" s="12"/>
      <c r="J1339" s="12"/>
      <c r="K1339" s="11"/>
      <c r="L1339" s="11"/>
      <c r="M1339" s="11"/>
      <c r="N1339" s="11"/>
      <c r="O1339" s="11"/>
      <c r="P1339" s="11"/>
      <c r="Q1339" s="13"/>
    </row>
    <row r="1340">
      <c r="A1340" s="11"/>
      <c r="B1340" s="11"/>
      <c r="C1340" s="11"/>
      <c r="D1340" s="11"/>
      <c r="E1340" s="11"/>
      <c r="F1340" s="11"/>
      <c r="G1340" s="11"/>
      <c r="H1340" s="11"/>
      <c r="I1340" s="12"/>
      <c r="J1340" s="12"/>
      <c r="K1340" s="11"/>
      <c r="L1340" s="11"/>
      <c r="M1340" s="11"/>
      <c r="N1340" s="11"/>
      <c r="O1340" s="11"/>
      <c r="P1340" s="11"/>
      <c r="Q1340" s="13"/>
    </row>
    <row r="1341">
      <c r="A1341" s="11"/>
      <c r="B1341" s="11"/>
      <c r="C1341" s="11"/>
      <c r="D1341" s="11"/>
      <c r="E1341" s="11"/>
      <c r="F1341" s="11"/>
      <c r="G1341" s="11"/>
      <c r="H1341" s="11"/>
      <c r="I1341" s="12"/>
      <c r="J1341" s="12"/>
      <c r="K1341" s="11"/>
      <c r="L1341" s="11"/>
      <c r="M1341" s="11"/>
      <c r="N1341" s="11"/>
      <c r="O1341" s="11"/>
      <c r="P1341" s="11"/>
      <c r="Q1341" s="13"/>
    </row>
    <row r="1342">
      <c r="A1342" s="11"/>
      <c r="B1342" s="11"/>
      <c r="C1342" s="11"/>
      <c r="D1342" s="11"/>
      <c r="E1342" s="11"/>
      <c r="F1342" s="11"/>
      <c r="G1342" s="11"/>
      <c r="H1342" s="11"/>
      <c r="I1342" s="12"/>
      <c r="J1342" s="12"/>
      <c r="K1342" s="11"/>
      <c r="L1342" s="11"/>
      <c r="M1342" s="11"/>
      <c r="N1342" s="11"/>
      <c r="O1342" s="11"/>
      <c r="P1342" s="11"/>
      <c r="Q1342" s="13"/>
    </row>
    <row r="1343">
      <c r="A1343" s="11"/>
      <c r="B1343" s="11"/>
      <c r="C1343" s="11"/>
      <c r="D1343" s="11"/>
      <c r="E1343" s="11"/>
      <c r="F1343" s="11"/>
      <c r="G1343" s="11"/>
      <c r="H1343" s="11"/>
      <c r="I1343" s="12"/>
      <c r="J1343" s="12"/>
      <c r="K1343" s="11"/>
      <c r="L1343" s="11"/>
      <c r="M1343" s="11"/>
      <c r="N1343" s="11"/>
      <c r="O1343" s="11"/>
      <c r="P1343" s="11"/>
      <c r="Q1343" s="13"/>
    </row>
    <row r="1344">
      <c r="A1344" s="11"/>
      <c r="B1344" s="11"/>
      <c r="C1344" s="11"/>
      <c r="D1344" s="11"/>
      <c r="E1344" s="11"/>
      <c r="F1344" s="11"/>
      <c r="G1344" s="11"/>
      <c r="H1344" s="11"/>
      <c r="I1344" s="12"/>
      <c r="J1344" s="12"/>
      <c r="K1344" s="11"/>
      <c r="L1344" s="11"/>
      <c r="M1344" s="11"/>
      <c r="N1344" s="11"/>
      <c r="O1344" s="11"/>
      <c r="P1344" s="11"/>
      <c r="Q1344" s="13"/>
    </row>
    <row r="1345">
      <c r="A1345" s="11"/>
      <c r="B1345" s="11"/>
      <c r="C1345" s="11"/>
      <c r="D1345" s="11"/>
      <c r="E1345" s="11"/>
      <c r="F1345" s="11"/>
      <c r="G1345" s="11"/>
      <c r="H1345" s="11"/>
      <c r="I1345" s="12"/>
      <c r="J1345" s="12"/>
      <c r="K1345" s="11"/>
      <c r="L1345" s="11"/>
      <c r="M1345" s="11"/>
      <c r="N1345" s="11"/>
      <c r="O1345" s="11"/>
      <c r="P1345" s="11"/>
      <c r="Q1345" s="13"/>
    </row>
    <row r="1346">
      <c r="A1346" s="11"/>
      <c r="B1346" s="11"/>
      <c r="C1346" s="11"/>
      <c r="D1346" s="11"/>
      <c r="E1346" s="11"/>
      <c r="F1346" s="11"/>
      <c r="G1346" s="11"/>
      <c r="H1346" s="11"/>
      <c r="I1346" s="12"/>
      <c r="J1346" s="12"/>
      <c r="K1346" s="11"/>
      <c r="L1346" s="11"/>
      <c r="M1346" s="11"/>
      <c r="N1346" s="11"/>
      <c r="O1346" s="11"/>
      <c r="P1346" s="11"/>
      <c r="Q1346" s="13"/>
    </row>
    <row r="1347">
      <c r="A1347" s="11"/>
      <c r="B1347" s="11"/>
      <c r="C1347" s="11"/>
      <c r="D1347" s="11"/>
      <c r="E1347" s="11"/>
      <c r="F1347" s="11"/>
      <c r="G1347" s="11"/>
      <c r="H1347" s="11"/>
      <c r="I1347" s="12"/>
      <c r="J1347" s="12"/>
      <c r="K1347" s="11"/>
      <c r="L1347" s="11"/>
      <c r="M1347" s="11"/>
      <c r="N1347" s="11"/>
      <c r="O1347" s="11"/>
      <c r="P1347" s="11"/>
      <c r="Q1347" s="13"/>
    </row>
    <row r="1348">
      <c r="A1348" s="11"/>
      <c r="B1348" s="11"/>
      <c r="C1348" s="11"/>
      <c r="D1348" s="11"/>
      <c r="E1348" s="11"/>
      <c r="F1348" s="11"/>
      <c r="G1348" s="11"/>
      <c r="H1348" s="11"/>
      <c r="I1348" s="12"/>
      <c r="J1348" s="12"/>
      <c r="K1348" s="11"/>
      <c r="L1348" s="11"/>
      <c r="M1348" s="11"/>
      <c r="N1348" s="11"/>
      <c r="O1348" s="11"/>
      <c r="P1348" s="11"/>
      <c r="Q1348" s="13"/>
    </row>
    <row r="1349">
      <c r="A1349" s="11"/>
      <c r="B1349" s="11"/>
      <c r="C1349" s="11"/>
      <c r="D1349" s="11"/>
      <c r="E1349" s="11"/>
      <c r="F1349" s="11"/>
      <c r="G1349" s="11"/>
      <c r="H1349" s="11"/>
      <c r="I1349" s="12"/>
      <c r="J1349" s="12"/>
      <c r="K1349" s="11"/>
      <c r="L1349" s="11"/>
      <c r="M1349" s="11"/>
      <c r="N1349" s="11"/>
      <c r="O1349" s="11"/>
      <c r="P1349" s="11"/>
      <c r="Q1349" s="13"/>
    </row>
    <row r="1350">
      <c r="A1350" s="11"/>
      <c r="B1350" s="11"/>
      <c r="C1350" s="11"/>
      <c r="D1350" s="11"/>
      <c r="E1350" s="11"/>
      <c r="F1350" s="11"/>
      <c r="G1350" s="11"/>
      <c r="H1350" s="11"/>
      <c r="I1350" s="12"/>
      <c r="J1350" s="12"/>
      <c r="K1350" s="11"/>
      <c r="L1350" s="11"/>
      <c r="M1350" s="11"/>
      <c r="N1350" s="11"/>
      <c r="O1350" s="11"/>
      <c r="P1350" s="11"/>
      <c r="Q1350" s="13"/>
    </row>
    <row r="1351">
      <c r="A1351" s="11"/>
      <c r="B1351" s="11"/>
      <c r="C1351" s="11"/>
      <c r="D1351" s="11"/>
      <c r="E1351" s="11"/>
      <c r="F1351" s="11"/>
      <c r="G1351" s="11"/>
      <c r="H1351" s="11"/>
      <c r="I1351" s="12"/>
      <c r="J1351" s="12"/>
      <c r="K1351" s="11"/>
      <c r="L1351" s="11"/>
      <c r="M1351" s="11"/>
      <c r="N1351" s="11"/>
      <c r="O1351" s="11"/>
      <c r="P1351" s="11"/>
      <c r="Q1351" s="13"/>
    </row>
    <row r="1352">
      <c r="A1352" s="11"/>
      <c r="B1352" s="11"/>
      <c r="C1352" s="11"/>
      <c r="D1352" s="11"/>
      <c r="E1352" s="11"/>
      <c r="F1352" s="11"/>
      <c r="G1352" s="11"/>
      <c r="H1352" s="11"/>
      <c r="I1352" s="12"/>
      <c r="J1352" s="12"/>
      <c r="K1352" s="11"/>
      <c r="L1352" s="11"/>
      <c r="M1352" s="11"/>
      <c r="N1352" s="11"/>
      <c r="O1352" s="11"/>
      <c r="P1352" s="11"/>
      <c r="Q1352" s="13"/>
    </row>
    <row r="1353">
      <c r="A1353" s="11"/>
      <c r="B1353" s="11"/>
      <c r="C1353" s="11"/>
      <c r="D1353" s="11"/>
      <c r="E1353" s="11"/>
      <c r="F1353" s="11"/>
      <c r="G1353" s="11"/>
      <c r="H1353" s="11"/>
      <c r="I1353" s="12"/>
      <c r="J1353" s="12"/>
      <c r="K1353" s="11"/>
      <c r="L1353" s="11"/>
      <c r="M1353" s="11"/>
      <c r="N1353" s="11"/>
      <c r="O1353" s="11"/>
      <c r="P1353" s="11"/>
      <c r="Q1353" s="13"/>
    </row>
    <row r="1354">
      <c r="A1354" s="11"/>
      <c r="B1354" s="11"/>
      <c r="C1354" s="11"/>
      <c r="D1354" s="11"/>
      <c r="E1354" s="11"/>
      <c r="F1354" s="11"/>
      <c r="G1354" s="11"/>
      <c r="H1354" s="11"/>
      <c r="I1354" s="12"/>
      <c r="J1354" s="12"/>
      <c r="K1354" s="11"/>
      <c r="L1354" s="11"/>
      <c r="M1354" s="11"/>
      <c r="N1354" s="11"/>
      <c r="O1354" s="11"/>
      <c r="P1354" s="11"/>
      <c r="Q1354" s="13"/>
    </row>
    <row r="1355">
      <c r="A1355" s="11"/>
      <c r="B1355" s="11"/>
      <c r="C1355" s="11"/>
      <c r="D1355" s="11"/>
      <c r="E1355" s="11"/>
      <c r="F1355" s="11"/>
      <c r="G1355" s="11"/>
      <c r="H1355" s="11"/>
      <c r="I1355" s="12"/>
      <c r="J1355" s="12"/>
      <c r="K1355" s="11"/>
      <c r="L1355" s="11"/>
      <c r="M1355" s="11"/>
      <c r="N1355" s="11"/>
      <c r="O1355" s="11"/>
      <c r="P1355" s="11"/>
      <c r="Q1355" s="13"/>
    </row>
    <row r="1356">
      <c r="A1356" s="11"/>
      <c r="B1356" s="11"/>
      <c r="C1356" s="11"/>
      <c r="D1356" s="11"/>
      <c r="E1356" s="11"/>
      <c r="F1356" s="11"/>
      <c r="G1356" s="11"/>
      <c r="H1356" s="11"/>
      <c r="I1356" s="12"/>
      <c r="J1356" s="12"/>
      <c r="K1356" s="11"/>
      <c r="L1356" s="11"/>
      <c r="M1356" s="11"/>
      <c r="N1356" s="11"/>
      <c r="O1356" s="11"/>
      <c r="P1356" s="11"/>
      <c r="Q1356" s="13"/>
    </row>
    <row r="1357">
      <c r="A1357" s="11"/>
      <c r="B1357" s="11"/>
      <c r="C1357" s="11"/>
      <c r="D1357" s="11"/>
      <c r="E1357" s="11"/>
      <c r="F1357" s="11"/>
      <c r="G1357" s="11"/>
      <c r="H1357" s="11"/>
      <c r="I1357" s="12"/>
      <c r="J1357" s="12"/>
      <c r="K1357" s="11"/>
      <c r="L1357" s="11"/>
      <c r="M1357" s="11"/>
      <c r="N1357" s="11"/>
      <c r="O1357" s="11"/>
      <c r="P1357" s="11"/>
      <c r="Q1357" s="13"/>
    </row>
    <row r="1358">
      <c r="A1358" s="11"/>
      <c r="B1358" s="11"/>
      <c r="C1358" s="11"/>
      <c r="D1358" s="11"/>
      <c r="E1358" s="11"/>
      <c r="F1358" s="11"/>
      <c r="G1358" s="11"/>
      <c r="H1358" s="11"/>
      <c r="I1358" s="12"/>
      <c r="J1358" s="12"/>
      <c r="K1358" s="11"/>
      <c r="L1358" s="11"/>
      <c r="M1358" s="11"/>
      <c r="N1358" s="11"/>
      <c r="O1358" s="11"/>
      <c r="P1358" s="11"/>
      <c r="Q1358" s="13"/>
    </row>
    <row r="1359">
      <c r="A1359" s="11"/>
      <c r="B1359" s="11"/>
      <c r="C1359" s="11"/>
      <c r="D1359" s="11"/>
      <c r="E1359" s="11"/>
      <c r="F1359" s="11"/>
      <c r="G1359" s="11"/>
      <c r="H1359" s="11"/>
      <c r="I1359" s="12"/>
      <c r="J1359" s="12"/>
      <c r="K1359" s="11"/>
      <c r="L1359" s="11"/>
      <c r="M1359" s="11"/>
      <c r="N1359" s="11"/>
      <c r="O1359" s="11"/>
      <c r="P1359" s="11"/>
      <c r="Q1359" s="13"/>
    </row>
    <row r="1360">
      <c r="A1360" s="11"/>
      <c r="B1360" s="11"/>
      <c r="C1360" s="11"/>
      <c r="D1360" s="11"/>
      <c r="E1360" s="11"/>
      <c r="F1360" s="11"/>
      <c r="G1360" s="11"/>
      <c r="H1360" s="11"/>
      <c r="I1360" s="12"/>
      <c r="J1360" s="12"/>
      <c r="K1360" s="11"/>
      <c r="L1360" s="11"/>
      <c r="M1360" s="11"/>
      <c r="N1360" s="11"/>
      <c r="O1360" s="11"/>
      <c r="P1360" s="11"/>
      <c r="Q1360" s="13"/>
    </row>
    <row r="1361">
      <c r="A1361" s="11"/>
      <c r="B1361" s="11"/>
      <c r="C1361" s="11"/>
      <c r="D1361" s="11"/>
      <c r="E1361" s="11"/>
      <c r="F1361" s="11"/>
      <c r="G1361" s="11"/>
      <c r="H1361" s="11"/>
      <c r="I1361" s="12"/>
      <c r="J1361" s="12"/>
      <c r="K1361" s="11"/>
      <c r="L1361" s="11"/>
      <c r="M1361" s="11"/>
      <c r="N1361" s="11"/>
      <c r="O1361" s="11"/>
      <c r="P1361" s="11"/>
      <c r="Q1361" s="13"/>
    </row>
    <row r="1362">
      <c r="A1362" s="11"/>
      <c r="B1362" s="11"/>
      <c r="C1362" s="11"/>
      <c r="D1362" s="11"/>
      <c r="E1362" s="11"/>
      <c r="F1362" s="11"/>
      <c r="G1362" s="11"/>
      <c r="H1362" s="11"/>
      <c r="I1362" s="12"/>
      <c r="J1362" s="12"/>
      <c r="K1362" s="11"/>
      <c r="L1362" s="11"/>
      <c r="M1362" s="11"/>
      <c r="N1362" s="11"/>
      <c r="O1362" s="11"/>
      <c r="P1362" s="11"/>
      <c r="Q1362" s="13"/>
    </row>
    <row r="1363">
      <c r="A1363" s="11"/>
      <c r="B1363" s="11"/>
      <c r="C1363" s="11"/>
      <c r="D1363" s="11"/>
      <c r="E1363" s="11"/>
      <c r="F1363" s="11"/>
      <c r="G1363" s="11"/>
      <c r="H1363" s="11"/>
      <c r="I1363" s="12"/>
      <c r="J1363" s="12"/>
      <c r="K1363" s="11"/>
      <c r="L1363" s="11"/>
      <c r="M1363" s="11"/>
      <c r="N1363" s="11"/>
      <c r="O1363" s="11"/>
      <c r="P1363" s="11"/>
      <c r="Q1363" s="13"/>
    </row>
    <row r="1364">
      <c r="A1364" s="11"/>
      <c r="B1364" s="11"/>
      <c r="C1364" s="11"/>
      <c r="D1364" s="11"/>
      <c r="E1364" s="11"/>
      <c r="F1364" s="11"/>
      <c r="G1364" s="11"/>
      <c r="H1364" s="11"/>
      <c r="I1364" s="12"/>
      <c r="J1364" s="12"/>
      <c r="K1364" s="11"/>
      <c r="L1364" s="11"/>
      <c r="M1364" s="11"/>
      <c r="N1364" s="11"/>
      <c r="O1364" s="11"/>
      <c r="P1364" s="11"/>
      <c r="Q1364" s="13"/>
    </row>
    <row r="1365">
      <c r="A1365" s="11"/>
      <c r="B1365" s="11"/>
      <c r="C1365" s="11"/>
      <c r="D1365" s="11"/>
      <c r="E1365" s="11"/>
      <c r="F1365" s="11"/>
      <c r="G1365" s="11"/>
      <c r="H1365" s="11"/>
      <c r="I1365" s="12"/>
      <c r="J1365" s="12"/>
      <c r="K1365" s="11"/>
      <c r="L1365" s="11"/>
      <c r="M1365" s="11"/>
      <c r="N1365" s="11"/>
      <c r="O1365" s="11"/>
      <c r="P1365" s="11"/>
      <c r="Q1365" s="13"/>
    </row>
    <row r="1366">
      <c r="A1366" s="11"/>
      <c r="B1366" s="11"/>
      <c r="C1366" s="11"/>
      <c r="D1366" s="11"/>
      <c r="E1366" s="11"/>
      <c r="F1366" s="11"/>
      <c r="G1366" s="11"/>
      <c r="H1366" s="11"/>
      <c r="I1366" s="12"/>
      <c r="J1366" s="12"/>
      <c r="K1366" s="11"/>
      <c r="L1366" s="11"/>
      <c r="M1366" s="11"/>
      <c r="N1366" s="11"/>
      <c r="O1366" s="11"/>
      <c r="P1366" s="11"/>
      <c r="Q1366" s="13"/>
    </row>
    <row r="1367">
      <c r="A1367" s="11"/>
      <c r="B1367" s="11"/>
      <c r="C1367" s="11"/>
      <c r="D1367" s="11"/>
      <c r="E1367" s="11"/>
      <c r="F1367" s="11"/>
      <c r="G1367" s="11"/>
      <c r="H1367" s="11"/>
      <c r="I1367" s="12"/>
      <c r="J1367" s="12"/>
      <c r="K1367" s="11"/>
      <c r="L1367" s="11"/>
      <c r="M1367" s="11"/>
      <c r="N1367" s="11"/>
      <c r="O1367" s="11"/>
      <c r="P1367" s="11"/>
      <c r="Q1367" s="13"/>
    </row>
    <row r="1368">
      <c r="A1368" s="11"/>
      <c r="B1368" s="11"/>
      <c r="C1368" s="11"/>
      <c r="D1368" s="11"/>
      <c r="E1368" s="11"/>
      <c r="F1368" s="11"/>
      <c r="G1368" s="11"/>
      <c r="H1368" s="11"/>
      <c r="I1368" s="12"/>
      <c r="J1368" s="12"/>
      <c r="K1368" s="11"/>
      <c r="L1368" s="11"/>
      <c r="M1368" s="11"/>
      <c r="N1368" s="11"/>
      <c r="O1368" s="11"/>
      <c r="P1368" s="11"/>
      <c r="Q1368" s="13"/>
    </row>
    <row r="1369">
      <c r="A1369" s="11"/>
      <c r="B1369" s="11"/>
      <c r="C1369" s="11"/>
      <c r="D1369" s="11"/>
      <c r="E1369" s="11"/>
      <c r="F1369" s="11"/>
      <c r="G1369" s="11"/>
      <c r="H1369" s="11"/>
      <c r="I1369" s="12"/>
      <c r="J1369" s="12"/>
      <c r="K1369" s="11"/>
      <c r="L1369" s="11"/>
      <c r="M1369" s="11"/>
      <c r="N1369" s="11"/>
      <c r="O1369" s="11"/>
      <c r="P1369" s="11"/>
      <c r="Q1369" s="13"/>
    </row>
    <row r="1370">
      <c r="A1370" s="11"/>
      <c r="B1370" s="11"/>
      <c r="C1370" s="11"/>
      <c r="D1370" s="11"/>
      <c r="E1370" s="11"/>
      <c r="F1370" s="11"/>
      <c r="G1370" s="11"/>
      <c r="H1370" s="11"/>
      <c r="I1370" s="12"/>
      <c r="J1370" s="12"/>
      <c r="K1370" s="11"/>
      <c r="L1370" s="11"/>
      <c r="M1370" s="11"/>
      <c r="N1370" s="11"/>
      <c r="O1370" s="11"/>
      <c r="P1370" s="11"/>
      <c r="Q1370" s="13"/>
    </row>
    <row r="1371">
      <c r="A1371" s="11"/>
      <c r="B1371" s="11"/>
      <c r="C1371" s="11"/>
      <c r="D1371" s="11"/>
      <c r="E1371" s="11"/>
      <c r="F1371" s="11"/>
      <c r="G1371" s="11"/>
      <c r="H1371" s="11"/>
      <c r="I1371" s="12"/>
      <c r="J1371" s="12"/>
      <c r="K1371" s="11"/>
      <c r="L1371" s="11"/>
      <c r="M1371" s="11"/>
      <c r="N1371" s="11"/>
      <c r="O1371" s="11"/>
      <c r="P1371" s="11"/>
      <c r="Q1371" s="13"/>
    </row>
    <row r="1372">
      <c r="A1372" s="11"/>
      <c r="B1372" s="11"/>
      <c r="C1372" s="11"/>
      <c r="D1372" s="11"/>
      <c r="E1372" s="11"/>
      <c r="F1372" s="11"/>
      <c r="G1372" s="11"/>
      <c r="H1372" s="11"/>
      <c r="I1372" s="12"/>
      <c r="J1372" s="12"/>
      <c r="K1372" s="11"/>
      <c r="L1372" s="11"/>
      <c r="M1372" s="11"/>
      <c r="N1372" s="11"/>
      <c r="O1372" s="11"/>
      <c r="P1372" s="11"/>
      <c r="Q1372" s="13"/>
    </row>
    <row r="1373">
      <c r="A1373" s="11"/>
      <c r="B1373" s="11"/>
      <c r="C1373" s="11"/>
      <c r="D1373" s="11"/>
      <c r="E1373" s="11"/>
      <c r="F1373" s="11"/>
      <c r="G1373" s="11"/>
      <c r="H1373" s="11"/>
      <c r="I1373" s="12"/>
      <c r="J1373" s="12"/>
      <c r="K1373" s="11"/>
      <c r="L1373" s="11"/>
      <c r="M1373" s="11"/>
      <c r="N1373" s="11"/>
      <c r="O1373" s="11"/>
      <c r="P1373" s="11"/>
      <c r="Q1373" s="13"/>
    </row>
    <row r="1374">
      <c r="A1374" s="11"/>
      <c r="B1374" s="11"/>
      <c r="C1374" s="11"/>
      <c r="D1374" s="11"/>
      <c r="E1374" s="11"/>
      <c r="F1374" s="11"/>
      <c r="G1374" s="11"/>
      <c r="H1374" s="11"/>
      <c r="I1374" s="12"/>
      <c r="J1374" s="12"/>
      <c r="K1374" s="11"/>
      <c r="L1374" s="11"/>
      <c r="M1374" s="11"/>
      <c r="N1374" s="11"/>
      <c r="O1374" s="11"/>
      <c r="P1374" s="11"/>
      <c r="Q1374" s="13"/>
    </row>
    <row r="1375">
      <c r="A1375" s="11"/>
      <c r="B1375" s="11"/>
      <c r="C1375" s="11"/>
      <c r="D1375" s="11"/>
      <c r="E1375" s="11"/>
      <c r="F1375" s="11"/>
      <c r="G1375" s="11"/>
      <c r="H1375" s="11"/>
      <c r="I1375" s="12"/>
      <c r="J1375" s="12"/>
      <c r="K1375" s="11"/>
      <c r="L1375" s="11"/>
      <c r="M1375" s="11"/>
      <c r="N1375" s="11"/>
      <c r="O1375" s="11"/>
      <c r="P1375" s="11"/>
      <c r="Q1375" s="13"/>
    </row>
    <row r="1376">
      <c r="A1376" s="11"/>
      <c r="B1376" s="11"/>
      <c r="C1376" s="11"/>
      <c r="D1376" s="11"/>
      <c r="E1376" s="11"/>
      <c r="F1376" s="11"/>
      <c r="G1376" s="11"/>
      <c r="H1376" s="11"/>
      <c r="I1376" s="12"/>
      <c r="J1376" s="12"/>
      <c r="K1376" s="11"/>
      <c r="L1376" s="11"/>
      <c r="M1376" s="11"/>
      <c r="N1376" s="11"/>
      <c r="O1376" s="11"/>
      <c r="P1376" s="11"/>
      <c r="Q1376" s="13"/>
    </row>
    <row r="1377">
      <c r="A1377" s="11"/>
      <c r="B1377" s="11"/>
      <c r="C1377" s="11"/>
      <c r="D1377" s="11"/>
      <c r="E1377" s="11"/>
      <c r="F1377" s="11"/>
      <c r="G1377" s="11"/>
      <c r="H1377" s="11"/>
      <c r="I1377" s="12"/>
      <c r="J1377" s="12"/>
      <c r="K1377" s="11"/>
      <c r="L1377" s="11"/>
      <c r="M1377" s="11"/>
      <c r="N1377" s="11"/>
      <c r="O1377" s="11"/>
      <c r="P1377" s="11"/>
      <c r="Q1377" s="13"/>
    </row>
    <row r="1378">
      <c r="A1378" s="11"/>
      <c r="B1378" s="11"/>
      <c r="C1378" s="11"/>
      <c r="D1378" s="11"/>
      <c r="E1378" s="11"/>
      <c r="F1378" s="11"/>
      <c r="G1378" s="11"/>
      <c r="H1378" s="11"/>
      <c r="I1378" s="12"/>
      <c r="J1378" s="12"/>
      <c r="K1378" s="11"/>
      <c r="L1378" s="11"/>
      <c r="M1378" s="11"/>
      <c r="N1378" s="11"/>
      <c r="O1378" s="11"/>
      <c r="P1378" s="11"/>
      <c r="Q1378" s="13"/>
    </row>
    <row r="1379">
      <c r="A1379" s="11"/>
      <c r="B1379" s="11"/>
      <c r="C1379" s="11"/>
      <c r="D1379" s="11"/>
      <c r="E1379" s="11"/>
      <c r="F1379" s="11"/>
      <c r="G1379" s="11"/>
      <c r="H1379" s="11"/>
      <c r="I1379" s="12"/>
      <c r="J1379" s="12"/>
      <c r="K1379" s="11"/>
      <c r="L1379" s="11"/>
      <c r="M1379" s="11"/>
      <c r="N1379" s="11"/>
      <c r="O1379" s="11"/>
      <c r="P1379" s="11"/>
      <c r="Q1379" s="13"/>
    </row>
    <row r="1380">
      <c r="A1380" s="11"/>
      <c r="B1380" s="11"/>
      <c r="C1380" s="11"/>
      <c r="D1380" s="11"/>
      <c r="E1380" s="11"/>
      <c r="F1380" s="11"/>
      <c r="G1380" s="11"/>
      <c r="H1380" s="11"/>
      <c r="I1380" s="12"/>
      <c r="J1380" s="12"/>
      <c r="K1380" s="11"/>
      <c r="L1380" s="11"/>
      <c r="M1380" s="11"/>
      <c r="N1380" s="11"/>
      <c r="O1380" s="11"/>
      <c r="P1380" s="11"/>
      <c r="Q1380" s="13"/>
    </row>
    <row r="1381">
      <c r="A1381" s="11"/>
      <c r="B1381" s="11"/>
      <c r="C1381" s="11"/>
      <c r="D1381" s="11"/>
      <c r="E1381" s="11"/>
      <c r="F1381" s="11"/>
      <c r="G1381" s="11"/>
      <c r="H1381" s="11"/>
      <c r="I1381" s="12"/>
      <c r="J1381" s="12"/>
      <c r="K1381" s="11"/>
      <c r="L1381" s="11"/>
      <c r="M1381" s="11"/>
      <c r="N1381" s="11"/>
      <c r="O1381" s="11"/>
      <c r="P1381" s="11"/>
      <c r="Q1381" s="13"/>
    </row>
    <row r="1382">
      <c r="A1382" s="11"/>
      <c r="B1382" s="11"/>
      <c r="C1382" s="11"/>
      <c r="D1382" s="11"/>
      <c r="E1382" s="11"/>
      <c r="F1382" s="11"/>
      <c r="G1382" s="11"/>
      <c r="H1382" s="11"/>
      <c r="I1382" s="12"/>
      <c r="J1382" s="12"/>
      <c r="K1382" s="11"/>
      <c r="L1382" s="11"/>
      <c r="M1382" s="11"/>
      <c r="N1382" s="11"/>
      <c r="O1382" s="11"/>
      <c r="P1382" s="11"/>
      <c r="Q1382" s="13"/>
    </row>
    <row r="1383">
      <c r="A1383" s="11"/>
      <c r="B1383" s="11"/>
      <c r="C1383" s="11"/>
      <c r="D1383" s="11"/>
      <c r="E1383" s="11"/>
      <c r="F1383" s="11"/>
      <c r="G1383" s="11"/>
      <c r="H1383" s="11"/>
      <c r="I1383" s="12"/>
      <c r="J1383" s="12"/>
      <c r="K1383" s="11"/>
      <c r="L1383" s="11"/>
      <c r="M1383" s="11"/>
      <c r="N1383" s="11"/>
      <c r="O1383" s="11"/>
      <c r="P1383" s="11"/>
      <c r="Q1383" s="13"/>
    </row>
    <row r="1384">
      <c r="A1384" s="11"/>
      <c r="B1384" s="11"/>
      <c r="C1384" s="11"/>
      <c r="D1384" s="11"/>
      <c r="E1384" s="11"/>
      <c r="F1384" s="11"/>
      <c r="G1384" s="11"/>
      <c r="H1384" s="11"/>
      <c r="I1384" s="12"/>
      <c r="J1384" s="12"/>
      <c r="K1384" s="11"/>
      <c r="L1384" s="11"/>
      <c r="M1384" s="11"/>
      <c r="N1384" s="11"/>
      <c r="O1384" s="11"/>
      <c r="P1384" s="11"/>
      <c r="Q1384" s="13"/>
    </row>
    <row r="1385">
      <c r="A1385" s="11"/>
      <c r="B1385" s="11"/>
      <c r="C1385" s="11"/>
      <c r="D1385" s="11"/>
      <c r="E1385" s="11"/>
      <c r="F1385" s="11"/>
      <c r="G1385" s="11"/>
      <c r="H1385" s="11"/>
      <c r="I1385" s="12"/>
      <c r="J1385" s="12"/>
      <c r="K1385" s="11"/>
      <c r="L1385" s="11"/>
      <c r="M1385" s="11"/>
      <c r="N1385" s="11"/>
      <c r="O1385" s="11"/>
      <c r="P1385" s="11"/>
      <c r="Q1385" s="13"/>
    </row>
    <row r="1386">
      <c r="A1386" s="11"/>
      <c r="B1386" s="11"/>
      <c r="C1386" s="11"/>
      <c r="D1386" s="11"/>
      <c r="E1386" s="11"/>
      <c r="F1386" s="11"/>
      <c r="G1386" s="11"/>
      <c r="H1386" s="11"/>
      <c r="I1386" s="12"/>
      <c r="J1386" s="12"/>
      <c r="K1386" s="11"/>
      <c r="L1386" s="11"/>
      <c r="M1386" s="11"/>
      <c r="N1386" s="11"/>
      <c r="O1386" s="11"/>
      <c r="P1386" s="11"/>
      <c r="Q1386" s="13"/>
    </row>
    <row r="1387">
      <c r="A1387" s="11"/>
      <c r="B1387" s="11"/>
      <c r="C1387" s="11"/>
      <c r="D1387" s="11"/>
      <c r="E1387" s="11"/>
      <c r="F1387" s="11"/>
      <c r="G1387" s="11"/>
      <c r="H1387" s="11"/>
      <c r="I1387" s="12"/>
      <c r="J1387" s="12"/>
      <c r="K1387" s="11"/>
      <c r="L1387" s="11"/>
      <c r="M1387" s="11"/>
      <c r="N1387" s="11"/>
      <c r="O1387" s="11"/>
      <c r="P1387" s="11"/>
      <c r="Q1387" s="13"/>
    </row>
    <row r="1388">
      <c r="A1388" s="11"/>
      <c r="B1388" s="11"/>
      <c r="C1388" s="11"/>
      <c r="D1388" s="11"/>
      <c r="E1388" s="11"/>
      <c r="F1388" s="11"/>
      <c r="G1388" s="11"/>
      <c r="H1388" s="11"/>
      <c r="I1388" s="12"/>
      <c r="J1388" s="12"/>
      <c r="K1388" s="11"/>
      <c r="L1388" s="11"/>
      <c r="M1388" s="11"/>
      <c r="N1388" s="11"/>
      <c r="O1388" s="11"/>
      <c r="P1388" s="11"/>
      <c r="Q1388" s="13"/>
    </row>
    <row r="1389">
      <c r="A1389" s="11"/>
      <c r="B1389" s="11"/>
      <c r="C1389" s="11"/>
      <c r="D1389" s="11"/>
      <c r="E1389" s="11"/>
      <c r="F1389" s="11"/>
      <c r="G1389" s="11"/>
      <c r="H1389" s="11"/>
      <c r="I1389" s="12"/>
      <c r="J1389" s="12"/>
      <c r="K1389" s="11"/>
      <c r="L1389" s="11"/>
      <c r="M1389" s="11"/>
      <c r="N1389" s="11"/>
      <c r="O1389" s="11"/>
      <c r="P1389" s="11"/>
      <c r="Q1389" s="13"/>
    </row>
    <row r="1390">
      <c r="A1390" s="11"/>
      <c r="B1390" s="11"/>
      <c r="C1390" s="11"/>
      <c r="D1390" s="11"/>
      <c r="E1390" s="11"/>
      <c r="F1390" s="11"/>
      <c r="G1390" s="11"/>
      <c r="H1390" s="11"/>
      <c r="I1390" s="12"/>
      <c r="J1390" s="12"/>
      <c r="K1390" s="11"/>
      <c r="L1390" s="11"/>
      <c r="M1390" s="11"/>
      <c r="N1390" s="11"/>
      <c r="O1390" s="11"/>
      <c r="P1390" s="11"/>
      <c r="Q1390" s="13"/>
    </row>
    <row r="1391">
      <c r="A1391" s="11"/>
      <c r="B1391" s="11"/>
      <c r="C1391" s="11"/>
      <c r="D1391" s="11"/>
      <c r="E1391" s="11"/>
      <c r="F1391" s="11"/>
      <c r="G1391" s="11"/>
      <c r="H1391" s="11"/>
      <c r="I1391" s="12"/>
      <c r="J1391" s="12"/>
      <c r="K1391" s="11"/>
      <c r="L1391" s="11"/>
      <c r="M1391" s="11"/>
      <c r="N1391" s="11"/>
      <c r="O1391" s="11"/>
      <c r="P1391" s="11"/>
      <c r="Q1391" s="13"/>
    </row>
    <row r="1392">
      <c r="A1392" s="11"/>
      <c r="B1392" s="11"/>
      <c r="C1392" s="11"/>
      <c r="D1392" s="11"/>
      <c r="E1392" s="11"/>
      <c r="F1392" s="11"/>
      <c r="G1392" s="11"/>
      <c r="H1392" s="11"/>
      <c r="I1392" s="12"/>
      <c r="J1392" s="12"/>
      <c r="K1392" s="11"/>
      <c r="L1392" s="11"/>
      <c r="M1392" s="11"/>
      <c r="N1392" s="11"/>
      <c r="O1392" s="11"/>
      <c r="P1392" s="11"/>
      <c r="Q1392" s="13"/>
    </row>
    <row r="1393">
      <c r="A1393" s="11"/>
      <c r="B1393" s="11"/>
      <c r="C1393" s="11"/>
      <c r="D1393" s="11"/>
      <c r="E1393" s="11"/>
      <c r="F1393" s="11"/>
      <c r="G1393" s="11"/>
      <c r="H1393" s="11"/>
      <c r="I1393" s="12"/>
      <c r="J1393" s="12"/>
      <c r="K1393" s="11"/>
      <c r="L1393" s="11"/>
      <c r="M1393" s="11"/>
      <c r="N1393" s="11"/>
      <c r="O1393" s="11"/>
      <c r="P1393" s="11"/>
      <c r="Q1393" s="13"/>
    </row>
    <row r="1394">
      <c r="A1394" s="11"/>
      <c r="B1394" s="11"/>
      <c r="C1394" s="11"/>
      <c r="D1394" s="11"/>
      <c r="E1394" s="11"/>
      <c r="F1394" s="11"/>
      <c r="G1394" s="11"/>
      <c r="H1394" s="11"/>
      <c r="I1394" s="12"/>
      <c r="J1394" s="12"/>
      <c r="K1394" s="11"/>
      <c r="L1394" s="11"/>
      <c r="M1394" s="11"/>
      <c r="N1394" s="11"/>
      <c r="O1394" s="11"/>
      <c r="P1394" s="11"/>
      <c r="Q1394" s="13"/>
    </row>
    <row r="1395">
      <c r="A1395" s="11"/>
      <c r="B1395" s="11"/>
      <c r="C1395" s="11"/>
      <c r="D1395" s="11"/>
      <c r="E1395" s="11"/>
      <c r="F1395" s="11"/>
      <c r="G1395" s="11"/>
      <c r="H1395" s="11"/>
      <c r="I1395" s="12"/>
      <c r="J1395" s="12"/>
      <c r="K1395" s="11"/>
      <c r="L1395" s="11"/>
      <c r="M1395" s="11"/>
      <c r="N1395" s="11"/>
      <c r="O1395" s="11"/>
      <c r="P1395" s="11"/>
      <c r="Q1395" s="13"/>
    </row>
    <row r="1396">
      <c r="A1396" s="11"/>
      <c r="B1396" s="11"/>
      <c r="C1396" s="11"/>
      <c r="D1396" s="11"/>
      <c r="E1396" s="11"/>
      <c r="F1396" s="11"/>
      <c r="G1396" s="11"/>
      <c r="H1396" s="11"/>
      <c r="I1396" s="12"/>
      <c r="J1396" s="12"/>
      <c r="K1396" s="11"/>
      <c r="L1396" s="11"/>
      <c r="M1396" s="11"/>
      <c r="N1396" s="11"/>
      <c r="O1396" s="11"/>
      <c r="P1396" s="11"/>
      <c r="Q1396" s="13"/>
    </row>
    <row r="1397">
      <c r="A1397" s="11"/>
      <c r="B1397" s="11"/>
      <c r="C1397" s="11"/>
      <c r="D1397" s="11"/>
      <c r="E1397" s="11"/>
      <c r="F1397" s="11"/>
      <c r="G1397" s="11"/>
      <c r="H1397" s="11"/>
      <c r="I1397" s="12"/>
      <c r="J1397" s="12"/>
      <c r="K1397" s="11"/>
      <c r="L1397" s="11"/>
      <c r="M1397" s="11"/>
      <c r="N1397" s="11"/>
      <c r="O1397" s="11"/>
      <c r="P1397" s="11"/>
      <c r="Q1397" s="13"/>
    </row>
    <row r="1398">
      <c r="A1398" s="11"/>
      <c r="B1398" s="11"/>
      <c r="C1398" s="11"/>
      <c r="D1398" s="11"/>
      <c r="E1398" s="11"/>
      <c r="F1398" s="11"/>
      <c r="G1398" s="11"/>
      <c r="H1398" s="11"/>
      <c r="I1398" s="12"/>
      <c r="J1398" s="12"/>
      <c r="K1398" s="11"/>
      <c r="L1398" s="11"/>
      <c r="M1398" s="11"/>
      <c r="N1398" s="11"/>
      <c r="O1398" s="11"/>
      <c r="P1398" s="11"/>
      <c r="Q1398" s="13"/>
    </row>
    <row r="1399">
      <c r="A1399" s="11"/>
      <c r="B1399" s="11"/>
      <c r="C1399" s="11"/>
      <c r="D1399" s="11"/>
      <c r="E1399" s="11"/>
      <c r="F1399" s="11"/>
      <c r="G1399" s="11"/>
      <c r="H1399" s="11"/>
      <c r="I1399" s="12"/>
      <c r="J1399" s="12"/>
      <c r="K1399" s="11"/>
      <c r="L1399" s="11"/>
      <c r="M1399" s="11"/>
      <c r="N1399" s="11"/>
      <c r="O1399" s="11"/>
      <c r="P1399" s="11"/>
      <c r="Q1399" s="13"/>
    </row>
    <row r="1400">
      <c r="A1400" s="11"/>
      <c r="B1400" s="11"/>
      <c r="C1400" s="11"/>
      <c r="D1400" s="11"/>
      <c r="E1400" s="11"/>
      <c r="F1400" s="11"/>
      <c r="G1400" s="11"/>
      <c r="H1400" s="11"/>
      <c r="I1400" s="12"/>
      <c r="J1400" s="12"/>
      <c r="K1400" s="11"/>
      <c r="L1400" s="11"/>
      <c r="M1400" s="11"/>
      <c r="N1400" s="11"/>
      <c r="O1400" s="11"/>
      <c r="P1400" s="11"/>
      <c r="Q1400" s="13"/>
    </row>
    <row r="1401">
      <c r="A1401" s="11"/>
      <c r="B1401" s="11"/>
      <c r="C1401" s="11"/>
      <c r="D1401" s="11"/>
      <c r="E1401" s="11"/>
      <c r="F1401" s="11"/>
      <c r="G1401" s="11"/>
      <c r="H1401" s="11"/>
      <c r="I1401" s="12"/>
      <c r="J1401" s="12"/>
      <c r="K1401" s="11"/>
      <c r="L1401" s="11"/>
      <c r="M1401" s="11"/>
      <c r="N1401" s="11"/>
      <c r="O1401" s="11"/>
      <c r="P1401" s="11"/>
      <c r="Q1401" s="13"/>
    </row>
    <row r="1402">
      <c r="A1402" s="11"/>
      <c r="B1402" s="11"/>
      <c r="C1402" s="11"/>
      <c r="D1402" s="11"/>
      <c r="E1402" s="11"/>
      <c r="F1402" s="11"/>
      <c r="G1402" s="11"/>
      <c r="H1402" s="11"/>
      <c r="I1402" s="12"/>
      <c r="J1402" s="12"/>
      <c r="K1402" s="11"/>
      <c r="L1402" s="11"/>
      <c r="M1402" s="11"/>
      <c r="N1402" s="11"/>
      <c r="O1402" s="11"/>
      <c r="P1402" s="11"/>
      <c r="Q1402" s="13"/>
    </row>
    <row r="1403">
      <c r="A1403" s="11"/>
      <c r="B1403" s="11"/>
      <c r="C1403" s="11"/>
      <c r="D1403" s="11"/>
      <c r="E1403" s="11"/>
      <c r="F1403" s="11"/>
      <c r="G1403" s="11"/>
      <c r="H1403" s="11"/>
      <c r="I1403" s="12"/>
      <c r="J1403" s="12"/>
      <c r="K1403" s="11"/>
      <c r="L1403" s="11"/>
      <c r="M1403" s="11"/>
      <c r="N1403" s="11"/>
      <c r="O1403" s="11"/>
      <c r="P1403" s="11"/>
      <c r="Q1403" s="13"/>
    </row>
    <row r="1404">
      <c r="A1404" s="11"/>
      <c r="B1404" s="11"/>
      <c r="C1404" s="11"/>
      <c r="D1404" s="11"/>
      <c r="E1404" s="11"/>
      <c r="F1404" s="11"/>
      <c r="G1404" s="11"/>
      <c r="H1404" s="11"/>
      <c r="I1404" s="12"/>
      <c r="J1404" s="12"/>
      <c r="K1404" s="11"/>
      <c r="L1404" s="11"/>
      <c r="M1404" s="11"/>
      <c r="N1404" s="11"/>
      <c r="O1404" s="11"/>
      <c r="P1404" s="11"/>
      <c r="Q1404" s="13"/>
    </row>
    <row r="1405">
      <c r="A1405" s="11"/>
      <c r="B1405" s="11"/>
      <c r="C1405" s="11"/>
      <c r="D1405" s="11"/>
      <c r="E1405" s="11"/>
      <c r="F1405" s="11"/>
      <c r="G1405" s="11"/>
      <c r="H1405" s="11"/>
      <c r="I1405" s="12"/>
      <c r="J1405" s="12"/>
      <c r="K1405" s="11"/>
      <c r="L1405" s="11"/>
      <c r="M1405" s="11"/>
      <c r="N1405" s="11"/>
      <c r="O1405" s="11"/>
      <c r="P1405" s="11"/>
      <c r="Q1405" s="13"/>
    </row>
    <row r="1406">
      <c r="A1406" s="11"/>
      <c r="B1406" s="11"/>
      <c r="C1406" s="11"/>
      <c r="D1406" s="11"/>
      <c r="E1406" s="11"/>
      <c r="F1406" s="11"/>
      <c r="G1406" s="11"/>
      <c r="H1406" s="11"/>
      <c r="I1406" s="12"/>
      <c r="J1406" s="12"/>
      <c r="K1406" s="11"/>
      <c r="L1406" s="11"/>
      <c r="M1406" s="11"/>
      <c r="N1406" s="11"/>
      <c r="O1406" s="11"/>
      <c r="P1406" s="11"/>
      <c r="Q1406" s="13"/>
    </row>
    <row r="1407">
      <c r="A1407" s="11"/>
      <c r="B1407" s="11"/>
      <c r="C1407" s="11"/>
      <c r="D1407" s="11"/>
      <c r="E1407" s="11"/>
      <c r="F1407" s="11"/>
      <c r="G1407" s="11"/>
      <c r="H1407" s="11"/>
      <c r="I1407" s="12"/>
      <c r="J1407" s="12"/>
      <c r="K1407" s="11"/>
      <c r="L1407" s="11"/>
      <c r="M1407" s="11"/>
      <c r="N1407" s="11"/>
      <c r="O1407" s="11"/>
      <c r="P1407" s="11"/>
      <c r="Q1407" s="13"/>
    </row>
    <row r="1408">
      <c r="A1408" s="11"/>
      <c r="B1408" s="11"/>
      <c r="C1408" s="11"/>
      <c r="D1408" s="11"/>
      <c r="E1408" s="11"/>
      <c r="F1408" s="11"/>
      <c r="G1408" s="11"/>
      <c r="H1408" s="11"/>
      <c r="I1408" s="12"/>
      <c r="J1408" s="12"/>
      <c r="K1408" s="11"/>
      <c r="L1408" s="11"/>
      <c r="M1408" s="11"/>
      <c r="N1408" s="11"/>
      <c r="O1408" s="11"/>
      <c r="P1408" s="11"/>
      <c r="Q1408" s="13"/>
    </row>
    <row r="1409">
      <c r="A1409" s="11"/>
      <c r="B1409" s="11"/>
      <c r="C1409" s="11"/>
      <c r="D1409" s="11"/>
      <c r="E1409" s="11"/>
      <c r="F1409" s="11"/>
      <c r="G1409" s="11"/>
      <c r="H1409" s="11"/>
      <c r="I1409" s="12"/>
      <c r="J1409" s="12"/>
      <c r="K1409" s="11"/>
      <c r="L1409" s="11"/>
      <c r="M1409" s="11"/>
      <c r="N1409" s="11"/>
      <c r="O1409" s="11"/>
      <c r="P1409" s="11"/>
      <c r="Q1409" s="13"/>
    </row>
    <row r="1410">
      <c r="A1410" s="11"/>
      <c r="B1410" s="11"/>
      <c r="C1410" s="11"/>
      <c r="D1410" s="11"/>
      <c r="E1410" s="11"/>
      <c r="F1410" s="11"/>
      <c r="G1410" s="11"/>
      <c r="H1410" s="11"/>
      <c r="I1410" s="12"/>
      <c r="J1410" s="12"/>
      <c r="K1410" s="11"/>
      <c r="L1410" s="11"/>
      <c r="M1410" s="11"/>
      <c r="N1410" s="11"/>
      <c r="O1410" s="11"/>
      <c r="P1410" s="11"/>
      <c r="Q1410" s="13"/>
    </row>
    <row r="1411">
      <c r="A1411" s="11"/>
      <c r="B1411" s="11"/>
      <c r="C1411" s="11"/>
      <c r="D1411" s="11"/>
      <c r="E1411" s="11"/>
      <c r="F1411" s="11"/>
      <c r="G1411" s="11"/>
      <c r="H1411" s="11"/>
      <c r="I1411" s="12"/>
      <c r="J1411" s="12"/>
      <c r="K1411" s="11"/>
      <c r="L1411" s="11"/>
      <c r="M1411" s="11"/>
      <c r="N1411" s="11"/>
      <c r="O1411" s="11"/>
      <c r="P1411" s="11"/>
      <c r="Q1411" s="13"/>
    </row>
    <row r="1412">
      <c r="A1412" s="11"/>
      <c r="B1412" s="11"/>
      <c r="C1412" s="11"/>
      <c r="D1412" s="11"/>
      <c r="E1412" s="11"/>
      <c r="F1412" s="11"/>
      <c r="G1412" s="11"/>
      <c r="H1412" s="11"/>
      <c r="I1412" s="12"/>
      <c r="J1412" s="12"/>
      <c r="K1412" s="11"/>
      <c r="L1412" s="11"/>
      <c r="M1412" s="11"/>
      <c r="N1412" s="11"/>
      <c r="O1412" s="11"/>
      <c r="P1412" s="11"/>
      <c r="Q1412" s="13"/>
    </row>
    <row r="1413">
      <c r="A1413" s="11"/>
      <c r="B1413" s="11"/>
      <c r="C1413" s="11"/>
      <c r="D1413" s="11"/>
      <c r="E1413" s="11"/>
      <c r="F1413" s="11"/>
      <c r="G1413" s="11"/>
      <c r="H1413" s="11"/>
      <c r="I1413" s="12"/>
      <c r="J1413" s="12"/>
      <c r="K1413" s="11"/>
      <c r="L1413" s="11"/>
      <c r="M1413" s="11"/>
      <c r="N1413" s="11"/>
      <c r="O1413" s="11"/>
      <c r="P1413" s="11"/>
      <c r="Q1413" s="13"/>
    </row>
    <row r="1414">
      <c r="A1414" s="11"/>
      <c r="B1414" s="11"/>
      <c r="C1414" s="11"/>
      <c r="D1414" s="11"/>
      <c r="E1414" s="11"/>
      <c r="F1414" s="11"/>
      <c r="G1414" s="11"/>
      <c r="H1414" s="11"/>
      <c r="I1414" s="12"/>
      <c r="J1414" s="12"/>
      <c r="K1414" s="11"/>
      <c r="L1414" s="11"/>
      <c r="M1414" s="11"/>
      <c r="N1414" s="11"/>
      <c r="O1414" s="11"/>
      <c r="P1414" s="11"/>
      <c r="Q1414" s="13"/>
    </row>
    <row r="1415">
      <c r="A1415" s="11"/>
      <c r="B1415" s="11"/>
      <c r="C1415" s="11"/>
      <c r="D1415" s="11"/>
      <c r="E1415" s="11"/>
      <c r="F1415" s="11"/>
      <c r="G1415" s="11"/>
      <c r="H1415" s="11"/>
      <c r="I1415" s="12"/>
      <c r="J1415" s="12"/>
      <c r="K1415" s="11"/>
      <c r="L1415" s="11"/>
      <c r="M1415" s="11"/>
      <c r="N1415" s="11"/>
      <c r="O1415" s="11"/>
      <c r="P1415" s="11"/>
      <c r="Q1415" s="13"/>
    </row>
    <row r="1416">
      <c r="A1416" s="11"/>
      <c r="B1416" s="11"/>
      <c r="C1416" s="11"/>
      <c r="D1416" s="11"/>
      <c r="E1416" s="11"/>
      <c r="F1416" s="11"/>
      <c r="G1416" s="11"/>
      <c r="H1416" s="11"/>
      <c r="I1416" s="12"/>
      <c r="J1416" s="12"/>
      <c r="K1416" s="11"/>
      <c r="L1416" s="11"/>
      <c r="M1416" s="11"/>
      <c r="N1416" s="11"/>
      <c r="O1416" s="11"/>
      <c r="P1416" s="11"/>
      <c r="Q1416" s="13"/>
    </row>
    <row r="1417">
      <c r="A1417" s="11"/>
      <c r="B1417" s="11"/>
      <c r="C1417" s="11"/>
      <c r="D1417" s="11"/>
      <c r="E1417" s="11"/>
      <c r="F1417" s="11"/>
      <c r="G1417" s="11"/>
      <c r="H1417" s="11"/>
      <c r="I1417" s="12"/>
      <c r="J1417" s="12"/>
      <c r="K1417" s="11"/>
      <c r="L1417" s="11"/>
      <c r="M1417" s="11"/>
      <c r="N1417" s="11"/>
      <c r="O1417" s="11"/>
      <c r="P1417" s="11"/>
      <c r="Q1417" s="13"/>
    </row>
    <row r="1418">
      <c r="A1418" s="11"/>
      <c r="B1418" s="11"/>
      <c r="C1418" s="11"/>
      <c r="D1418" s="11"/>
      <c r="E1418" s="11"/>
      <c r="F1418" s="11"/>
      <c r="G1418" s="11"/>
      <c r="H1418" s="11"/>
      <c r="I1418" s="12"/>
      <c r="J1418" s="12"/>
      <c r="K1418" s="11"/>
      <c r="L1418" s="11"/>
      <c r="M1418" s="11"/>
      <c r="N1418" s="11"/>
      <c r="O1418" s="11"/>
      <c r="P1418" s="11"/>
      <c r="Q1418" s="13"/>
    </row>
    <row r="1419">
      <c r="A1419" s="11"/>
      <c r="B1419" s="11"/>
      <c r="C1419" s="11"/>
      <c r="D1419" s="11"/>
      <c r="E1419" s="11"/>
      <c r="F1419" s="11"/>
      <c r="G1419" s="11"/>
      <c r="H1419" s="11"/>
      <c r="I1419" s="12"/>
      <c r="J1419" s="12"/>
      <c r="K1419" s="11"/>
      <c r="L1419" s="11"/>
      <c r="M1419" s="11"/>
      <c r="N1419" s="11"/>
      <c r="O1419" s="11"/>
      <c r="P1419" s="11"/>
      <c r="Q1419" s="13"/>
    </row>
    <row r="1420">
      <c r="A1420" s="11"/>
      <c r="B1420" s="11"/>
      <c r="C1420" s="11"/>
      <c r="D1420" s="11"/>
      <c r="E1420" s="11"/>
      <c r="F1420" s="11"/>
      <c r="G1420" s="11"/>
      <c r="H1420" s="11"/>
      <c r="I1420" s="12"/>
      <c r="J1420" s="12"/>
      <c r="K1420" s="11"/>
      <c r="L1420" s="11"/>
      <c r="M1420" s="11"/>
      <c r="N1420" s="11"/>
      <c r="O1420" s="11"/>
      <c r="P1420" s="11"/>
      <c r="Q1420" s="13"/>
    </row>
    <row r="1421">
      <c r="A1421" s="11"/>
      <c r="B1421" s="11"/>
      <c r="C1421" s="11"/>
      <c r="D1421" s="11"/>
      <c r="E1421" s="11"/>
      <c r="F1421" s="11"/>
      <c r="G1421" s="11"/>
      <c r="H1421" s="11"/>
      <c r="I1421" s="12"/>
      <c r="J1421" s="12"/>
      <c r="K1421" s="11"/>
      <c r="L1421" s="11"/>
      <c r="M1421" s="11"/>
      <c r="N1421" s="11"/>
      <c r="O1421" s="11"/>
      <c r="P1421" s="11"/>
      <c r="Q1421" s="13"/>
    </row>
    <row r="1422">
      <c r="A1422" s="11"/>
      <c r="B1422" s="11"/>
      <c r="C1422" s="11"/>
      <c r="D1422" s="11"/>
      <c r="E1422" s="11"/>
      <c r="F1422" s="11"/>
      <c r="G1422" s="11"/>
      <c r="H1422" s="11"/>
      <c r="I1422" s="12"/>
      <c r="J1422" s="12"/>
      <c r="K1422" s="11"/>
      <c r="L1422" s="11"/>
      <c r="M1422" s="11"/>
      <c r="N1422" s="11"/>
      <c r="O1422" s="11"/>
      <c r="P1422" s="11"/>
      <c r="Q1422" s="13"/>
    </row>
    <row r="1423">
      <c r="A1423" s="11"/>
      <c r="B1423" s="11"/>
      <c r="C1423" s="11"/>
      <c r="D1423" s="11"/>
      <c r="E1423" s="11"/>
      <c r="F1423" s="11"/>
      <c r="G1423" s="11"/>
      <c r="H1423" s="11"/>
      <c r="I1423" s="12"/>
      <c r="J1423" s="12"/>
      <c r="K1423" s="11"/>
      <c r="L1423" s="11"/>
      <c r="M1423" s="11"/>
      <c r="N1423" s="11"/>
      <c r="O1423" s="11"/>
      <c r="P1423" s="11"/>
      <c r="Q1423" s="13"/>
    </row>
    <row r="1424">
      <c r="A1424" s="11"/>
      <c r="B1424" s="11"/>
      <c r="C1424" s="11"/>
      <c r="D1424" s="11"/>
      <c r="E1424" s="11"/>
      <c r="F1424" s="11"/>
      <c r="G1424" s="11"/>
      <c r="H1424" s="11"/>
      <c r="I1424" s="12"/>
      <c r="J1424" s="12"/>
      <c r="K1424" s="11"/>
      <c r="L1424" s="11"/>
      <c r="M1424" s="11"/>
      <c r="N1424" s="11"/>
      <c r="O1424" s="11"/>
      <c r="P1424" s="11"/>
      <c r="Q1424" s="13"/>
    </row>
    <row r="1425">
      <c r="A1425" s="11"/>
      <c r="B1425" s="11"/>
      <c r="C1425" s="11"/>
      <c r="D1425" s="11"/>
      <c r="E1425" s="11"/>
      <c r="F1425" s="11"/>
      <c r="G1425" s="11"/>
      <c r="H1425" s="11"/>
      <c r="I1425" s="12"/>
      <c r="J1425" s="12"/>
      <c r="K1425" s="11"/>
      <c r="L1425" s="11"/>
      <c r="M1425" s="11"/>
      <c r="N1425" s="11"/>
      <c r="O1425" s="11"/>
      <c r="P1425" s="11"/>
      <c r="Q1425" s="13"/>
    </row>
    <row r="1426">
      <c r="A1426" s="11"/>
      <c r="B1426" s="11"/>
      <c r="C1426" s="11"/>
      <c r="D1426" s="11"/>
      <c r="E1426" s="11"/>
      <c r="F1426" s="11"/>
      <c r="G1426" s="11"/>
      <c r="H1426" s="11"/>
      <c r="I1426" s="12"/>
      <c r="J1426" s="12"/>
      <c r="K1426" s="11"/>
      <c r="L1426" s="11"/>
      <c r="M1426" s="11"/>
      <c r="N1426" s="11"/>
      <c r="O1426" s="11"/>
      <c r="P1426" s="11"/>
      <c r="Q1426" s="13"/>
    </row>
    <row r="1427">
      <c r="A1427" s="11"/>
      <c r="B1427" s="11"/>
      <c r="C1427" s="11"/>
      <c r="D1427" s="11"/>
      <c r="E1427" s="11"/>
      <c r="F1427" s="11"/>
      <c r="G1427" s="11"/>
      <c r="H1427" s="11"/>
      <c r="I1427" s="12"/>
      <c r="J1427" s="12"/>
      <c r="K1427" s="11"/>
      <c r="L1427" s="11"/>
      <c r="M1427" s="11"/>
      <c r="N1427" s="11"/>
      <c r="O1427" s="11"/>
      <c r="P1427" s="11"/>
      <c r="Q1427" s="13"/>
    </row>
    <row r="1428">
      <c r="A1428" s="11"/>
      <c r="B1428" s="11"/>
      <c r="C1428" s="11"/>
      <c r="D1428" s="11"/>
      <c r="E1428" s="11"/>
      <c r="F1428" s="11"/>
      <c r="G1428" s="11"/>
      <c r="H1428" s="11"/>
      <c r="I1428" s="12"/>
      <c r="J1428" s="12"/>
      <c r="K1428" s="11"/>
      <c r="L1428" s="11"/>
      <c r="M1428" s="11"/>
      <c r="N1428" s="11"/>
      <c r="O1428" s="11"/>
      <c r="P1428" s="11"/>
      <c r="Q1428" s="13"/>
    </row>
    <row r="1429">
      <c r="A1429" s="11"/>
      <c r="B1429" s="11"/>
      <c r="C1429" s="11"/>
      <c r="D1429" s="11"/>
      <c r="E1429" s="11"/>
      <c r="F1429" s="11"/>
      <c r="G1429" s="11"/>
      <c r="H1429" s="11"/>
      <c r="I1429" s="12"/>
      <c r="J1429" s="12"/>
      <c r="K1429" s="11"/>
      <c r="L1429" s="11"/>
      <c r="M1429" s="11"/>
      <c r="N1429" s="11"/>
      <c r="O1429" s="11"/>
      <c r="P1429" s="11"/>
      <c r="Q1429" s="13"/>
    </row>
    <row r="1430">
      <c r="A1430" s="11"/>
      <c r="B1430" s="11"/>
      <c r="C1430" s="11"/>
      <c r="D1430" s="11"/>
      <c r="E1430" s="11"/>
      <c r="F1430" s="11"/>
      <c r="G1430" s="11"/>
      <c r="H1430" s="11"/>
      <c r="I1430" s="12"/>
      <c r="J1430" s="12"/>
      <c r="K1430" s="11"/>
      <c r="L1430" s="11"/>
      <c r="M1430" s="11"/>
      <c r="N1430" s="11"/>
      <c r="O1430" s="11"/>
      <c r="P1430" s="11"/>
      <c r="Q1430" s="13"/>
    </row>
    <row r="1431">
      <c r="A1431" s="11"/>
      <c r="B1431" s="11"/>
      <c r="C1431" s="11"/>
      <c r="D1431" s="11"/>
      <c r="E1431" s="11"/>
      <c r="F1431" s="11"/>
      <c r="G1431" s="11"/>
      <c r="H1431" s="11"/>
      <c r="I1431" s="12"/>
      <c r="J1431" s="12"/>
      <c r="K1431" s="11"/>
      <c r="L1431" s="11"/>
      <c r="M1431" s="11"/>
      <c r="N1431" s="11"/>
      <c r="O1431" s="11"/>
      <c r="P1431" s="11"/>
      <c r="Q1431" s="13"/>
    </row>
    <row r="1432">
      <c r="A1432" s="11"/>
      <c r="B1432" s="11"/>
      <c r="C1432" s="11"/>
      <c r="D1432" s="11"/>
      <c r="E1432" s="11"/>
      <c r="F1432" s="11"/>
      <c r="G1432" s="11"/>
      <c r="H1432" s="11"/>
      <c r="I1432" s="12"/>
      <c r="J1432" s="12"/>
      <c r="K1432" s="11"/>
      <c r="L1432" s="11"/>
      <c r="M1432" s="11"/>
      <c r="N1432" s="11"/>
      <c r="O1432" s="11"/>
      <c r="P1432" s="11"/>
      <c r="Q1432" s="13"/>
    </row>
    <row r="1433">
      <c r="A1433" s="11"/>
      <c r="B1433" s="11"/>
      <c r="C1433" s="11"/>
      <c r="D1433" s="11"/>
      <c r="E1433" s="11"/>
      <c r="F1433" s="11"/>
      <c r="G1433" s="11"/>
      <c r="H1433" s="11"/>
      <c r="I1433" s="12"/>
      <c r="J1433" s="12"/>
      <c r="K1433" s="11"/>
      <c r="L1433" s="11"/>
      <c r="M1433" s="11"/>
      <c r="N1433" s="11"/>
      <c r="O1433" s="11"/>
      <c r="P1433" s="11"/>
      <c r="Q1433" s="13"/>
    </row>
    <row r="1434">
      <c r="A1434" s="11"/>
      <c r="B1434" s="11"/>
      <c r="C1434" s="11"/>
      <c r="D1434" s="11"/>
      <c r="E1434" s="11"/>
      <c r="F1434" s="11"/>
      <c r="G1434" s="11"/>
      <c r="H1434" s="11"/>
      <c r="I1434" s="12"/>
      <c r="J1434" s="12"/>
      <c r="K1434" s="11"/>
      <c r="L1434" s="11"/>
      <c r="M1434" s="11"/>
      <c r="N1434" s="11"/>
      <c r="O1434" s="11"/>
      <c r="P1434" s="11"/>
      <c r="Q1434" s="13"/>
    </row>
    <row r="1435">
      <c r="A1435" s="11"/>
      <c r="B1435" s="11"/>
      <c r="C1435" s="11"/>
      <c r="D1435" s="11"/>
      <c r="E1435" s="11"/>
      <c r="F1435" s="11"/>
      <c r="G1435" s="11"/>
      <c r="H1435" s="11"/>
      <c r="I1435" s="12"/>
      <c r="J1435" s="12"/>
      <c r="K1435" s="11"/>
      <c r="L1435" s="11"/>
      <c r="M1435" s="11"/>
      <c r="N1435" s="11"/>
      <c r="O1435" s="11"/>
      <c r="P1435" s="11"/>
      <c r="Q1435" s="13"/>
    </row>
    <row r="1436">
      <c r="A1436" s="11"/>
      <c r="B1436" s="11"/>
      <c r="C1436" s="11"/>
      <c r="D1436" s="11"/>
      <c r="E1436" s="11"/>
      <c r="F1436" s="11"/>
      <c r="G1436" s="11"/>
      <c r="H1436" s="11"/>
      <c r="I1436" s="12"/>
      <c r="J1436" s="12"/>
      <c r="K1436" s="11"/>
      <c r="L1436" s="11"/>
      <c r="M1436" s="11"/>
      <c r="N1436" s="11"/>
      <c r="O1436" s="11"/>
      <c r="P1436" s="11"/>
      <c r="Q1436" s="13"/>
    </row>
    <row r="1437">
      <c r="A1437" s="11"/>
      <c r="B1437" s="11"/>
      <c r="C1437" s="11"/>
      <c r="D1437" s="11"/>
      <c r="E1437" s="11"/>
      <c r="F1437" s="11"/>
      <c r="G1437" s="11"/>
      <c r="H1437" s="11"/>
      <c r="I1437" s="12"/>
      <c r="J1437" s="12"/>
      <c r="K1437" s="11"/>
      <c r="L1437" s="11"/>
      <c r="M1437" s="11"/>
      <c r="N1437" s="11"/>
      <c r="O1437" s="11"/>
      <c r="P1437" s="11"/>
      <c r="Q1437" s="13"/>
    </row>
    <row r="1438">
      <c r="A1438" s="11"/>
      <c r="B1438" s="11"/>
      <c r="C1438" s="11"/>
      <c r="D1438" s="11"/>
      <c r="E1438" s="11"/>
      <c r="F1438" s="11"/>
      <c r="G1438" s="11"/>
      <c r="H1438" s="11"/>
      <c r="I1438" s="12"/>
      <c r="J1438" s="12"/>
      <c r="K1438" s="11"/>
      <c r="L1438" s="11"/>
      <c r="M1438" s="11"/>
      <c r="N1438" s="11"/>
      <c r="O1438" s="11"/>
      <c r="P1438" s="11"/>
      <c r="Q1438" s="13"/>
    </row>
    <row r="1439">
      <c r="A1439" s="11"/>
      <c r="B1439" s="11"/>
      <c r="C1439" s="11"/>
      <c r="D1439" s="11"/>
      <c r="E1439" s="11"/>
      <c r="F1439" s="11"/>
      <c r="G1439" s="11"/>
      <c r="H1439" s="11"/>
      <c r="I1439" s="12"/>
      <c r="J1439" s="12"/>
      <c r="K1439" s="11"/>
      <c r="L1439" s="11"/>
      <c r="M1439" s="11"/>
      <c r="N1439" s="11"/>
      <c r="O1439" s="11"/>
      <c r="P1439" s="11"/>
      <c r="Q1439" s="13"/>
    </row>
    <row r="1440">
      <c r="A1440" s="11"/>
      <c r="B1440" s="11"/>
      <c r="C1440" s="11"/>
      <c r="D1440" s="11"/>
      <c r="E1440" s="11"/>
      <c r="F1440" s="11"/>
      <c r="G1440" s="11"/>
      <c r="H1440" s="11"/>
      <c r="I1440" s="12"/>
      <c r="J1440" s="12"/>
      <c r="K1440" s="11"/>
      <c r="L1440" s="11"/>
      <c r="M1440" s="11"/>
      <c r="N1440" s="11"/>
      <c r="O1440" s="11"/>
      <c r="P1440" s="11"/>
      <c r="Q1440" s="13"/>
    </row>
    <row r="1441">
      <c r="A1441" s="11"/>
      <c r="B1441" s="11"/>
      <c r="C1441" s="11"/>
      <c r="D1441" s="11"/>
      <c r="E1441" s="11"/>
      <c r="F1441" s="11"/>
      <c r="G1441" s="11"/>
      <c r="H1441" s="11"/>
      <c r="I1441" s="12"/>
      <c r="J1441" s="12"/>
      <c r="K1441" s="11"/>
      <c r="L1441" s="11"/>
      <c r="M1441" s="11"/>
      <c r="N1441" s="11"/>
      <c r="O1441" s="11"/>
      <c r="P1441" s="11"/>
      <c r="Q1441" s="13"/>
    </row>
    <row r="1442">
      <c r="A1442" s="11"/>
      <c r="B1442" s="11"/>
      <c r="C1442" s="11"/>
      <c r="D1442" s="11"/>
      <c r="E1442" s="11"/>
      <c r="F1442" s="11"/>
      <c r="G1442" s="11"/>
      <c r="H1442" s="11"/>
      <c r="I1442" s="12"/>
      <c r="J1442" s="12"/>
      <c r="K1442" s="11"/>
      <c r="L1442" s="11"/>
      <c r="M1442" s="11"/>
      <c r="N1442" s="11"/>
      <c r="O1442" s="11"/>
      <c r="P1442" s="11"/>
      <c r="Q1442" s="13"/>
    </row>
    <row r="1443">
      <c r="A1443" s="11"/>
      <c r="B1443" s="11"/>
      <c r="C1443" s="11"/>
      <c r="D1443" s="11"/>
      <c r="E1443" s="11"/>
      <c r="F1443" s="11"/>
      <c r="G1443" s="11"/>
      <c r="H1443" s="11"/>
      <c r="I1443" s="12"/>
      <c r="J1443" s="12"/>
      <c r="K1443" s="11"/>
      <c r="L1443" s="11"/>
      <c r="M1443" s="11"/>
      <c r="N1443" s="11"/>
      <c r="O1443" s="11"/>
      <c r="P1443" s="11"/>
      <c r="Q1443" s="13"/>
    </row>
    <row r="1444">
      <c r="A1444" s="11"/>
      <c r="B1444" s="11"/>
      <c r="C1444" s="11"/>
      <c r="D1444" s="11"/>
      <c r="E1444" s="11"/>
      <c r="F1444" s="11"/>
      <c r="G1444" s="11"/>
      <c r="H1444" s="11"/>
      <c r="I1444" s="12"/>
      <c r="J1444" s="12"/>
      <c r="K1444" s="11"/>
      <c r="L1444" s="11"/>
      <c r="M1444" s="11"/>
      <c r="N1444" s="11"/>
      <c r="O1444" s="11"/>
      <c r="P1444" s="11"/>
      <c r="Q1444" s="13"/>
    </row>
    <row r="1445">
      <c r="A1445" s="11"/>
      <c r="B1445" s="11"/>
      <c r="C1445" s="11"/>
      <c r="D1445" s="11"/>
      <c r="E1445" s="11"/>
      <c r="F1445" s="11"/>
      <c r="G1445" s="11"/>
      <c r="H1445" s="11"/>
      <c r="I1445" s="12"/>
      <c r="J1445" s="12"/>
      <c r="K1445" s="11"/>
      <c r="L1445" s="11"/>
      <c r="M1445" s="11"/>
      <c r="N1445" s="11"/>
      <c r="O1445" s="11"/>
      <c r="P1445" s="11"/>
      <c r="Q1445" s="13"/>
    </row>
    <row r="1446">
      <c r="A1446" s="11"/>
      <c r="B1446" s="11"/>
      <c r="C1446" s="11"/>
      <c r="D1446" s="11"/>
      <c r="E1446" s="11"/>
      <c r="F1446" s="11"/>
      <c r="G1446" s="11"/>
      <c r="H1446" s="11"/>
      <c r="I1446" s="12"/>
      <c r="J1446" s="12"/>
      <c r="K1446" s="11"/>
      <c r="L1446" s="11"/>
      <c r="M1446" s="11"/>
      <c r="N1446" s="11"/>
      <c r="O1446" s="11"/>
      <c r="P1446" s="11"/>
      <c r="Q1446" s="13"/>
    </row>
    <row r="1447">
      <c r="A1447" s="11"/>
      <c r="B1447" s="11"/>
      <c r="C1447" s="11"/>
      <c r="D1447" s="11"/>
      <c r="E1447" s="11"/>
      <c r="F1447" s="11"/>
      <c r="G1447" s="11"/>
      <c r="H1447" s="11"/>
      <c r="I1447" s="12"/>
      <c r="J1447" s="12"/>
      <c r="K1447" s="11"/>
      <c r="L1447" s="11"/>
      <c r="M1447" s="11"/>
      <c r="N1447" s="11"/>
      <c r="O1447" s="11"/>
      <c r="P1447" s="11"/>
      <c r="Q1447" s="13"/>
    </row>
    <row r="1448">
      <c r="A1448" s="11"/>
      <c r="B1448" s="11"/>
      <c r="C1448" s="11"/>
      <c r="D1448" s="11"/>
      <c r="E1448" s="11"/>
      <c r="F1448" s="11"/>
      <c r="G1448" s="11"/>
      <c r="H1448" s="11"/>
      <c r="I1448" s="12"/>
      <c r="J1448" s="12"/>
      <c r="K1448" s="11"/>
      <c r="L1448" s="11"/>
      <c r="M1448" s="11"/>
      <c r="N1448" s="11"/>
      <c r="O1448" s="11"/>
      <c r="P1448" s="11"/>
      <c r="Q1448" s="13"/>
    </row>
    <row r="1449">
      <c r="A1449" s="11"/>
      <c r="B1449" s="11"/>
      <c r="C1449" s="11"/>
      <c r="D1449" s="11"/>
      <c r="E1449" s="11"/>
      <c r="F1449" s="11"/>
      <c r="G1449" s="11"/>
      <c r="H1449" s="11"/>
      <c r="I1449" s="12"/>
      <c r="J1449" s="12"/>
      <c r="K1449" s="11"/>
      <c r="L1449" s="11"/>
      <c r="M1449" s="11"/>
      <c r="N1449" s="11"/>
      <c r="O1449" s="11"/>
      <c r="P1449" s="11"/>
      <c r="Q1449" s="13"/>
    </row>
    <row r="1450">
      <c r="A1450" s="11"/>
      <c r="B1450" s="11"/>
      <c r="C1450" s="11"/>
      <c r="D1450" s="11"/>
      <c r="E1450" s="11"/>
      <c r="F1450" s="11"/>
      <c r="G1450" s="11"/>
      <c r="H1450" s="11"/>
      <c r="I1450" s="12"/>
      <c r="J1450" s="12"/>
      <c r="K1450" s="11"/>
      <c r="L1450" s="11"/>
      <c r="M1450" s="11"/>
      <c r="N1450" s="11"/>
      <c r="O1450" s="11"/>
      <c r="P1450" s="11"/>
      <c r="Q1450" s="13"/>
    </row>
    <row r="1451">
      <c r="A1451" s="11"/>
      <c r="B1451" s="11"/>
      <c r="C1451" s="11"/>
      <c r="D1451" s="11"/>
      <c r="E1451" s="11"/>
      <c r="F1451" s="11"/>
      <c r="G1451" s="11"/>
      <c r="H1451" s="11"/>
      <c r="I1451" s="12"/>
      <c r="J1451" s="12"/>
      <c r="K1451" s="11"/>
      <c r="L1451" s="11"/>
      <c r="M1451" s="11"/>
      <c r="N1451" s="11"/>
      <c r="O1451" s="11"/>
      <c r="P1451" s="11"/>
      <c r="Q1451" s="13"/>
    </row>
    <row r="1452">
      <c r="A1452" s="11"/>
      <c r="B1452" s="11"/>
      <c r="C1452" s="11"/>
      <c r="D1452" s="11"/>
      <c r="E1452" s="11"/>
      <c r="F1452" s="11"/>
      <c r="G1452" s="11"/>
      <c r="H1452" s="11"/>
      <c r="I1452" s="12"/>
      <c r="J1452" s="12"/>
      <c r="K1452" s="11"/>
      <c r="L1452" s="11"/>
      <c r="M1452" s="11"/>
      <c r="N1452" s="11"/>
      <c r="O1452" s="11"/>
      <c r="P1452" s="11"/>
      <c r="Q1452" s="13"/>
    </row>
    <row r="1453">
      <c r="A1453" s="11"/>
      <c r="B1453" s="11"/>
      <c r="C1453" s="11"/>
      <c r="D1453" s="11"/>
      <c r="E1453" s="11"/>
      <c r="F1453" s="11"/>
      <c r="G1453" s="11"/>
      <c r="H1453" s="11"/>
      <c r="I1453" s="12"/>
      <c r="J1453" s="12"/>
      <c r="K1453" s="11"/>
      <c r="L1453" s="11"/>
      <c r="M1453" s="11"/>
      <c r="N1453" s="11"/>
      <c r="O1453" s="11"/>
      <c r="P1453" s="11"/>
      <c r="Q1453" s="13"/>
    </row>
    <row r="1454">
      <c r="A1454" s="11"/>
      <c r="B1454" s="11"/>
      <c r="C1454" s="11"/>
      <c r="D1454" s="11"/>
      <c r="E1454" s="11"/>
      <c r="F1454" s="11"/>
      <c r="G1454" s="11"/>
      <c r="H1454" s="11"/>
      <c r="I1454" s="12"/>
      <c r="J1454" s="12"/>
      <c r="K1454" s="11"/>
      <c r="L1454" s="11"/>
      <c r="M1454" s="11"/>
      <c r="N1454" s="11"/>
      <c r="O1454" s="11"/>
      <c r="P1454" s="11"/>
      <c r="Q1454" s="13"/>
    </row>
    <row r="1455">
      <c r="A1455" s="11"/>
      <c r="B1455" s="11"/>
      <c r="C1455" s="11"/>
      <c r="D1455" s="11"/>
      <c r="E1455" s="11"/>
      <c r="F1455" s="11"/>
      <c r="G1455" s="11"/>
      <c r="H1455" s="11"/>
      <c r="I1455" s="12"/>
      <c r="J1455" s="12"/>
      <c r="K1455" s="11"/>
      <c r="L1455" s="11"/>
      <c r="M1455" s="11"/>
      <c r="N1455" s="11"/>
      <c r="O1455" s="11"/>
      <c r="P1455" s="11"/>
      <c r="Q1455" s="13"/>
    </row>
    <row r="1456">
      <c r="A1456" s="11"/>
      <c r="B1456" s="11"/>
      <c r="C1456" s="11"/>
      <c r="D1456" s="11"/>
      <c r="E1456" s="11"/>
      <c r="F1456" s="11"/>
      <c r="G1456" s="11"/>
      <c r="H1456" s="11"/>
      <c r="I1456" s="12"/>
      <c r="J1456" s="12"/>
      <c r="K1456" s="11"/>
      <c r="L1456" s="11"/>
      <c r="M1456" s="11"/>
      <c r="N1456" s="11"/>
      <c r="O1456" s="11"/>
      <c r="P1456" s="11"/>
      <c r="Q1456" s="13"/>
    </row>
    <row r="1457">
      <c r="A1457" s="11"/>
      <c r="B1457" s="11"/>
      <c r="C1457" s="11"/>
      <c r="D1457" s="11"/>
      <c r="E1457" s="11"/>
      <c r="F1457" s="11"/>
      <c r="G1457" s="11"/>
      <c r="H1457" s="11"/>
      <c r="I1457" s="12"/>
      <c r="J1457" s="12"/>
      <c r="K1457" s="11"/>
      <c r="L1457" s="11"/>
      <c r="M1457" s="11"/>
      <c r="N1457" s="11"/>
      <c r="O1457" s="11"/>
      <c r="P1457" s="11"/>
      <c r="Q1457" s="13"/>
    </row>
    <row r="1458">
      <c r="A1458" s="11"/>
      <c r="B1458" s="11"/>
      <c r="C1458" s="11"/>
      <c r="D1458" s="11"/>
      <c r="E1458" s="11"/>
      <c r="F1458" s="11"/>
      <c r="G1458" s="11"/>
      <c r="H1458" s="11"/>
      <c r="I1458" s="12"/>
      <c r="J1458" s="12"/>
      <c r="K1458" s="11"/>
      <c r="L1458" s="11"/>
      <c r="M1458" s="11"/>
      <c r="N1458" s="11"/>
      <c r="O1458" s="11"/>
      <c r="P1458" s="11"/>
      <c r="Q1458" s="13"/>
    </row>
    <row r="1459">
      <c r="A1459" s="11"/>
      <c r="B1459" s="11"/>
      <c r="C1459" s="11"/>
      <c r="D1459" s="11"/>
      <c r="E1459" s="11"/>
      <c r="F1459" s="11"/>
      <c r="G1459" s="11"/>
      <c r="H1459" s="11"/>
      <c r="I1459" s="12"/>
      <c r="J1459" s="12"/>
      <c r="K1459" s="11"/>
      <c r="L1459" s="11"/>
      <c r="M1459" s="11"/>
      <c r="N1459" s="11"/>
      <c r="O1459" s="11"/>
      <c r="P1459" s="11"/>
      <c r="Q1459" s="13"/>
    </row>
    <row r="1460">
      <c r="A1460" s="11"/>
      <c r="B1460" s="11"/>
      <c r="C1460" s="11"/>
      <c r="D1460" s="11"/>
      <c r="E1460" s="11"/>
      <c r="F1460" s="11"/>
      <c r="G1460" s="11"/>
      <c r="H1460" s="11"/>
      <c r="I1460" s="12"/>
      <c r="J1460" s="12"/>
      <c r="K1460" s="11"/>
      <c r="L1460" s="11"/>
      <c r="M1460" s="11"/>
      <c r="N1460" s="11"/>
      <c r="O1460" s="11"/>
      <c r="P1460" s="11"/>
      <c r="Q1460" s="13"/>
    </row>
    <row r="1461">
      <c r="A1461" s="11"/>
      <c r="B1461" s="11"/>
      <c r="C1461" s="11"/>
      <c r="D1461" s="11"/>
      <c r="E1461" s="11"/>
      <c r="F1461" s="11"/>
      <c r="G1461" s="11"/>
      <c r="H1461" s="11"/>
      <c r="I1461" s="12"/>
      <c r="J1461" s="12"/>
      <c r="K1461" s="11"/>
      <c r="L1461" s="11"/>
      <c r="M1461" s="11"/>
      <c r="N1461" s="11"/>
      <c r="O1461" s="11"/>
      <c r="P1461" s="11"/>
      <c r="Q1461" s="13"/>
    </row>
    <row r="1462">
      <c r="A1462" s="11"/>
      <c r="B1462" s="11"/>
      <c r="C1462" s="11"/>
      <c r="D1462" s="11"/>
      <c r="E1462" s="11"/>
      <c r="F1462" s="11"/>
      <c r="G1462" s="11"/>
      <c r="H1462" s="11"/>
      <c r="I1462" s="12"/>
      <c r="J1462" s="12"/>
      <c r="K1462" s="11"/>
      <c r="L1462" s="11"/>
      <c r="M1462" s="11"/>
      <c r="N1462" s="11"/>
      <c r="O1462" s="11"/>
      <c r="P1462" s="11"/>
      <c r="Q1462" s="13"/>
    </row>
    <row r="1463">
      <c r="A1463" s="11"/>
      <c r="B1463" s="11"/>
      <c r="C1463" s="11"/>
      <c r="D1463" s="11"/>
      <c r="E1463" s="11"/>
      <c r="F1463" s="11"/>
      <c r="G1463" s="11"/>
      <c r="H1463" s="11"/>
      <c r="I1463" s="12"/>
      <c r="J1463" s="12"/>
      <c r="K1463" s="11"/>
      <c r="L1463" s="11"/>
      <c r="M1463" s="11"/>
      <c r="N1463" s="11"/>
      <c r="O1463" s="11"/>
      <c r="P1463" s="11"/>
      <c r="Q1463" s="13"/>
    </row>
    <row r="1464">
      <c r="A1464" s="11"/>
      <c r="B1464" s="11"/>
      <c r="C1464" s="11"/>
      <c r="D1464" s="11"/>
      <c r="E1464" s="11"/>
      <c r="F1464" s="11"/>
      <c r="G1464" s="11"/>
      <c r="H1464" s="11"/>
      <c r="I1464" s="12"/>
      <c r="J1464" s="12"/>
      <c r="K1464" s="11"/>
      <c r="L1464" s="11"/>
      <c r="M1464" s="11"/>
      <c r="N1464" s="11"/>
      <c r="O1464" s="11"/>
      <c r="P1464" s="11"/>
      <c r="Q1464" s="13"/>
    </row>
    <row r="1465">
      <c r="A1465" s="11"/>
      <c r="B1465" s="11"/>
      <c r="C1465" s="11"/>
      <c r="D1465" s="11"/>
      <c r="E1465" s="11"/>
      <c r="F1465" s="11"/>
      <c r="G1465" s="11"/>
      <c r="H1465" s="11"/>
      <c r="I1465" s="12"/>
      <c r="J1465" s="12"/>
      <c r="K1465" s="11"/>
      <c r="L1465" s="11"/>
      <c r="M1465" s="11"/>
      <c r="N1465" s="11"/>
      <c r="O1465" s="11"/>
      <c r="P1465" s="11"/>
      <c r="Q1465" s="13"/>
    </row>
    <row r="1466">
      <c r="A1466" s="11"/>
      <c r="B1466" s="11"/>
      <c r="C1466" s="11"/>
      <c r="D1466" s="11"/>
      <c r="E1466" s="11"/>
      <c r="F1466" s="11"/>
      <c r="G1466" s="11"/>
      <c r="H1466" s="11"/>
      <c r="I1466" s="12"/>
      <c r="J1466" s="12"/>
      <c r="K1466" s="11"/>
      <c r="L1466" s="11"/>
      <c r="M1466" s="11"/>
      <c r="N1466" s="11"/>
      <c r="O1466" s="11"/>
      <c r="P1466" s="11"/>
      <c r="Q1466" s="13"/>
    </row>
    <row r="1467">
      <c r="A1467" s="11"/>
      <c r="B1467" s="11"/>
      <c r="C1467" s="11"/>
      <c r="D1467" s="11"/>
      <c r="E1467" s="11"/>
      <c r="F1467" s="11"/>
      <c r="G1467" s="11"/>
      <c r="H1467" s="11"/>
      <c r="I1467" s="12"/>
      <c r="J1467" s="12"/>
      <c r="K1467" s="11"/>
      <c r="L1467" s="11"/>
      <c r="M1467" s="11"/>
      <c r="N1467" s="11"/>
      <c r="O1467" s="11"/>
      <c r="P1467" s="11"/>
      <c r="Q1467" s="13"/>
    </row>
    <row r="1468">
      <c r="A1468" s="11"/>
      <c r="B1468" s="11"/>
      <c r="C1468" s="11"/>
      <c r="D1468" s="11"/>
      <c r="E1468" s="11"/>
      <c r="F1468" s="11"/>
      <c r="G1468" s="11"/>
      <c r="H1468" s="11"/>
      <c r="I1468" s="12"/>
      <c r="J1468" s="12"/>
      <c r="K1468" s="11"/>
      <c r="L1468" s="11"/>
      <c r="M1468" s="11"/>
      <c r="N1468" s="11"/>
      <c r="O1468" s="11"/>
      <c r="P1468" s="11"/>
      <c r="Q1468" s="13"/>
    </row>
    <row r="1469">
      <c r="A1469" s="11"/>
      <c r="B1469" s="11"/>
      <c r="C1469" s="11"/>
      <c r="D1469" s="11"/>
      <c r="E1469" s="11"/>
      <c r="F1469" s="11"/>
      <c r="G1469" s="11"/>
      <c r="H1469" s="11"/>
      <c r="I1469" s="12"/>
      <c r="J1469" s="12"/>
      <c r="K1469" s="11"/>
      <c r="L1469" s="11"/>
      <c r="M1469" s="11"/>
      <c r="N1469" s="11"/>
      <c r="O1469" s="11"/>
      <c r="P1469" s="11"/>
      <c r="Q1469" s="13"/>
    </row>
    <row r="1470">
      <c r="A1470" s="11"/>
      <c r="B1470" s="11"/>
      <c r="C1470" s="11"/>
      <c r="D1470" s="11"/>
      <c r="E1470" s="11"/>
      <c r="F1470" s="11"/>
      <c r="G1470" s="11"/>
      <c r="H1470" s="11"/>
      <c r="I1470" s="12"/>
      <c r="J1470" s="12"/>
      <c r="K1470" s="11"/>
      <c r="L1470" s="11"/>
      <c r="M1470" s="11"/>
      <c r="N1470" s="11"/>
      <c r="O1470" s="11"/>
      <c r="P1470" s="11"/>
      <c r="Q1470" s="13"/>
    </row>
    <row r="1471">
      <c r="A1471" s="11"/>
      <c r="B1471" s="11"/>
      <c r="C1471" s="11"/>
      <c r="D1471" s="11"/>
      <c r="E1471" s="11"/>
      <c r="F1471" s="11"/>
      <c r="G1471" s="11"/>
      <c r="H1471" s="11"/>
      <c r="I1471" s="12"/>
      <c r="J1471" s="12"/>
      <c r="K1471" s="11"/>
      <c r="L1471" s="11"/>
      <c r="M1471" s="11"/>
      <c r="N1471" s="11"/>
      <c r="O1471" s="11"/>
      <c r="P1471" s="11"/>
      <c r="Q1471" s="13"/>
    </row>
    <row r="1472">
      <c r="A1472" s="11"/>
      <c r="B1472" s="11"/>
      <c r="C1472" s="11"/>
      <c r="D1472" s="11"/>
      <c r="E1472" s="11"/>
      <c r="F1472" s="11"/>
      <c r="G1472" s="11"/>
      <c r="H1472" s="11"/>
      <c r="I1472" s="12"/>
      <c r="J1472" s="12"/>
      <c r="K1472" s="11"/>
      <c r="L1472" s="11"/>
      <c r="M1472" s="11"/>
      <c r="N1472" s="11"/>
      <c r="O1472" s="11"/>
      <c r="P1472" s="11"/>
      <c r="Q1472" s="13"/>
    </row>
    <row r="1473">
      <c r="A1473" s="11"/>
      <c r="B1473" s="11"/>
      <c r="C1473" s="11"/>
      <c r="D1473" s="11"/>
      <c r="E1473" s="11"/>
      <c r="F1473" s="11"/>
      <c r="G1473" s="11"/>
      <c r="H1473" s="11"/>
      <c r="I1473" s="12"/>
      <c r="J1473" s="12"/>
      <c r="K1473" s="11"/>
      <c r="L1473" s="11"/>
      <c r="M1473" s="11"/>
      <c r="N1473" s="11"/>
      <c r="O1473" s="11"/>
      <c r="P1473" s="11"/>
      <c r="Q1473" s="13"/>
    </row>
    <row r="1474">
      <c r="A1474" s="11"/>
      <c r="B1474" s="11"/>
      <c r="C1474" s="11"/>
      <c r="D1474" s="11"/>
      <c r="E1474" s="11"/>
      <c r="F1474" s="11"/>
      <c r="G1474" s="11"/>
      <c r="H1474" s="11"/>
      <c r="I1474" s="12"/>
      <c r="J1474" s="12"/>
      <c r="K1474" s="11"/>
      <c r="L1474" s="11"/>
      <c r="M1474" s="11"/>
      <c r="N1474" s="11"/>
      <c r="O1474" s="11"/>
      <c r="P1474" s="11"/>
      <c r="Q1474" s="13"/>
    </row>
    <row r="1475">
      <c r="A1475" s="11"/>
      <c r="B1475" s="11"/>
      <c r="C1475" s="11"/>
      <c r="D1475" s="11"/>
      <c r="E1475" s="11"/>
      <c r="F1475" s="11"/>
      <c r="G1475" s="11"/>
      <c r="H1475" s="11"/>
      <c r="I1475" s="12"/>
      <c r="J1475" s="12"/>
      <c r="K1475" s="11"/>
      <c r="L1475" s="11"/>
      <c r="M1475" s="11"/>
      <c r="N1475" s="11"/>
      <c r="O1475" s="11"/>
      <c r="P1475" s="11"/>
      <c r="Q1475" s="13"/>
    </row>
    <row r="1476">
      <c r="A1476" s="11"/>
      <c r="B1476" s="11"/>
      <c r="C1476" s="11"/>
      <c r="D1476" s="11"/>
      <c r="E1476" s="11"/>
      <c r="F1476" s="11"/>
      <c r="G1476" s="11"/>
      <c r="H1476" s="11"/>
      <c r="I1476" s="12"/>
      <c r="J1476" s="12"/>
      <c r="K1476" s="11"/>
      <c r="L1476" s="11"/>
      <c r="M1476" s="11"/>
      <c r="N1476" s="11"/>
      <c r="O1476" s="11"/>
      <c r="P1476" s="11"/>
      <c r="Q1476" s="13"/>
    </row>
    <row r="1477">
      <c r="A1477" s="11"/>
      <c r="B1477" s="11"/>
      <c r="C1477" s="11"/>
      <c r="D1477" s="11"/>
      <c r="E1477" s="11"/>
      <c r="F1477" s="11"/>
      <c r="G1477" s="11"/>
      <c r="H1477" s="11"/>
      <c r="I1477" s="12"/>
      <c r="J1477" s="12"/>
      <c r="K1477" s="11"/>
      <c r="L1477" s="11"/>
      <c r="M1477" s="11"/>
      <c r="N1477" s="11"/>
      <c r="O1477" s="11"/>
      <c r="P1477" s="11"/>
      <c r="Q1477" s="13"/>
    </row>
    <row r="1478">
      <c r="A1478" s="11"/>
      <c r="B1478" s="11"/>
      <c r="C1478" s="11"/>
      <c r="D1478" s="11"/>
      <c r="E1478" s="11"/>
      <c r="F1478" s="11"/>
      <c r="G1478" s="11"/>
      <c r="H1478" s="11"/>
      <c r="I1478" s="12"/>
      <c r="J1478" s="12"/>
      <c r="K1478" s="11"/>
      <c r="L1478" s="11"/>
      <c r="M1478" s="11"/>
      <c r="N1478" s="11"/>
      <c r="O1478" s="11"/>
      <c r="P1478" s="11"/>
      <c r="Q1478" s="13"/>
    </row>
    <row r="1479">
      <c r="A1479" s="11"/>
      <c r="B1479" s="11"/>
      <c r="C1479" s="11"/>
      <c r="D1479" s="11"/>
      <c r="E1479" s="11"/>
      <c r="F1479" s="11"/>
      <c r="G1479" s="11"/>
      <c r="H1479" s="11"/>
      <c r="I1479" s="12"/>
      <c r="J1479" s="12"/>
      <c r="K1479" s="11"/>
      <c r="L1479" s="11"/>
      <c r="M1479" s="11"/>
      <c r="N1479" s="11"/>
      <c r="O1479" s="11"/>
      <c r="P1479" s="11"/>
      <c r="Q1479" s="13"/>
    </row>
    <row r="1480">
      <c r="A1480" s="11"/>
      <c r="B1480" s="11"/>
      <c r="C1480" s="11"/>
      <c r="D1480" s="11"/>
      <c r="E1480" s="11"/>
      <c r="F1480" s="11"/>
      <c r="G1480" s="11"/>
      <c r="H1480" s="11"/>
      <c r="I1480" s="12"/>
      <c r="J1480" s="12"/>
      <c r="K1480" s="11"/>
      <c r="L1480" s="11"/>
      <c r="M1480" s="11"/>
      <c r="N1480" s="11"/>
      <c r="O1480" s="11"/>
      <c r="P1480" s="11"/>
      <c r="Q1480" s="13"/>
    </row>
    <row r="1481">
      <c r="A1481" s="11"/>
      <c r="B1481" s="11"/>
      <c r="C1481" s="11"/>
      <c r="D1481" s="11"/>
      <c r="E1481" s="11"/>
      <c r="F1481" s="11"/>
      <c r="G1481" s="11"/>
      <c r="H1481" s="11"/>
      <c r="I1481" s="12"/>
      <c r="J1481" s="12"/>
      <c r="K1481" s="11"/>
      <c r="L1481" s="11"/>
      <c r="M1481" s="11"/>
      <c r="N1481" s="11"/>
      <c r="O1481" s="11"/>
      <c r="P1481" s="11"/>
      <c r="Q1481" s="13"/>
    </row>
    <row r="1482">
      <c r="A1482" s="11"/>
      <c r="B1482" s="11"/>
      <c r="C1482" s="11"/>
      <c r="D1482" s="11"/>
      <c r="E1482" s="11"/>
      <c r="F1482" s="11"/>
      <c r="G1482" s="11"/>
      <c r="H1482" s="11"/>
      <c r="I1482" s="12"/>
      <c r="J1482" s="12"/>
      <c r="K1482" s="11"/>
      <c r="L1482" s="11"/>
      <c r="M1482" s="11"/>
      <c r="N1482" s="11"/>
      <c r="O1482" s="11"/>
      <c r="P1482" s="11"/>
      <c r="Q1482" s="13"/>
    </row>
    <row r="1483">
      <c r="A1483" s="11"/>
      <c r="B1483" s="11"/>
      <c r="C1483" s="11"/>
      <c r="D1483" s="11"/>
      <c r="E1483" s="11"/>
      <c r="F1483" s="11"/>
      <c r="G1483" s="11"/>
      <c r="H1483" s="11"/>
      <c r="I1483" s="12"/>
      <c r="J1483" s="12"/>
      <c r="K1483" s="11"/>
      <c r="L1483" s="11"/>
      <c r="M1483" s="11"/>
      <c r="N1483" s="11"/>
      <c r="O1483" s="11"/>
      <c r="P1483" s="11"/>
      <c r="Q1483" s="13"/>
    </row>
    <row r="1484">
      <c r="A1484" s="11"/>
      <c r="B1484" s="11"/>
      <c r="C1484" s="11"/>
      <c r="D1484" s="11"/>
      <c r="E1484" s="11"/>
      <c r="F1484" s="11"/>
      <c r="G1484" s="11"/>
      <c r="H1484" s="11"/>
      <c r="I1484" s="12"/>
      <c r="J1484" s="12"/>
      <c r="K1484" s="11"/>
      <c r="L1484" s="11"/>
      <c r="M1484" s="11"/>
      <c r="N1484" s="11"/>
      <c r="O1484" s="11"/>
      <c r="P1484" s="11"/>
      <c r="Q1484" s="13"/>
    </row>
    <row r="1485">
      <c r="A1485" s="11"/>
      <c r="B1485" s="11"/>
      <c r="C1485" s="11"/>
      <c r="D1485" s="11"/>
      <c r="E1485" s="11"/>
      <c r="F1485" s="11"/>
      <c r="G1485" s="11"/>
      <c r="H1485" s="11"/>
      <c r="I1485" s="12"/>
      <c r="J1485" s="12"/>
      <c r="K1485" s="11"/>
      <c r="L1485" s="11"/>
      <c r="M1485" s="11"/>
      <c r="N1485" s="11"/>
      <c r="O1485" s="11"/>
      <c r="P1485" s="11"/>
      <c r="Q1485" s="13"/>
    </row>
    <row r="1486">
      <c r="A1486" s="11"/>
      <c r="B1486" s="11"/>
      <c r="C1486" s="11"/>
      <c r="D1486" s="11"/>
      <c r="E1486" s="11"/>
      <c r="F1486" s="11"/>
      <c r="G1486" s="11"/>
      <c r="H1486" s="11"/>
      <c r="I1486" s="12"/>
      <c r="J1486" s="12"/>
      <c r="K1486" s="11"/>
      <c r="L1486" s="11"/>
      <c r="M1486" s="11"/>
      <c r="N1486" s="11"/>
      <c r="O1486" s="11"/>
      <c r="P1486" s="11"/>
      <c r="Q1486" s="13"/>
    </row>
    <row r="1487">
      <c r="A1487" s="11"/>
      <c r="B1487" s="11"/>
      <c r="C1487" s="11"/>
      <c r="D1487" s="11"/>
      <c r="E1487" s="11"/>
      <c r="F1487" s="11"/>
      <c r="G1487" s="11"/>
      <c r="H1487" s="11"/>
      <c r="I1487" s="12"/>
      <c r="J1487" s="12"/>
      <c r="K1487" s="11"/>
      <c r="L1487" s="11"/>
      <c r="M1487" s="11"/>
      <c r="N1487" s="11"/>
      <c r="O1487" s="11"/>
      <c r="P1487" s="11"/>
      <c r="Q1487" s="13"/>
    </row>
    <row r="1488">
      <c r="A1488" s="11"/>
      <c r="B1488" s="11"/>
      <c r="C1488" s="11"/>
      <c r="D1488" s="11"/>
      <c r="E1488" s="11"/>
      <c r="F1488" s="11"/>
      <c r="G1488" s="11"/>
      <c r="H1488" s="11"/>
      <c r="I1488" s="12"/>
      <c r="J1488" s="12"/>
      <c r="K1488" s="11"/>
      <c r="L1488" s="11"/>
      <c r="M1488" s="11"/>
      <c r="N1488" s="11"/>
      <c r="O1488" s="11"/>
      <c r="P1488" s="11"/>
      <c r="Q1488" s="13"/>
    </row>
    <row r="1489">
      <c r="A1489" s="11"/>
      <c r="B1489" s="11"/>
      <c r="C1489" s="11"/>
      <c r="D1489" s="11"/>
      <c r="E1489" s="11"/>
      <c r="F1489" s="11"/>
      <c r="G1489" s="11"/>
      <c r="H1489" s="11"/>
      <c r="I1489" s="12"/>
      <c r="J1489" s="12"/>
      <c r="K1489" s="11"/>
      <c r="L1489" s="11"/>
      <c r="M1489" s="11"/>
      <c r="N1489" s="11"/>
      <c r="O1489" s="11"/>
      <c r="P1489" s="11"/>
      <c r="Q1489" s="13"/>
    </row>
    <row r="1490">
      <c r="A1490" s="11"/>
      <c r="B1490" s="11"/>
      <c r="C1490" s="11"/>
      <c r="D1490" s="11"/>
      <c r="E1490" s="11"/>
      <c r="F1490" s="11"/>
      <c r="G1490" s="11"/>
      <c r="H1490" s="11"/>
      <c r="I1490" s="12"/>
      <c r="J1490" s="12"/>
      <c r="K1490" s="11"/>
      <c r="L1490" s="11"/>
      <c r="M1490" s="11"/>
      <c r="N1490" s="11"/>
      <c r="O1490" s="11"/>
      <c r="P1490" s="11"/>
      <c r="Q1490" s="13"/>
    </row>
    <row r="1491">
      <c r="A1491" s="11"/>
      <c r="B1491" s="11"/>
      <c r="C1491" s="11"/>
      <c r="D1491" s="11"/>
      <c r="E1491" s="11"/>
      <c r="F1491" s="11"/>
      <c r="G1491" s="11"/>
      <c r="H1491" s="11"/>
      <c r="I1491" s="12"/>
      <c r="J1491" s="12"/>
      <c r="K1491" s="11"/>
      <c r="L1491" s="11"/>
      <c r="M1491" s="11"/>
      <c r="N1491" s="11"/>
      <c r="O1491" s="11"/>
      <c r="P1491" s="11"/>
      <c r="Q1491" s="13"/>
    </row>
    <row r="1492">
      <c r="A1492" s="11"/>
      <c r="B1492" s="11"/>
      <c r="C1492" s="11"/>
      <c r="D1492" s="11"/>
      <c r="E1492" s="11"/>
      <c r="F1492" s="11"/>
      <c r="G1492" s="11"/>
      <c r="H1492" s="11"/>
      <c r="I1492" s="12"/>
      <c r="J1492" s="12"/>
      <c r="K1492" s="11"/>
      <c r="L1492" s="11"/>
      <c r="M1492" s="11"/>
      <c r="N1492" s="11"/>
      <c r="O1492" s="11"/>
      <c r="P1492" s="11"/>
      <c r="Q1492" s="13"/>
    </row>
    <row r="1493">
      <c r="A1493" s="11"/>
      <c r="B1493" s="11"/>
      <c r="C1493" s="11"/>
      <c r="D1493" s="11"/>
      <c r="E1493" s="11"/>
      <c r="F1493" s="11"/>
      <c r="G1493" s="11"/>
      <c r="H1493" s="11"/>
      <c r="I1493" s="12"/>
      <c r="J1493" s="12"/>
      <c r="K1493" s="11"/>
      <c r="L1493" s="11"/>
      <c r="M1493" s="11"/>
      <c r="N1493" s="11"/>
      <c r="O1493" s="11"/>
      <c r="P1493" s="11"/>
      <c r="Q1493" s="13"/>
    </row>
    <row r="1494">
      <c r="A1494" s="11"/>
      <c r="B1494" s="11"/>
      <c r="C1494" s="11"/>
      <c r="D1494" s="11"/>
      <c r="E1494" s="11"/>
      <c r="F1494" s="11"/>
      <c r="G1494" s="11"/>
      <c r="H1494" s="11"/>
      <c r="I1494" s="12"/>
      <c r="J1494" s="12"/>
      <c r="K1494" s="11"/>
      <c r="L1494" s="11"/>
      <c r="M1494" s="11"/>
      <c r="N1494" s="11"/>
      <c r="O1494" s="11"/>
      <c r="P1494" s="11"/>
      <c r="Q1494" s="13"/>
    </row>
    <row r="1495">
      <c r="A1495" s="11"/>
      <c r="B1495" s="11"/>
      <c r="C1495" s="11"/>
      <c r="D1495" s="11"/>
      <c r="E1495" s="11"/>
      <c r="F1495" s="11"/>
      <c r="G1495" s="11"/>
      <c r="H1495" s="11"/>
      <c r="I1495" s="12"/>
      <c r="J1495" s="12"/>
      <c r="K1495" s="11"/>
      <c r="L1495" s="11"/>
      <c r="M1495" s="11"/>
      <c r="N1495" s="11"/>
      <c r="O1495" s="11"/>
      <c r="P1495" s="11"/>
      <c r="Q1495" s="13"/>
    </row>
    <row r="1496">
      <c r="A1496" s="11"/>
      <c r="B1496" s="11"/>
      <c r="C1496" s="11"/>
      <c r="D1496" s="11"/>
      <c r="E1496" s="11"/>
      <c r="F1496" s="11"/>
      <c r="G1496" s="11"/>
      <c r="H1496" s="11"/>
      <c r="I1496" s="12"/>
      <c r="J1496" s="12"/>
      <c r="K1496" s="11"/>
      <c r="L1496" s="11"/>
      <c r="M1496" s="11"/>
      <c r="N1496" s="11"/>
      <c r="O1496" s="11"/>
      <c r="P1496" s="11"/>
      <c r="Q1496" s="13"/>
    </row>
    <row r="1497">
      <c r="A1497" s="11"/>
      <c r="B1497" s="11"/>
      <c r="C1497" s="11"/>
      <c r="D1497" s="11"/>
      <c r="E1497" s="11"/>
      <c r="F1497" s="11"/>
      <c r="G1497" s="11"/>
      <c r="H1497" s="11"/>
      <c r="I1497" s="12"/>
      <c r="J1497" s="12"/>
      <c r="K1497" s="11"/>
      <c r="L1497" s="11"/>
      <c r="M1497" s="11"/>
      <c r="N1497" s="11"/>
      <c r="O1497" s="11"/>
      <c r="P1497" s="11"/>
      <c r="Q1497" s="13"/>
    </row>
    <row r="1498">
      <c r="A1498" s="11"/>
      <c r="B1498" s="11"/>
      <c r="C1498" s="11"/>
      <c r="D1498" s="11"/>
      <c r="E1498" s="11"/>
      <c r="F1498" s="11"/>
      <c r="G1498" s="11"/>
      <c r="H1498" s="11"/>
      <c r="I1498" s="12"/>
      <c r="J1498" s="12"/>
      <c r="K1498" s="11"/>
      <c r="L1498" s="11"/>
      <c r="M1498" s="11"/>
      <c r="N1498" s="11"/>
      <c r="O1498" s="11"/>
      <c r="P1498" s="11"/>
      <c r="Q1498" s="13"/>
    </row>
    <row r="1499">
      <c r="A1499" s="11"/>
      <c r="B1499" s="11"/>
      <c r="C1499" s="11"/>
      <c r="D1499" s="11"/>
      <c r="E1499" s="11"/>
      <c r="F1499" s="11"/>
      <c r="G1499" s="11"/>
      <c r="H1499" s="11"/>
      <c r="I1499" s="12"/>
      <c r="J1499" s="12"/>
      <c r="K1499" s="11"/>
      <c r="L1499" s="11"/>
      <c r="M1499" s="11"/>
      <c r="N1499" s="11"/>
      <c r="O1499" s="11"/>
      <c r="P1499" s="11"/>
      <c r="Q1499" s="13"/>
    </row>
    <row r="1500">
      <c r="A1500" s="11"/>
      <c r="B1500" s="11"/>
      <c r="C1500" s="11"/>
      <c r="D1500" s="11"/>
      <c r="E1500" s="11"/>
      <c r="F1500" s="11"/>
      <c r="G1500" s="11"/>
      <c r="H1500" s="11"/>
      <c r="I1500" s="12"/>
      <c r="J1500" s="12"/>
      <c r="K1500" s="11"/>
      <c r="L1500" s="11"/>
      <c r="M1500" s="11"/>
      <c r="N1500" s="11"/>
      <c r="O1500" s="11"/>
      <c r="P1500" s="11"/>
      <c r="Q1500" s="13"/>
    </row>
    <row r="1501">
      <c r="A1501" s="11"/>
      <c r="B1501" s="11"/>
      <c r="C1501" s="11"/>
      <c r="D1501" s="11"/>
      <c r="E1501" s="11"/>
      <c r="F1501" s="11"/>
      <c r="G1501" s="11"/>
      <c r="H1501" s="11"/>
      <c r="I1501" s="12"/>
      <c r="J1501" s="12"/>
      <c r="K1501" s="11"/>
      <c r="L1501" s="11"/>
      <c r="M1501" s="11"/>
      <c r="N1501" s="11"/>
      <c r="O1501" s="11"/>
      <c r="P1501" s="11"/>
      <c r="Q1501" s="13"/>
    </row>
    <row r="1502">
      <c r="A1502" s="11"/>
      <c r="B1502" s="11"/>
      <c r="C1502" s="11"/>
      <c r="D1502" s="11"/>
      <c r="E1502" s="11"/>
      <c r="F1502" s="11"/>
      <c r="G1502" s="11"/>
      <c r="H1502" s="11"/>
      <c r="I1502" s="12"/>
      <c r="J1502" s="12"/>
      <c r="K1502" s="11"/>
      <c r="L1502" s="11"/>
      <c r="M1502" s="11"/>
      <c r="N1502" s="11"/>
      <c r="O1502" s="11"/>
      <c r="P1502" s="11"/>
      <c r="Q1502" s="13"/>
    </row>
    <row r="1503">
      <c r="A1503" s="11"/>
      <c r="B1503" s="11"/>
      <c r="C1503" s="11"/>
      <c r="D1503" s="11"/>
      <c r="E1503" s="11"/>
      <c r="F1503" s="11"/>
      <c r="G1503" s="11"/>
      <c r="H1503" s="11"/>
      <c r="I1503" s="12"/>
      <c r="J1503" s="12"/>
      <c r="K1503" s="11"/>
      <c r="L1503" s="11"/>
      <c r="M1503" s="11"/>
      <c r="N1503" s="11"/>
      <c r="O1503" s="11"/>
      <c r="P1503" s="11"/>
      <c r="Q1503" s="13"/>
    </row>
    <row r="1504">
      <c r="A1504" s="11"/>
      <c r="B1504" s="11"/>
      <c r="C1504" s="11"/>
      <c r="D1504" s="11"/>
      <c r="E1504" s="11"/>
      <c r="F1504" s="11"/>
      <c r="G1504" s="11"/>
      <c r="H1504" s="11"/>
      <c r="I1504" s="12"/>
      <c r="J1504" s="12"/>
      <c r="K1504" s="11"/>
      <c r="L1504" s="11"/>
      <c r="M1504" s="11"/>
      <c r="N1504" s="11"/>
      <c r="O1504" s="11"/>
      <c r="P1504" s="11"/>
      <c r="Q1504" s="13"/>
    </row>
    <row r="1505">
      <c r="A1505" s="11"/>
      <c r="B1505" s="11"/>
      <c r="C1505" s="11"/>
      <c r="D1505" s="11"/>
      <c r="E1505" s="11"/>
      <c r="F1505" s="11"/>
      <c r="G1505" s="11"/>
      <c r="H1505" s="11"/>
      <c r="I1505" s="12"/>
      <c r="J1505" s="12"/>
      <c r="K1505" s="11"/>
      <c r="L1505" s="11"/>
      <c r="M1505" s="11"/>
      <c r="N1505" s="11"/>
      <c r="O1505" s="11"/>
      <c r="P1505" s="11"/>
      <c r="Q1505" s="13"/>
    </row>
    <row r="1506">
      <c r="A1506" s="11"/>
      <c r="B1506" s="11"/>
      <c r="C1506" s="11"/>
      <c r="D1506" s="11"/>
      <c r="E1506" s="11"/>
      <c r="F1506" s="11"/>
      <c r="G1506" s="11"/>
      <c r="H1506" s="11"/>
      <c r="I1506" s="12"/>
      <c r="J1506" s="12"/>
      <c r="K1506" s="11"/>
      <c r="L1506" s="11"/>
      <c r="M1506" s="11"/>
      <c r="N1506" s="11"/>
      <c r="O1506" s="11"/>
      <c r="P1506" s="11"/>
      <c r="Q1506" s="13"/>
    </row>
    <row r="1507">
      <c r="A1507" s="11"/>
      <c r="B1507" s="11"/>
      <c r="C1507" s="11"/>
      <c r="D1507" s="11"/>
      <c r="E1507" s="11"/>
      <c r="F1507" s="11"/>
      <c r="G1507" s="11"/>
      <c r="H1507" s="11"/>
      <c r="I1507" s="12"/>
      <c r="J1507" s="12"/>
      <c r="K1507" s="11"/>
      <c r="L1507" s="11"/>
      <c r="M1507" s="11"/>
      <c r="N1507" s="11"/>
      <c r="O1507" s="11"/>
      <c r="P1507" s="11"/>
      <c r="Q1507" s="13"/>
    </row>
    <row r="1508">
      <c r="A1508" s="11"/>
      <c r="B1508" s="11"/>
      <c r="C1508" s="11"/>
      <c r="D1508" s="11"/>
      <c r="E1508" s="11"/>
      <c r="F1508" s="11"/>
      <c r="G1508" s="11"/>
      <c r="H1508" s="11"/>
      <c r="I1508" s="12"/>
      <c r="J1508" s="12"/>
      <c r="K1508" s="11"/>
      <c r="L1508" s="11"/>
      <c r="M1508" s="11"/>
      <c r="N1508" s="11"/>
      <c r="O1508" s="11"/>
      <c r="P1508" s="11"/>
      <c r="Q1508" s="13"/>
    </row>
    <row r="1509">
      <c r="A1509" s="11"/>
      <c r="B1509" s="11"/>
      <c r="C1509" s="11"/>
      <c r="D1509" s="11"/>
      <c r="E1509" s="11"/>
      <c r="F1509" s="11"/>
      <c r="G1509" s="11"/>
      <c r="H1509" s="11"/>
      <c r="I1509" s="12"/>
      <c r="J1509" s="12"/>
      <c r="K1509" s="11"/>
      <c r="L1509" s="11"/>
      <c r="M1509" s="11"/>
      <c r="N1509" s="11"/>
      <c r="O1509" s="11"/>
      <c r="P1509" s="11"/>
      <c r="Q1509" s="13"/>
    </row>
    <row r="1510">
      <c r="A1510" s="11"/>
      <c r="B1510" s="11"/>
      <c r="C1510" s="11"/>
      <c r="D1510" s="11"/>
      <c r="E1510" s="11"/>
      <c r="F1510" s="11"/>
      <c r="G1510" s="11"/>
      <c r="H1510" s="11"/>
      <c r="I1510" s="12"/>
      <c r="J1510" s="12"/>
      <c r="K1510" s="11"/>
      <c r="L1510" s="11"/>
      <c r="M1510" s="11"/>
      <c r="N1510" s="11"/>
      <c r="O1510" s="11"/>
      <c r="P1510" s="11"/>
      <c r="Q1510" s="13"/>
    </row>
    <row r="1511">
      <c r="A1511" s="11"/>
      <c r="B1511" s="11"/>
      <c r="C1511" s="11"/>
      <c r="D1511" s="11"/>
      <c r="E1511" s="11"/>
      <c r="F1511" s="11"/>
      <c r="G1511" s="11"/>
      <c r="H1511" s="11"/>
      <c r="I1511" s="12"/>
      <c r="J1511" s="12"/>
      <c r="K1511" s="11"/>
      <c r="L1511" s="11"/>
      <c r="M1511" s="11"/>
      <c r="N1511" s="11"/>
      <c r="O1511" s="11"/>
      <c r="P1511" s="11"/>
      <c r="Q1511" s="13"/>
    </row>
    <row r="1512">
      <c r="A1512" s="11"/>
      <c r="B1512" s="11"/>
      <c r="C1512" s="11"/>
      <c r="D1512" s="11"/>
      <c r="E1512" s="11"/>
      <c r="F1512" s="11"/>
      <c r="G1512" s="11"/>
      <c r="H1512" s="11"/>
      <c r="I1512" s="12"/>
      <c r="J1512" s="12"/>
      <c r="K1512" s="11"/>
      <c r="L1512" s="11"/>
      <c r="M1512" s="11"/>
      <c r="N1512" s="11"/>
      <c r="O1512" s="11"/>
      <c r="P1512" s="11"/>
      <c r="Q1512" s="13"/>
    </row>
    <row r="1513">
      <c r="A1513" s="11"/>
      <c r="B1513" s="11"/>
      <c r="C1513" s="11"/>
      <c r="D1513" s="11"/>
      <c r="E1513" s="11"/>
      <c r="F1513" s="11"/>
      <c r="G1513" s="11"/>
      <c r="H1513" s="11"/>
      <c r="I1513" s="12"/>
      <c r="J1513" s="12"/>
      <c r="K1513" s="11"/>
      <c r="L1513" s="11"/>
      <c r="M1513" s="11"/>
      <c r="N1513" s="11"/>
      <c r="O1513" s="11"/>
      <c r="P1513" s="11"/>
      <c r="Q1513" s="13"/>
    </row>
    <row r="1514">
      <c r="A1514" s="11"/>
      <c r="B1514" s="11"/>
      <c r="C1514" s="11"/>
      <c r="D1514" s="11"/>
      <c r="E1514" s="11"/>
      <c r="F1514" s="11"/>
      <c r="G1514" s="11"/>
      <c r="H1514" s="11"/>
      <c r="I1514" s="12"/>
      <c r="J1514" s="12"/>
      <c r="K1514" s="11"/>
      <c r="L1514" s="11"/>
      <c r="M1514" s="11"/>
      <c r="N1514" s="11"/>
      <c r="O1514" s="11"/>
      <c r="P1514" s="11"/>
      <c r="Q1514" s="13"/>
    </row>
    <row r="1515">
      <c r="A1515" s="11"/>
      <c r="B1515" s="11"/>
      <c r="C1515" s="11"/>
      <c r="D1515" s="11"/>
      <c r="E1515" s="11"/>
      <c r="F1515" s="11"/>
      <c r="G1515" s="11"/>
      <c r="H1515" s="11"/>
      <c r="I1515" s="12"/>
      <c r="J1515" s="12"/>
      <c r="K1515" s="11"/>
      <c r="L1515" s="11"/>
      <c r="M1515" s="11"/>
      <c r="N1515" s="11"/>
      <c r="O1515" s="11"/>
      <c r="P1515" s="11"/>
      <c r="Q1515" s="13"/>
    </row>
    <row r="1516">
      <c r="A1516" s="11"/>
      <c r="B1516" s="11"/>
      <c r="C1516" s="11"/>
      <c r="D1516" s="11"/>
      <c r="E1516" s="11"/>
      <c r="F1516" s="11"/>
      <c r="G1516" s="11"/>
      <c r="H1516" s="11"/>
      <c r="I1516" s="12"/>
      <c r="J1516" s="12"/>
      <c r="K1516" s="11"/>
      <c r="L1516" s="11"/>
      <c r="M1516" s="11"/>
      <c r="N1516" s="11"/>
      <c r="O1516" s="11"/>
      <c r="P1516" s="11"/>
      <c r="Q1516" s="13"/>
    </row>
    <row r="1517">
      <c r="A1517" s="11"/>
      <c r="B1517" s="11"/>
      <c r="C1517" s="11"/>
      <c r="D1517" s="11"/>
      <c r="E1517" s="11"/>
      <c r="F1517" s="11"/>
      <c r="G1517" s="11"/>
      <c r="H1517" s="11"/>
      <c r="I1517" s="12"/>
      <c r="J1517" s="12"/>
      <c r="K1517" s="11"/>
      <c r="L1517" s="11"/>
      <c r="M1517" s="11"/>
      <c r="N1517" s="11"/>
      <c r="O1517" s="11"/>
      <c r="P1517" s="11"/>
      <c r="Q1517" s="13"/>
    </row>
    <row r="1518">
      <c r="A1518" s="11"/>
      <c r="B1518" s="11"/>
      <c r="C1518" s="11"/>
      <c r="D1518" s="11"/>
      <c r="E1518" s="11"/>
      <c r="F1518" s="11"/>
      <c r="G1518" s="11"/>
      <c r="H1518" s="11"/>
      <c r="I1518" s="12"/>
      <c r="J1518" s="12"/>
      <c r="K1518" s="11"/>
      <c r="L1518" s="11"/>
      <c r="M1518" s="11"/>
      <c r="N1518" s="11"/>
      <c r="O1518" s="11"/>
      <c r="P1518" s="11"/>
      <c r="Q1518" s="13"/>
    </row>
    <row r="1519">
      <c r="A1519" s="11"/>
      <c r="B1519" s="11"/>
      <c r="C1519" s="11"/>
      <c r="D1519" s="11"/>
      <c r="E1519" s="11"/>
      <c r="F1519" s="11"/>
      <c r="G1519" s="11"/>
      <c r="H1519" s="11"/>
      <c r="I1519" s="12"/>
      <c r="J1519" s="12"/>
      <c r="K1519" s="11"/>
      <c r="L1519" s="11"/>
      <c r="M1519" s="11"/>
      <c r="N1519" s="11"/>
      <c r="O1519" s="11"/>
      <c r="P1519" s="11"/>
      <c r="Q1519" s="13"/>
    </row>
    <row r="1520">
      <c r="A1520" s="11"/>
      <c r="B1520" s="11"/>
      <c r="C1520" s="11"/>
      <c r="D1520" s="11"/>
      <c r="E1520" s="11"/>
      <c r="F1520" s="11"/>
      <c r="G1520" s="11"/>
      <c r="H1520" s="11"/>
      <c r="I1520" s="12"/>
      <c r="J1520" s="12"/>
      <c r="K1520" s="11"/>
      <c r="L1520" s="11"/>
      <c r="M1520" s="11"/>
      <c r="N1520" s="11"/>
      <c r="O1520" s="11"/>
      <c r="P1520" s="11"/>
      <c r="Q1520" s="13"/>
    </row>
    <row r="1521">
      <c r="A1521" s="11"/>
      <c r="B1521" s="11"/>
      <c r="C1521" s="11"/>
      <c r="D1521" s="11"/>
      <c r="E1521" s="11"/>
      <c r="F1521" s="11"/>
      <c r="G1521" s="11"/>
      <c r="H1521" s="11"/>
      <c r="I1521" s="12"/>
      <c r="J1521" s="12"/>
      <c r="K1521" s="11"/>
      <c r="L1521" s="11"/>
      <c r="M1521" s="11"/>
      <c r="N1521" s="11"/>
      <c r="O1521" s="11"/>
      <c r="P1521" s="11"/>
      <c r="Q1521" s="13"/>
    </row>
    <row r="1522">
      <c r="A1522" s="11"/>
      <c r="B1522" s="11"/>
      <c r="C1522" s="11"/>
      <c r="D1522" s="11"/>
      <c r="E1522" s="11"/>
      <c r="F1522" s="11"/>
      <c r="G1522" s="11"/>
      <c r="H1522" s="11"/>
      <c r="I1522" s="12"/>
      <c r="J1522" s="12"/>
      <c r="K1522" s="11"/>
      <c r="L1522" s="11"/>
      <c r="M1522" s="11"/>
      <c r="N1522" s="11"/>
      <c r="O1522" s="11"/>
      <c r="P1522" s="11"/>
      <c r="Q1522" s="13"/>
    </row>
    <row r="1523">
      <c r="A1523" s="11"/>
      <c r="B1523" s="11"/>
      <c r="C1523" s="11"/>
      <c r="D1523" s="11"/>
      <c r="E1523" s="11"/>
      <c r="F1523" s="11"/>
      <c r="G1523" s="11"/>
      <c r="H1523" s="11"/>
      <c r="I1523" s="12"/>
      <c r="J1523" s="12"/>
      <c r="K1523" s="11"/>
      <c r="L1523" s="11"/>
      <c r="M1523" s="11"/>
      <c r="N1523" s="11"/>
      <c r="O1523" s="11"/>
      <c r="P1523" s="11"/>
      <c r="Q1523" s="13"/>
    </row>
    <row r="1524">
      <c r="A1524" s="11"/>
      <c r="B1524" s="11"/>
      <c r="C1524" s="11"/>
      <c r="D1524" s="11"/>
      <c r="E1524" s="11"/>
      <c r="F1524" s="11"/>
      <c r="G1524" s="11"/>
      <c r="H1524" s="11"/>
      <c r="I1524" s="12"/>
      <c r="J1524" s="12"/>
      <c r="K1524" s="11"/>
      <c r="L1524" s="11"/>
      <c r="M1524" s="11"/>
      <c r="N1524" s="11"/>
      <c r="O1524" s="11"/>
      <c r="P1524" s="11"/>
      <c r="Q1524" s="13"/>
    </row>
    <row r="1525">
      <c r="A1525" s="11"/>
      <c r="B1525" s="11"/>
      <c r="C1525" s="11"/>
      <c r="D1525" s="11"/>
      <c r="E1525" s="11"/>
      <c r="F1525" s="11"/>
      <c r="G1525" s="11"/>
      <c r="H1525" s="11"/>
      <c r="I1525" s="12"/>
      <c r="J1525" s="12"/>
      <c r="K1525" s="11"/>
      <c r="L1525" s="11"/>
      <c r="M1525" s="11"/>
      <c r="N1525" s="11"/>
      <c r="O1525" s="11"/>
      <c r="P1525" s="11"/>
      <c r="Q1525" s="13"/>
    </row>
    <row r="1526">
      <c r="A1526" s="11"/>
      <c r="B1526" s="11"/>
      <c r="C1526" s="11"/>
      <c r="D1526" s="11"/>
      <c r="E1526" s="11"/>
      <c r="F1526" s="11"/>
      <c r="G1526" s="11"/>
      <c r="H1526" s="11"/>
      <c r="I1526" s="12"/>
      <c r="J1526" s="12"/>
      <c r="K1526" s="11"/>
      <c r="L1526" s="11"/>
      <c r="M1526" s="11"/>
      <c r="N1526" s="11"/>
      <c r="O1526" s="11"/>
      <c r="P1526" s="11"/>
      <c r="Q1526" s="13"/>
    </row>
    <row r="1527">
      <c r="A1527" s="11"/>
      <c r="B1527" s="11"/>
      <c r="C1527" s="11"/>
      <c r="D1527" s="11"/>
      <c r="E1527" s="11"/>
      <c r="F1527" s="11"/>
      <c r="G1527" s="11"/>
      <c r="H1527" s="11"/>
      <c r="I1527" s="12"/>
      <c r="J1527" s="12"/>
      <c r="K1527" s="11"/>
      <c r="L1527" s="11"/>
      <c r="M1527" s="11"/>
      <c r="N1527" s="11"/>
      <c r="O1527" s="11"/>
      <c r="P1527" s="11"/>
      <c r="Q1527" s="13"/>
    </row>
    <row r="1528">
      <c r="A1528" s="11"/>
      <c r="B1528" s="11"/>
      <c r="C1528" s="11"/>
      <c r="D1528" s="11"/>
      <c r="E1528" s="11"/>
      <c r="F1528" s="11"/>
      <c r="G1528" s="11"/>
      <c r="H1528" s="11"/>
      <c r="I1528" s="12"/>
      <c r="J1528" s="12"/>
      <c r="K1528" s="11"/>
      <c r="L1528" s="11"/>
      <c r="M1528" s="11"/>
      <c r="N1528" s="11"/>
      <c r="O1528" s="11"/>
      <c r="P1528" s="11"/>
      <c r="Q1528" s="13"/>
    </row>
    <row r="1529">
      <c r="A1529" s="11"/>
      <c r="B1529" s="11"/>
      <c r="C1529" s="11"/>
      <c r="D1529" s="11"/>
      <c r="E1529" s="11"/>
      <c r="F1529" s="11"/>
      <c r="G1529" s="11"/>
      <c r="H1529" s="11"/>
      <c r="I1529" s="12"/>
      <c r="J1529" s="12"/>
      <c r="K1529" s="11"/>
      <c r="L1529" s="11"/>
      <c r="M1529" s="11"/>
      <c r="N1529" s="11"/>
      <c r="O1529" s="11"/>
      <c r="P1529" s="11"/>
      <c r="Q1529" s="13"/>
    </row>
    <row r="1530">
      <c r="A1530" s="11"/>
      <c r="B1530" s="11"/>
      <c r="C1530" s="11"/>
      <c r="D1530" s="11"/>
      <c r="E1530" s="11"/>
      <c r="F1530" s="11"/>
      <c r="G1530" s="11"/>
      <c r="H1530" s="11"/>
      <c r="I1530" s="12"/>
      <c r="J1530" s="12"/>
      <c r="K1530" s="11"/>
      <c r="L1530" s="11"/>
      <c r="M1530" s="11"/>
      <c r="N1530" s="11"/>
      <c r="O1530" s="11"/>
      <c r="P1530" s="11"/>
      <c r="Q1530" s="13"/>
    </row>
    <row r="1531">
      <c r="A1531" s="11"/>
      <c r="B1531" s="11"/>
      <c r="C1531" s="11"/>
      <c r="D1531" s="11"/>
      <c r="E1531" s="11"/>
      <c r="F1531" s="11"/>
      <c r="G1531" s="11"/>
      <c r="H1531" s="11"/>
      <c r="I1531" s="12"/>
      <c r="J1531" s="12"/>
      <c r="K1531" s="11"/>
      <c r="L1531" s="11"/>
      <c r="M1531" s="11"/>
      <c r="N1531" s="11"/>
      <c r="O1531" s="11"/>
      <c r="P1531" s="11"/>
      <c r="Q1531" s="13"/>
    </row>
    <row r="1532">
      <c r="A1532" s="11"/>
      <c r="B1532" s="11"/>
      <c r="C1532" s="11"/>
      <c r="D1532" s="11"/>
      <c r="E1532" s="11"/>
      <c r="F1532" s="11"/>
      <c r="G1532" s="11"/>
      <c r="H1532" s="11"/>
      <c r="I1532" s="12"/>
      <c r="J1532" s="12"/>
      <c r="K1532" s="11"/>
      <c r="L1532" s="11"/>
      <c r="M1532" s="11"/>
      <c r="N1532" s="11"/>
      <c r="O1532" s="11"/>
      <c r="P1532" s="11"/>
      <c r="Q1532" s="13"/>
    </row>
    <row r="1533">
      <c r="A1533" s="11"/>
      <c r="B1533" s="11"/>
      <c r="C1533" s="11"/>
      <c r="D1533" s="11"/>
      <c r="E1533" s="11"/>
      <c r="F1533" s="11"/>
      <c r="G1533" s="11"/>
      <c r="H1533" s="11"/>
      <c r="I1533" s="12"/>
      <c r="J1533" s="12"/>
      <c r="K1533" s="11"/>
      <c r="L1533" s="11"/>
      <c r="M1533" s="11"/>
      <c r="N1533" s="11"/>
      <c r="O1533" s="11"/>
      <c r="P1533" s="11"/>
      <c r="Q1533" s="13"/>
    </row>
    <row r="1534">
      <c r="A1534" s="11"/>
      <c r="B1534" s="11"/>
      <c r="C1534" s="11"/>
      <c r="D1534" s="11"/>
      <c r="E1534" s="11"/>
      <c r="F1534" s="11"/>
      <c r="G1534" s="11"/>
      <c r="H1534" s="11"/>
      <c r="I1534" s="12"/>
      <c r="J1534" s="12"/>
      <c r="K1534" s="11"/>
      <c r="L1534" s="11"/>
      <c r="M1534" s="11"/>
      <c r="N1534" s="11"/>
      <c r="O1534" s="11"/>
      <c r="P1534" s="11"/>
      <c r="Q1534" s="13"/>
    </row>
    <row r="1535">
      <c r="A1535" s="11"/>
      <c r="B1535" s="11"/>
      <c r="C1535" s="11"/>
      <c r="D1535" s="11"/>
      <c r="E1535" s="11"/>
      <c r="F1535" s="11"/>
      <c r="G1535" s="11"/>
      <c r="H1535" s="11"/>
      <c r="I1535" s="12"/>
      <c r="J1535" s="12"/>
      <c r="K1535" s="11"/>
      <c r="L1535" s="11"/>
      <c r="M1535" s="11"/>
      <c r="N1535" s="11"/>
      <c r="O1535" s="11"/>
      <c r="P1535" s="11"/>
      <c r="Q1535" s="13"/>
    </row>
    <row r="1536">
      <c r="A1536" s="11"/>
      <c r="B1536" s="11"/>
      <c r="C1536" s="11"/>
      <c r="D1536" s="11"/>
      <c r="E1536" s="11"/>
      <c r="F1536" s="11"/>
      <c r="G1536" s="11"/>
      <c r="H1536" s="11"/>
      <c r="I1536" s="12"/>
      <c r="J1536" s="12"/>
      <c r="K1536" s="11"/>
      <c r="L1536" s="11"/>
      <c r="M1536" s="11"/>
      <c r="N1536" s="11"/>
      <c r="O1536" s="11"/>
      <c r="P1536" s="11"/>
      <c r="Q1536" s="13"/>
    </row>
    <row r="1537">
      <c r="A1537" s="11"/>
      <c r="B1537" s="11"/>
      <c r="C1537" s="11"/>
      <c r="D1537" s="11"/>
      <c r="E1537" s="11"/>
      <c r="F1537" s="11"/>
      <c r="G1537" s="11"/>
      <c r="H1537" s="11"/>
      <c r="I1537" s="12"/>
      <c r="J1537" s="12"/>
      <c r="K1537" s="11"/>
      <c r="L1537" s="11"/>
      <c r="M1537" s="11"/>
      <c r="N1537" s="11"/>
      <c r="O1537" s="11"/>
      <c r="P1537" s="11"/>
      <c r="Q1537" s="13"/>
    </row>
    <row r="1538">
      <c r="A1538" s="11"/>
      <c r="B1538" s="11"/>
      <c r="C1538" s="11"/>
      <c r="D1538" s="11"/>
      <c r="E1538" s="11"/>
      <c r="F1538" s="11"/>
      <c r="G1538" s="11"/>
      <c r="H1538" s="11"/>
      <c r="I1538" s="12"/>
      <c r="J1538" s="12"/>
      <c r="K1538" s="11"/>
      <c r="L1538" s="11"/>
      <c r="M1538" s="11"/>
      <c r="N1538" s="11"/>
      <c r="O1538" s="11"/>
      <c r="P1538" s="11"/>
      <c r="Q1538" s="13"/>
    </row>
    <row r="1539">
      <c r="A1539" s="11"/>
      <c r="B1539" s="11"/>
      <c r="C1539" s="11"/>
      <c r="D1539" s="11"/>
      <c r="E1539" s="11"/>
      <c r="F1539" s="11"/>
      <c r="G1539" s="11"/>
      <c r="H1539" s="11"/>
      <c r="I1539" s="12"/>
      <c r="J1539" s="12"/>
      <c r="K1539" s="11"/>
      <c r="L1539" s="11"/>
      <c r="M1539" s="11"/>
      <c r="N1539" s="11"/>
      <c r="O1539" s="11"/>
      <c r="P1539" s="11"/>
      <c r="Q1539" s="13"/>
    </row>
    <row r="1540">
      <c r="A1540" s="11"/>
      <c r="B1540" s="11"/>
      <c r="C1540" s="11"/>
      <c r="D1540" s="11"/>
      <c r="E1540" s="11"/>
      <c r="F1540" s="11"/>
      <c r="G1540" s="11"/>
      <c r="H1540" s="11"/>
      <c r="I1540" s="12"/>
      <c r="J1540" s="12"/>
      <c r="K1540" s="11"/>
      <c r="L1540" s="11"/>
      <c r="M1540" s="11"/>
      <c r="N1540" s="11"/>
      <c r="O1540" s="11"/>
      <c r="P1540" s="11"/>
      <c r="Q1540" s="13"/>
    </row>
    <row r="1541">
      <c r="A1541" s="11"/>
      <c r="B1541" s="11"/>
      <c r="C1541" s="11"/>
      <c r="D1541" s="11"/>
      <c r="E1541" s="11"/>
      <c r="F1541" s="11"/>
      <c r="G1541" s="11"/>
      <c r="H1541" s="11"/>
      <c r="I1541" s="12"/>
      <c r="J1541" s="12"/>
      <c r="K1541" s="11"/>
      <c r="L1541" s="11"/>
      <c r="M1541" s="11"/>
      <c r="N1541" s="11"/>
      <c r="O1541" s="11"/>
      <c r="P1541" s="11"/>
      <c r="Q1541" s="13"/>
    </row>
    <row r="1542">
      <c r="A1542" s="11"/>
      <c r="B1542" s="11"/>
      <c r="C1542" s="11"/>
      <c r="D1542" s="11"/>
      <c r="E1542" s="11"/>
      <c r="F1542" s="11"/>
      <c r="G1542" s="11"/>
      <c r="H1542" s="11"/>
      <c r="I1542" s="12"/>
      <c r="J1542" s="12"/>
      <c r="K1542" s="11"/>
      <c r="L1542" s="11"/>
      <c r="M1542" s="11"/>
      <c r="N1542" s="11"/>
      <c r="O1542" s="11"/>
      <c r="P1542" s="11"/>
      <c r="Q1542" s="13"/>
    </row>
    <row r="1543">
      <c r="A1543" s="11"/>
      <c r="B1543" s="11"/>
      <c r="C1543" s="11"/>
      <c r="D1543" s="11"/>
      <c r="E1543" s="11"/>
      <c r="F1543" s="11"/>
      <c r="G1543" s="11"/>
      <c r="H1543" s="11"/>
      <c r="I1543" s="12"/>
      <c r="J1543" s="12"/>
      <c r="K1543" s="11"/>
      <c r="L1543" s="11"/>
      <c r="M1543" s="11"/>
      <c r="N1543" s="11"/>
      <c r="O1543" s="11"/>
      <c r="P1543" s="11"/>
      <c r="Q1543" s="13"/>
    </row>
    <row r="1544">
      <c r="A1544" s="11"/>
      <c r="B1544" s="11"/>
      <c r="C1544" s="11"/>
      <c r="D1544" s="11"/>
      <c r="E1544" s="11"/>
      <c r="F1544" s="11"/>
      <c r="G1544" s="11"/>
      <c r="H1544" s="11"/>
      <c r="I1544" s="12"/>
      <c r="J1544" s="12"/>
      <c r="K1544" s="11"/>
      <c r="L1544" s="11"/>
      <c r="M1544" s="11"/>
      <c r="N1544" s="11"/>
      <c r="O1544" s="11"/>
      <c r="P1544" s="11"/>
      <c r="Q1544" s="13"/>
    </row>
    <row r="1545">
      <c r="A1545" s="11"/>
      <c r="B1545" s="11"/>
      <c r="C1545" s="11"/>
      <c r="D1545" s="11"/>
      <c r="E1545" s="11"/>
      <c r="F1545" s="11"/>
      <c r="G1545" s="11"/>
      <c r="H1545" s="11"/>
      <c r="I1545" s="12"/>
      <c r="J1545" s="12"/>
      <c r="K1545" s="11"/>
      <c r="L1545" s="11"/>
      <c r="M1545" s="11"/>
      <c r="N1545" s="11"/>
      <c r="O1545" s="11"/>
      <c r="P1545" s="11"/>
      <c r="Q1545" s="13"/>
    </row>
    <row r="1546">
      <c r="A1546" s="11"/>
      <c r="B1546" s="11"/>
      <c r="C1546" s="11"/>
      <c r="D1546" s="11"/>
      <c r="E1546" s="11"/>
      <c r="F1546" s="11"/>
      <c r="G1546" s="11"/>
      <c r="H1546" s="11"/>
      <c r="I1546" s="12"/>
      <c r="J1546" s="12"/>
      <c r="K1546" s="11"/>
      <c r="L1546" s="11"/>
      <c r="M1546" s="11"/>
      <c r="N1546" s="11"/>
      <c r="O1546" s="11"/>
      <c r="P1546" s="11"/>
      <c r="Q1546" s="13"/>
    </row>
    <row r="1547">
      <c r="A1547" s="11"/>
      <c r="B1547" s="11"/>
      <c r="C1547" s="11"/>
      <c r="D1547" s="11"/>
      <c r="E1547" s="11"/>
      <c r="F1547" s="11"/>
      <c r="G1547" s="11"/>
      <c r="H1547" s="11"/>
      <c r="I1547" s="12"/>
      <c r="J1547" s="12"/>
      <c r="K1547" s="11"/>
      <c r="L1547" s="11"/>
      <c r="M1547" s="11"/>
      <c r="N1547" s="11"/>
      <c r="O1547" s="11"/>
      <c r="P1547" s="11"/>
      <c r="Q1547" s="13"/>
    </row>
    <row r="1548">
      <c r="A1548" s="11"/>
      <c r="B1548" s="11"/>
      <c r="C1548" s="11"/>
      <c r="D1548" s="11"/>
      <c r="E1548" s="11"/>
      <c r="F1548" s="11"/>
      <c r="G1548" s="11"/>
      <c r="H1548" s="11"/>
      <c r="I1548" s="12"/>
      <c r="J1548" s="12"/>
      <c r="K1548" s="11"/>
      <c r="L1548" s="11"/>
      <c r="M1548" s="11"/>
      <c r="N1548" s="11"/>
      <c r="O1548" s="11"/>
      <c r="P1548" s="11"/>
      <c r="Q1548" s="13"/>
    </row>
    <row r="1549">
      <c r="A1549" s="11"/>
      <c r="B1549" s="11"/>
      <c r="C1549" s="11"/>
      <c r="D1549" s="11"/>
      <c r="E1549" s="11"/>
      <c r="F1549" s="11"/>
      <c r="G1549" s="11"/>
      <c r="H1549" s="11"/>
      <c r="I1549" s="12"/>
      <c r="J1549" s="12"/>
      <c r="K1549" s="11"/>
      <c r="L1549" s="11"/>
      <c r="M1549" s="11"/>
      <c r="N1549" s="11"/>
      <c r="O1549" s="11"/>
      <c r="P1549" s="11"/>
      <c r="Q1549" s="13"/>
    </row>
    <row r="1550">
      <c r="A1550" s="11"/>
      <c r="B1550" s="11"/>
      <c r="C1550" s="11"/>
      <c r="D1550" s="11"/>
      <c r="E1550" s="11"/>
      <c r="F1550" s="11"/>
      <c r="G1550" s="11"/>
      <c r="H1550" s="11"/>
      <c r="I1550" s="12"/>
      <c r="J1550" s="12"/>
      <c r="K1550" s="11"/>
      <c r="L1550" s="11"/>
      <c r="M1550" s="11"/>
      <c r="N1550" s="11"/>
      <c r="O1550" s="11"/>
      <c r="P1550" s="11"/>
      <c r="Q1550" s="13"/>
    </row>
    <row r="1551">
      <c r="A1551" s="11"/>
      <c r="B1551" s="11"/>
      <c r="C1551" s="11"/>
      <c r="D1551" s="11"/>
      <c r="E1551" s="11"/>
      <c r="F1551" s="11"/>
      <c r="G1551" s="11"/>
      <c r="H1551" s="11"/>
      <c r="I1551" s="12"/>
      <c r="J1551" s="12"/>
      <c r="K1551" s="11"/>
      <c r="L1551" s="11"/>
      <c r="M1551" s="11"/>
      <c r="N1551" s="11"/>
      <c r="O1551" s="11"/>
      <c r="P1551" s="11"/>
      <c r="Q1551" s="13"/>
    </row>
    <row r="1552">
      <c r="A1552" s="11"/>
      <c r="B1552" s="11"/>
      <c r="C1552" s="11"/>
      <c r="D1552" s="11"/>
      <c r="E1552" s="11"/>
      <c r="F1552" s="11"/>
      <c r="G1552" s="11"/>
      <c r="H1552" s="11"/>
      <c r="I1552" s="12"/>
      <c r="J1552" s="12"/>
      <c r="K1552" s="11"/>
      <c r="L1552" s="11"/>
      <c r="M1552" s="11"/>
      <c r="N1552" s="11"/>
      <c r="O1552" s="11"/>
      <c r="P1552" s="11"/>
      <c r="Q1552" s="13"/>
    </row>
    <row r="1553">
      <c r="A1553" s="11"/>
      <c r="B1553" s="11"/>
      <c r="C1553" s="11"/>
      <c r="D1553" s="11"/>
      <c r="E1553" s="11"/>
      <c r="F1553" s="11"/>
      <c r="G1553" s="11"/>
      <c r="H1553" s="11"/>
      <c r="I1553" s="12"/>
      <c r="J1553" s="12"/>
      <c r="K1553" s="11"/>
      <c r="L1553" s="11"/>
      <c r="M1553" s="11"/>
      <c r="N1553" s="11"/>
      <c r="O1553" s="11"/>
      <c r="P1553" s="11"/>
      <c r="Q1553" s="13"/>
    </row>
    <row r="1554">
      <c r="A1554" s="11"/>
      <c r="B1554" s="11"/>
      <c r="C1554" s="11"/>
      <c r="D1554" s="11"/>
      <c r="E1554" s="11"/>
      <c r="F1554" s="11"/>
      <c r="G1554" s="11"/>
      <c r="H1554" s="11"/>
      <c r="I1554" s="12"/>
      <c r="J1554" s="12"/>
      <c r="K1554" s="11"/>
      <c r="L1554" s="11"/>
      <c r="M1554" s="11"/>
      <c r="N1554" s="11"/>
      <c r="O1554" s="11"/>
      <c r="P1554" s="11"/>
      <c r="Q1554" s="13"/>
    </row>
    <row r="1555">
      <c r="A1555" s="11"/>
      <c r="B1555" s="11"/>
      <c r="C1555" s="11"/>
      <c r="D1555" s="11"/>
      <c r="E1555" s="11"/>
      <c r="F1555" s="11"/>
      <c r="G1555" s="11"/>
      <c r="H1555" s="11"/>
      <c r="I1555" s="12"/>
      <c r="J1555" s="12"/>
      <c r="K1555" s="11"/>
      <c r="L1555" s="11"/>
      <c r="M1555" s="11"/>
      <c r="N1555" s="11"/>
      <c r="O1555" s="11"/>
      <c r="P1555" s="11"/>
      <c r="Q1555" s="13"/>
    </row>
    <row r="1556">
      <c r="A1556" s="11"/>
      <c r="B1556" s="11"/>
      <c r="C1556" s="11"/>
      <c r="D1556" s="11"/>
      <c r="E1556" s="11"/>
      <c r="F1556" s="11"/>
      <c r="G1556" s="11"/>
      <c r="H1556" s="11"/>
      <c r="I1556" s="12"/>
      <c r="J1556" s="12"/>
      <c r="K1556" s="11"/>
      <c r="L1556" s="11"/>
      <c r="M1556" s="11"/>
      <c r="N1556" s="11"/>
      <c r="O1556" s="11"/>
      <c r="P1556" s="11"/>
      <c r="Q1556" s="13"/>
    </row>
    <row r="1557">
      <c r="A1557" s="11"/>
      <c r="B1557" s="11"/>
      <c r="C1557" s="11"/>
      <c r="D1557" s="11"/>
      <c r="E1557" s="11"/>
      <c r="F1557" s="11"/>
      <c r="G1557" s="11"/>
      <c r="H1557" s="11"/>
      <c r="I1557" s="12"/>
      <c r="J1557" s="12"/>
      <c r="K1557" s="11"/>
      <c r="L1557" s="11"/>
      <c r="M1557" s="11"/>
      <c r="N1557" s="11"/>
      <c r="O1557" s="11"/>
      <c r="P1557" s="11"/>
      <c r="Q1557" s="13"/>
    </row>
    <row r="1558">
      <c r="A1558" s="11"/>
      <c r="B1558" s="11"/>
      <c r="C1558" s="11"/>
      <c r="D1558" s="11"/>
      <c r="E1558" s="11"/>
      <c r="F1558" s="11"/>
      <c r="G1558" s="11"/>
      <c r="H1558" s="11"/>
      <c r="I1558" s="12"/>
      <c r="J1558" s="12"/>
      <c r="K1558" s="11"/>
      <c r="L1558" s="11"/>
      <c r="M1558" s="11"/>
      <c r="N1558" s="11"/>
      <c r="O1558" s="11"/>
      <c r="P1558" s="11"/>
      <c r="Q1558" s="13"/>
    </row>
    <row r="1559">
      <c r="A1559" s="11"/>
      <c r="B1559" s="11"/>
      <c r="C1559" s="11"/>
      <c r="D1559" s="11"/>
      <c r="E1559" s="11"/>
      <c r="F1559" s="11"/>
      <c r="G1559" s="11"/>
      <c r="H1559" s="11"/>
      <c r="I1559" s="12"/>
      <c r="J1559" s="12"/>
      <c r="K1559" s="11"/>
      <c r="L1559" s="11"/>
      <c r="M1559" s="11"/>
      <c r="N1559" s="11"/>
      <c r="O1559" s="11"/>
      <c r="P1559" s="11"/>
      <c r="Q1559" s="13"/>
    </row>
    <row r="1560">
      <c r="A1560" s="11"/>
      <c r="B1560" s="11"/>
      <c r="C1560" s="11"/>
      <c r="D1560" s="11"/>
      <c r="E1560" s="11"/>
      <c r="F1560" s="11"/>
      <c r="G1560" s="11"/>
      <c r="H1560" s="11"/>
      <c r="I1560" s="12"/>
      <c r="J1560" s="12"/>
      <c r="K1560" s="11"/>
      <c r="L1560" s="11"/>
      <c r="M1560" s="11"/>
      <c r="N1560" s="11"/>
      <c r="O1560" s="11"/>
      <c r="P1560" s="11"/>
      <c r="Q1560" s="13"/>
    </row>
    <row r="1561">
      <c r="A1561" s="11"/>
      <c r="B1561" s="11"/>
      <c r="C1561" s="11"/>
      <c r="D1561" s="11"/>
      <c r="E1561" s="11"/>
      <c r="F1561" s="11"/>
      <c r="G1561" s="11"/>
      <c r="H1561" s="11"/>
      <c r="I1561" s="12"/>
      <c r="J1561" s="12"/>
      <c r="K1561" s="11"/>
      <c r="L1561" s="11"/>
      <c r="M1561" s="11"/>
      <c r="N1561" s="11"/>
      <c r="O1561" s="11"/>
      <c r="P1561" s="11"/>
      <c r="Q1561" s="13"/>
    </row>
    <row r="1562">
      <c r="A1562" s="11"/>
      <c r="B1562" s="11"/>
      <c r="C1562" s="11"/>
      <c r="D1562" s="11"/>
      <c r="E1562" s="11"/>
      <c r="F1562" s="11"/>
      <c r="G1562" s="11"/>
      <c r="H1562" s="11"/>
      <c r="I1562" s="12"/>
      <c r="J1562" s="12"/>
      <c r="K1562" s="11"/>
      <c r="L1562" s="11"/>
      <c r="M1562" s="11"/>
      <c r="N1562" s="11"/>
      <c r="O1562" s="11"/>
      <c r="P1562" s="11"/>
      <c r="Q1562" s="13"/>
    </row>
    <row r="1563">
      <c r="A1563" s="11"/>
      <c r="B1563" s="11"/>
      <c r="C1563" s="11"/>
      <c r="D1563" s="11"/>
      <c r="E1563" s="11"/>
      <c r="F1563" s="11"/>
      <c r="G1563" s="11"/>
      <c r="H1563" s="11"/>
      <c r="I1563" s="12"/>
      <c r="J1563" s="12"/>
      <c r="K1563" s="11"/>
      <c r="L1563" s="11"/>
      <c r="M1563" s="11"/>
      <c r="N1563" s="11"/>
      <c r="O1563" s="11"/>
      <c r="P1563" s="11"/>
      <c r="Q1563" s="13"/>
    </row>
    <row r="1564">
      <c r="A1564" s="11"/>
      <c r="B1564" s="11"/>
      <c r="C1564" s="11"/>
      <c r="D1564" s="11"/>
      <c r="E1564" s="11"/>
      <c r="F1564" s="11"/>
      <c r="G1564" s="11"/>
      <c r="H1564" s="11"/>
      <c r="I1564" s="12"/>
      <c r="J1564" s="12"/>
      <c r="K1564" s="11"/>
      <c r="L1564" s="11"/>
      <c r="M1564" s="11"/>
      <c r="N1564" s="11"/>
      <c r="O1564" s="11"/>
      <c r="P1564" s="11"/>
      <c r="Q1564" s="13"/>
    </row>
    <row r="1565">
      <c r="A1565" s="11"/>
      <c r="B1565" s="11"/>
      <c r="C1565" s="11"/>
      <c r="D1565" s="11"/>
      <c r="E1565" s="11"/>
      <c r="F1565" s="11"/>
      <c r="G1565" s="11"/>
      <c r="H1565" s="11"/>
      <c r="I1565" s="12"/>
      <c r="J1565" s="12"/>
      <c r="K1565" s="11"/>
      <c r="L1565" s="11"/>
      <c r="M1565" s="11"/>
      <c r="N1565" s="11"/>
      <c r="O1565" s="11"/>
      <c r="P1565" s="11"/>
      <c r="Q1565" s="13"/>
    </row>
    <row r="1566">
      <c r="A1566" s="11"/>
      <c r="B1566" s="11"/>
      <c r="C1566" s="11"/>
      <c r="D1566" s="11"/>
      <c r="E1566" s="11"/>
      <c r="F1566" s="11"/>
      <c r="G1566" s="11"/>
      <c r="H1566" s="11"/>
      <c r="I1566" s="12"/>
      <c r="J1566" s="12"/>
      <c r="K1566" s="11"/>
      <c r="L1566" s="11"/>
      <c r="M1566" s="11"/>
      <c r="N1566" s="11"/>
      <c r="O1566" s="11"/>
      <c r="P1566" s="11"/>
      <c r="Q1566" s="13"/>
    </row>
    <row r="1567">
      <c r="A1567" s="11"/>
      <c r="B1567" s="11"/>
      <c r="C1567" s="11"/>
      <c r="D1567" s="11"/>
      <c r="E1567" s="11"/>
      <c r="F1567" s="11"/>
      <c r="G1567" s="11"/>
      <c r="H1567" s="11"/>
      <c r="I1567" s="12"/>
      <c r="J1567" s="12"/>
      <c r="K1567" s="11"/>
      <c r="L1567" s="11"/>
      <c r="M1567" s="11"/>
      <c r="N1567" s="11"/>
      <c r="O1567" s="11"/>
      <c r="P1567" s="11"/>
      <c r="Q1567" s="13"/>
    </row>
    <row r="1568">
      <c r="A1568" s="11"/>
      <c r="B1568" s="11"/>
      <c r="C1568" s="11"/>
      <c r="D1568" s="11"/>
      <c r="E1568" s="11"/>
      <c r="F1568" s="11"/>
      <c r="G1568" s="11"/>
      <c r="H1568" s="11"/>
      <c r="I1568" s="12"/>
      <c r="J1568" s="12"/>
      <c r="K1568" s="11"/>
      <c r="L1568" s="11"/>
      <c r="M1568" s="11"/>
      <c r="N1568" s="11"/>
      <c r="O1568" s="11"/>
      <c r="P1568" s="11"/>
      <c r="Q1568" s="13"/>
    </row>
    <row r="1569">
      <c r="A1569" s="11"/>
      <c r="B1569" s="11"/>
      <c r="C1569" s="11"/>
      <c r="D1569" s="11"/>
      <c r="E1569" s="11"/>
      <c r="F1569" s="11"/>
      <c r="G1569" s="11"/>
      <c r="H1569" s="11"/>
      <c r="I1569" s="12"/>
      <c r="J1569" s="12"/>
      <c r="K1569" s="11"/>
      <c r="L1569" s="11"/>
      <c r="M1569" s="11"/>
      <c r="N1569" s="11"/>
      <c r="O1569" s="11"/>
      <c r="P1569" s="11"/>
      <c r="Q1569" s="13"/>
    </row>
    <row r="1570">
      <c r="A1570" s="11"/>
      <c r="B1570" s="11"/>
      <c r="C1570" s="11"/>
      <c r="D1570" s="11"/>
      <c r="E1570" s="11"/>
      <c r="F1570" s="11"/>
      <c r="G1570" s="11"/>
      <c r="H1570" s="11"/>
      <c r="I1570" s="12"/>
      <c r="J1570" s="12"/>
      <c r="K1570" s="11"/>
      <c r="L1570" s="11"/>
      <c r="M1570" s="11"/>
      <c r="N1570" s="11"/>
      <c r="O1570" s="11"/>
      <c r="P1570" s="11"/>
      <c r="Q1570" s="13"/>
    </row>
    <row r="1571">
      <c r="A1571" s="11"/>
      <c r="B1571" s="11"/>
      <c r="C1571" s="11"/>
      <c r="D1571" s="11"/>
      <c r="E1571" s="11"/>
      <c r="F1571" s="11"/>
      <c r="G1571" s="11"/>
      <c r="H1571" s="11"/>
      <c r="I1571" s="12"/>
      <c r="J1571" s="12"/>
      <c r="K1571" s="11"/>
      <c r="L1571" s="11"/>
      <c r="M1571" s="11"/>
      <c r="N1571" s="11"/>
      <c r="O1571" s="11"/>
      <c r="P1571" s="11"/>
      <c r="Q1571" s="13"/>
    </row>
    <row r="1572">
      <c r="A1572" s="11"/>
      <c r="B1572" s="11"/>
      <c r="C1572" s="11"/>
      <c r="D1572" s="11"/>
      <c r="E1572" s="11"/>
      <c r="F1572" s="11"/>
      <c r="G1572" s="11"/>
      <c r="H1572" s="11"/>
      <c r="I1572" s="12"/>
      <c r="J1572" s="12"/>
      <c r="K1572" s="11"/>
      <c r="L1572" s="11"/>
      <c r="M1572" s="11"/>
      <c r="N1572" s="11"/>
      <c r="O1572" s="11"/>
      <c r="P1572" s="11"/>
      <c r="Q1572" s="13"/>
    </row>
    <row r="1573">
      <c r="A1573" s="11"/>
      <c r="B1573" s="11"/>
      <c r="C1573" s="11"/>
      <c r="D1573" s="11"/>
      <c r="E1573" s="11"/>
      <c r="F1573" s="11"/>
      <c r="G1573" s="11"/>
      <c r="H1573" s="11"/>
      <c r="I1573" s="12"/>
      <c r="J1573" s="12"/>
      <c r="K1573" s="11"/>
      <c r="L1573" s="11"/>
      <c r="M1573" s="11"/>
      <c r="N1573" s="11"/>
      <c r="O1573" s="11"/>
      <c r="P1573" s="11"/>
      <c r="Q1573" s="13"/>
    </row>
    <row r="1574">
      <c r="A1574" s="11"/>
      <c r="B1574" s="11"/>
      <c r="C1574" s="11"/>
      <c r="D1574" s="11"/>
      <c r="E1574" s="11"/>
      <c r="F1574" s="11"/>
      <c r="G1574" s="11"/>
      <c r="H1574" s="11"/>
      <c r="I1574" s="12"/>
      <c r="J1574" s="12"/>
      <c r="K1574" s="11"/>
      <c r="L1574" s="11"/>
      <c r="M1574" s="11"/>
      <c r="N1574" s="11"/>
      <c r="O1574" s="11"/>
      <c r="P1574" s="11"/>
      <c r="Q1574" s="13"/>
    </row>
    <row r="1575">
      <c r="A1575" s="11"/>
      <c r="B1575" s="11"/>
      <c r="C1575" s="11"/>
      <c r="D1575" s="11"/>
      <c r="E1575" s="11"/>
      <c r="F1575" s="11"/>
      <c r="G1575" s="11"/>
      <c r="H1575" s="11"/>
      <c r="I1575" s="12"/>
      <c r="J1575" s="12"/>
      <c r="K1575" s="11"/>
      <c r="L1575" s="11"/>
      <c r="M1575" s="11"/>
      <c r="N1575" s="11"/>
      <c r="O1575" s="11"/>
      <c r="P1575" s="11"/>
      <c r="Q1575" s="13"/>
    </row>
    <row r="1576">
      <c r="A1576" s="11"/>
      <c r="B1576" s="11"/>
      <c r="C1576" s="11"/>
      <c r="D1576" s="11"/>
      <c r="E1576" s="11"/>
      <c r="F1576" s="11"/>
      <c r="G1576" s="11"/>
      <c r="H1576" s="11"/>
      <c r="I1576" s="12"/>
      <c r="J1576" s="12"/>
      <c r="K1576" s="11"/>
      <c r="L1576" s="11"/>
      <c r="M1576" s="11"/>
      <c r="N1576" s="11"/>
      <c r="O1576" s="11"/>
      <c r="P1576" s="11"/>
      <c r="Q1576" s="13"/>
    </row>
    <row r="1577">
      <c r="A1577" s="11"/>
      <c r="B1577" s="11"/>
      <c r="C1577" s="11"/>
      <c r="D1577" s="11"/>
      <c r="E1577" s="11"/>
      <c r="F1577" s="11"/>
      <c r="G1577" s="11"/>
      <c r="H1577" s="11"/>
      <c r="I1577" s="12"/>
      <c r="J1577" s="12"/>
      <c r="K1577" s="11"/>
      <c r="L1577" s="11"/>
      <c r="M1577" s="11"/>
      <c r="N1577" s="11"/>
      <c r="O1577" s="11"/>
      <c r="P1577" s="11"/>
      <c r="Q1577" s="13"/>
    </row>
    <row r="1578">
      <c r="A1578" s="11"/>
      <c r="B1578" s="11"/>
      <c r="C1578" s="11"/>
      <c r="D1578" s="11"/>
      <c r="E1578" s="11"/>
      <c r="F1578" s="11"/>
      <c r="G1578" s="11"/>
      <c r="H1578" s="11"/>
      <c r="I1578" s="12"/>
      <c r="J1578" s="12"/>
      <c r="K1578" s="11"/>
      <c r="L1578" s="11"/>
      <c r="M1578" s="11"/>
      <c r="N1578" s="11"/>
      <c r="O1578" s="11"/>
      <c r="P1578" s="11"/>
      <c r="Q1578" s="13"/>
    </row>
    <row r="1579">
      <c r="A1579" s="11"/>
      <c r="B1579" s="11"/>
      <c r="C1579" s="11"/>
      <c r="D1579" s="11"/>
      <c r="E1579" s="11"/>
      <c r="F1579" s="11"/>
      <c r="G1579" s="11"/>
      <c r="H1579" s="11"/>
      <c r="I1579" s="12"/>
      <c r="J1579" s="12"/>
      <c r="K1579" s="11"/>
      <c r="L1579" s="11"/>
      <c r="M1579" s="11"/>
      <c r="N1579" s="11"/>
      <c r="O1579" s="11"/>
      <c r="P1579" s="11"/>
      <c r="Q1579" s="13"/>
    </row>
    <row r="1580">
      <c r="A1580" s="11"/>
      <c r="B1580" s="11"/>
      <c r="C1580" s="11"/>
      <c r="D1580" s="11"/>
      <c r="E1580" s="11"/>
      <c r="F1580" s="11"/>
      <c r="G1580" s="11"/>
      <c r="H1580" s="11"/>
      <c r="I1580" s="12"/>
      <c r="J1580" s="12"/>
      <c r="K1580" s="11"/>
      <c r="L1580" s="11"/>
      <c r="M1580" s="11"/>
      <c r="N1580" s="11"/>
      <c r="O1580" s="11"/>
      <c r="P1580" s="11"/>
      <c r="Q1580" s="13"/>
    </row>
    <row r="1581">
      <c r="A1581" s="11"/>
      <c r="B1581" s="11"/>
      <c r="C1581" s="11"/>
      <c r="D1581" s="11"/>
      <c r="E1581" s="11"/>
      <c r="F1581" s="11"/>
      <c r="G1581" s="11"/>
      <c r="H1581" s="11"/>
      <c r="I1581" s="12"/>
      <c r="J1581" s="12"/>
      <c r="K1581" s="11"/>
      <c r="L1581" s="11"/>
      <c r="M1581" s="11"/>
      <c r="N1581" s="11"/>
      <c r="O1581" s="11"/>
      <c r="P1581" s="11"/>
      <c r="Q1581" s="13"/>
    </row>
    <row r="1582">
      <c r="A1582" s="11"/>
      <c r="B1582" s="11"/>
      <c r="C1582" s="11"/>
      <c r="D1582" s="11"/>
      <c r="E1582" s="11"/>
      <c r="F1582" s="11"/>
      <c r="G1582" s="11"/>
      <c r="H1582" s="11"/>
      <c r="I1582" s="12"/>
      <c r="J1582" s="12"/>
      <c r="K1582" s="11"/>
      <c r="L1582" s="11"/>
      <c r="M1582" s="11"/>
      <c r="N1582" s="11"/>
      <c r="O1582" s="11"/>
      <c r="P1582" s="11"/>
      <c r="Q1582" s="13"/>
    </row>
    <row r="1583">
      <c r="A1583" s="11"/>
      <c r="B1583" s="11"/>
      <c r="C1583" s="11"/>
      <c r="D1583" s="11"/>
      <c r="E1583" s="11"/>
      <c r="F1583" s="11"/>
      <c r="G1583" s="11"/>
      <c r="H1583" s="11"/>
      <c r="I1583" s="12"/>
      <c r="J1583" s="12"/>
      <c r="K1583" s="11"/>
      <c r="L1583" s="11"/>
      <c r="M1583" s="11"/>
      <c r="N1583" s="11"/>
      <c r="O1583" s="11"/>
      <c r="P1583" s="11"/>
      <c r="Q1583" s="13"/>
    </row>
    <row r="1584">
      <c r="A1584" s="11"/>
      <c r="B1584" s="11"/>
      <c r="C1584" s="11"/>
      <c r="D1584" s="11"/>
      <c r="E1584" s="11"/>
      <c r="F1584" s="11"/>
      <c r="G1584" s="11"/>
      <c r="H1584" s="11"/>
      <c r="I1584" s="12"/>
      <c r="J1584" s="12"/>
      <c r="K1584" s="11"/>
      <c r="L1584" s="11"/>
      <c r="M1584" s="11"/>
      <c r="N1584" s="11"/>
      <c r="O1584" s="11"/>
      <c r="P1584" s="11"/>
      <c r="Q1584" s="13"/>
    </row>
    <row r="1585">
      <c r="A1585" s="11"/>
      <c r="B1585" s="11"/>
      <c r="C1585" s="11"/>
      <c r="D1585" s="11"/>
      <c r="E1585" s="11"/>
      <c r="F1585" s="11"/>
      <c r="G1585" s="11"/>
      <c r="H1585" s="11"/>
      <c r="I1585" s="12"/>
      <c r="J1585" s="12"/>
      <c r="K1585" s="11"/>
      <c r="L1585" s="11"/>
      <c r="M1585" s="11"/>
      <c r="N1585" s="11"/>
      <c r="O1585" s="11"/>
      <c r="P1585" s="11"/>
      <c r="Q1585" s="13"/>
    </row>
    <row r="1586">
      <c r="A1586" s="11"/>
      <c r="B1586" s="11"/>
      <c r="C1586" s="11"/>
      <c r="D1586" s="11"/>
      <c r="E1586" s="11"/>
      <c r="F1586" s="11"/>
      <c r="G1586" s="11"/>
      <c r="H1586" s="11"/>
      <c r="I1586" s="12"/>
      <c r="J1586" s="12"/>
      <c r="K1586" s="11"/>
      <c r="L1586" s="11"/>
      <c r="M1586" s="11"/>
      <c r="N1586" s="11"/>
      <c r="O1586" s="11"/>
      <c r="P1586" s="11"/>
      <c r="Q1586" s="13"/>
    </row>
    <row r="1587">
      <c r="A1587" s="11"/>
      <c r="B1587" s="11"/>
      <c r="C1587" s="11"/>
      <c r="D1587" s="11"/>
      <c r="E1587" s="11"/>
      <c r="F1587" s="11"/>
      <c r="G1587" s="11"/>
      <c r="H1587" s="11"/>
      <c r="I1587" s="12"/>
      <c r="J1587" s="12"/>
      <c r="K1587" s="11"/>
      <c r="L1587" s="11"/>
      <c r="M1587" s="11"/>
      <c r="N1587" s="11"/>
      <c r="O1587" s="11"/>
      <c r="P1587" s="11"/>
      <c r="Q1587" s="13"/>
    </row>
    <row r="1588">
      <c r="A1588" s="11"/>
      <c r="B1588" s="11"/>
      <c r="C1588" s="11"/>
      <c r="D1588" s="11"/>
      <c r="E1588" s="11"/>
      <c r="F1588" s="11"/>
      <c r="G1588" s="11"/>
      <c r="H1588" s="11"/>
      <c r="I1588" s="12"/>
      <c r="J1588" s="12"/>
      <c r="K1588" s="11"/>
      <c r="L1588" s="11"/>
      <c r="M1588" s="11"/>
      <c r="N1588" s="11"/>
      <c r="O1588" s="11"/>
      <c r="P1588" s="11"/>
      <c r="Q1588" s="13"/>
    </row>
    <row r="1589">
      <c r="A1589" s="11"/>
      <c r="B1589" s="11"/>
      <c r="C1589" s="11"/>
      <c r="D1589" s="11"/>
      <c r="E1589" s="11"/>
      <c r="F1589" s="11"/>
      <c r="G1589" s="11"/>
      <c r="H1589" s="11"/>
      <c r="I1589" s="12"/>
      <c r="J1589" s="12"/>
      <c r="K1589" s="11"/>
      <c r="L1589" s="11"/>
      <c r="M1589" s="11"/>
      <c r="N1589" s="11"/>
      <c r="O1589" s="11"/>
      <c r="P1589" s="11"/>
      <c r="Q1589" s="13"/>
    </row>
    <row r="1590">
      <c r="A1590" s="11"/>
      <c r="B1590" s="11"/>
      <c r="C1590" s="11"/>
      <c r="D1590" s="11"/>
      <c r="E1590" s="11"/>
      <c r="F1590" s="11"/>
      <c r="G1590" s="11"/>
      <c r="H1590" s="11"/>
      <c r="I1590" s="12"/>
      <c r="J1590" s="12"/>
      <c r="K1590" s="11"/>
      <c r="L1590" s="11"/>
      <c r="M1590" s="11"/>
      <c r="N1590" s="11"/>
      <c r="O1590" s="11"/>
      <c r="P1590" s="11"/>
      <c r="Q1590" s="13"/>
    </row>
    <row r="1591">
      <c r="A1591" s="11"/>
      <c r="B1591" s="11"/>
      <c r="C1591" s="11"/>
      <c r="D1591" s="11"/>
      <c r="E1591" s="11"/>
      <c r="F1591" s="11"/>
      <c r="G1591" s="11"/>
      <c r="H1591" s="11"/>
      <c r="I1591" s="12"/>
      <c r="J1591" s="12"/>
      <c r="K1591" s="11"/>
      <c r="L1591" s="11"/>
      <c r="M1591" s="11"/>
      <c r="N1591" s="11"/>
      <c r="O1591" s="11"/>
      <c r="P1591" s="11"/>
      <c r="Q1591" s="13"/>
    </row>
    <row r="1592">
      <c r="A1592" s="11"/>
      <c r="B1592" s="11"/>
      <c r="C1592" s="11"/>
      <c r="D1592" s="11"/>
      <c r="E1592" s="11"/>
      <c r="F1592" s="11"/>
      <c r="G1592" s="11"/>
      <c r="H1592" s="11"/>
      <c r="I1592" s="12"/>
      <c r="J1592" s="12"/>
      <c r="K1592" s="11"/>
      <c r="L1592" s="11"/>
      <c r="M1592" s="11"/>
      <c r="N1592" s="11"/>
      <c r="O1592" s="11"/>
      <c r="P1592" s="11"/>
      <c r="Q1592" s="13"/>
    </row>
    <row r="1593">
      <c r="A1593" s="11"/>
      <c r="B1593" s="11"/>
      <c r="C1593" s="11"/>
      <c r="D1593" s="11"/>
      <c r="E1593" s="11"/>
      <c r="F1593" s="11"/>
      <c r="G1593" s="11"/>
      <c r="H1593" s="11"/>
      <c r="I1593" s="12"/>
      <c r="J1593" s="12"/>
      <c r="K1593" s="11"/>
      <c r="L1593" s="11"/>
      <c r="M1593" s="11"/>
      <c r="N1593" s="11"/>
      <c r="O1593" s="11"/>
      <c r="P1593" s="11"/>
      <c r="Q1593" s="13"/>
    </row>
    <row r="1594">
      <c r="A1594" s="11"/>
      <c r="B1594" s="11"/>
      <c r="C1594" s="11"/>
      <c r="D1594" s="11"/>
      <c r="E1594" s="11"/>
      <c r="F1594" s="11"/>
      <c r="G1594" s="11"/>
      <c r="H1594" s="11"/>
      <c r="I1594" s="12"/>
      <c r="J1594" s="12"/>
      <c r="K1594" s="11"/>
      <c r="L1594" s="11"/>
      <c r="M1594" s="11"/>
      <c r="N1594" s="11"/>
      <c r="O1594" s="11"/>
      <c r="P1594" s="11"/>
      <c r="Q1594" s="13"/>
    </row>
    <row r="1595">
      <c r="A1595" s="11"/>
      <c r="B1595" s="11"/>
      <c r="C1595" s="11"/>
      <c r="D1595" s="11"/>
      <c r="E1595" s="11"/>
      <c r="F1595" s="11"/>
      <c r="G1595" s="11"/>
      <c r="H1595" s="11"/>
      <c r="I1595" s="12"/>
      <c r="J1595" s="12"/>
      <c r="K1595" s="11"/>
      <c r="L1595" s="11"/>
      <c r="M1595" s="11"/>
      <c r="N1595" s="11"/>
      <c r="O1595" s="11"/>
      <c r="P1595" s="11"/>
      <c r="Q1595" s="13"/>
    </row>
    <row r="1596">
      <c r="A1596" s="11"/>
      <c r="B1596" s="11"/>
      <c r="C1596" s="11"/>
      <c r="D1596" s="11"/>
      <c r="E1596" s="11"/>
      <c r="F1596" s="11"/>
      <c r="G1596" s="11"/>
      <c r="H1596" s="11"/>
      <c r="I1596" s="12"/>
      <c r="J1596" s="12"/>
      <c r="K1596" s="11"/>
      <c r="L1596" s="11"/>
      <c r="M1596" s="11"/>
      <c r="N1596" s="11"/>
      <c r="O1596" s="11"/>
      <c r="P1596" s="11"/>
      <c r="Q1596" s="13"/>
    </row>
    <row r="1597">
      <c r="A1597" s="11"/>
      <c r="B1597" s="11"/>
      <c r="C1597" s="11"/>
      <c r="D1597" s="11"/>
      <c r="E1597" s="11"/>
      <c r="F1597" s="11"/>
      <c r="G1597" s="11"/>
      <c r="H1597" s="11"/>
      <c r="I1597" s="12"/>
      <c r="J1597" s="12"/>
      <c r="K1597" s="11"/>
      <c r="L1597" s="11"/>
      <c r="M1597" s="11"/>
      <c r="N1597" s="11"/>
      <c r="O1597" s="11"/>
      <c r="P1597" s="11"/>
      <c r="Q1597" s="13"/>
    </row>
    <row r="1598">
      <c r="A1598" s="11"/>
      <c r="B1598" s="11"/>
      <c r="C1598" s="11"/>
      <c r="D1598" s="11"/>
      <c r="E1598" s="11"/>
      <c r="F1598" s="11"/>
      <c r="G1598" s="11"/>
      <c r="H1598" s="11"/>
      <c r="I1598" s="12"/>
      <c r="J1598" s="12"/>
      <c r="K1598" s="11"/>
      <c r="L1598" s="11"/>
      <c r="M1598" s="11"/>
      <c r="N1598" s="11"/>
      <c r="O1598" s="11"/>
      <c r="P1598" s="11"/>
      <c r="Q1598" s="13"/>
    </row>
    <row r="1599">
      <c r="A1599" s="11"/>
      <c r="B1599" s="11"/>
      <c r="C1599" s="11"/>
      <c r="D1599" s="11"/>
      <c r="E1599" s="11"/>
      <c r="F1599" s="11"/>
      <c r="G1599" s="11"/>
      <c r="H1599" s="11"/>
      <c r="I1599" s="12"/>
      <c r="J1599" s="12"/>
      <c r="K1599" s="11"/>
      <c r="L1599" s="11"/>
      <c r="M1599" s="11"/>
      <c r="N1599" s="11"/>
      <c r="O1599" s="11"/>
      <c r="P1599" s="11"/>
      <c r="Q1599" s="13"/>
    </row>
    <row r="1600">
      <c r="A1600" s="11"/>
      <c r="B1600" s="11"/>
      <c r="C1600" s="11"/>
      <c r="D1600" s="11"/>
      <c r="E1600" s="11"/>
      <c r="F1600" s="11"/>
      <c r="G1600" s="11"/>
      <c r="H1600" s="11"/>
      <c r="I1600" s="12"/>
      <c r="J1600" s="12"/>
      <c r="K1600" s="11"/>
      <c r="L1600" s="11"/>
      <c r="M1600" s="11"/>
      <c r="N1600" s="11"/>
      <c r="O1600" s="11"/>
      <c r="P1600" s="11"/>
      <c r="Q1600" s="13"/>
    </row>
    <row r="1601">
      <c r="A1601" s="11"/>
      <c r="B1601" s="11"/>
      <c r="C1601" s="11"/>
      <c r="D1601" s="11"/>
      <c r="E1601" s="11"/>
      <c r="F1601" s="11"/>
      <c r="G1601" s="11"/>
      <c r="H1601" s="11"/>
      <c r="I1601" s="12"/>
      <c r="J1601" s="12"/>
      <c r="K1601" s="11"/>
      <c r="L1601" s="11"/>
      <c r="M1601" s="11"/>
      <c r="N1601" s="11"/>
      <c r="O1601" s="11"/>
      <c r="P1601" s="11"/>
      <c r="Q1601" s="13"/>
    </row>
    <row r="1602">
      <c r="A1602" s="11"/>
      <c r="B1602" s="11"/>
      <c r="C1602" s="11"/>
      <c r="D1602" s="11"/>
      <c r="E1602" s="11"/>
      <c r="F1602" s="11"/>
      <c r="G1602" s="11"/>
      <c r="H1602" s="11"/>
      <c r="I1602" s="12"/>
      <c r="J1602" s="12"/>
      <c r="K1602" s="11"/>
      <c r="L1602" s="11"/>
      <c r="M1602" s="11"/>
      <c r="N1602" s="11"/>
      <c r="O1602" s="11"/>
      <c r="P1602" s="11"/>
      <c r="Q1602" s="13"/>
    </row>
    <row r="1603">
      <c r="A1603" s="11"/>
      <c r="B1603" s="11"/>
      <c r="C1603" s="11"/>
      <c r="D1603" s="11"/>
      <c r="E1603" s="11"/>
      <c r="F1603" s="11"/>
      <c r="G1603" s="11"/>
      <c r="H1603" s="11"/>
      <c r="I1603" s="12"/>
      <c r="J1603" s="12"/>
      <c r="K1603" s="11"/>
      <c r="L1603" s="11"/>
      <c r="M1603" s="11"/>
      <c r="N1603" s="11"/>
      <c r="O1603" s="11"/>
      <c r="P1603" s="11"/>
      <c r="Q1603" s="13"/>
    </row>
    <row r="1604">
      <c r="A1604" s="11"/>
      <c r="B1604" s="11"/>
      <c r="C1604" s="11"/>
      <c r="D1604" s="11"/>
      <c r="E1604" s="11"/>
      <c r="F1604" s="11"/>
      <c r="G1604" s="11"/>
      <c r="H1604" s="11"/>
      <c r="I1604" s="12"/>
      <c r="J1604" s="12"/>
      <c r="K1604" s="11"/>
      <c r="L1604" s="11"/>
      <c r="M1604" s="11"/>
      <c r="N1604" s="11"/>
      <c r="O1604" s="11"/>
      <c r="P1604" s="11"/>
      <c r="Q1604" s="13"/>
    </row>
    <row r="1605">
      <c r="A1605" s="11"/>
      <c r="B1605" s="11"/>
      <c r="C1605" s="11"/>
      <c r="D1605" s="11"/>
      <c r="E1605" s="11"/>
      <c r="F1605" s="11"/>
      <c r="G1605" s="11"/>
      <c r="H1605" s="11"/>
      <c r="I1605" s="12"/>
      <c r="J1605" s="12"/>
      <c r="K1605" s="11"/>
      <c r="L1605" s="11"/>
      <c r="M1605" s="11"/>
      <c r="N1605" s="11"/>
      <c r="O1605" s="11"/>
      <c r="P1605" s="11"/>
      <c r="Q1605" s="13"/>
    </row>
    <row r="1606">
      <c r="A1606" s="11"/>
      <c r="B1606" s="11"/>
      <c r="C1606" s="11"/>
      <c r="D1606" s="11"/>
      <c r="E1606" s="11"/>
      <c r="F1606" s="11"/>
      <c r="G1606" s="11"/>
      <c r="H1606" s="11"/>
      <c r="I1606" s="12"/>
      <c r="J1606" s="12"/>
      <c r="K1606" s="11"/>
      <c r="L1606" s="11"/>
      <c r="M1606" s="11"/>
      <c r="N1606" s="11"/>
      <c r="O1606" s="11"/>
      <c r="P1606" s="11"/>
      <c r="Q1606" s="13"/>
    </row>
    <row r="1607">
      <c r="A1607" s="11"/>
      <c r="B1607" s="11"/>
      <c r="C1607" s="11"/>
      <c r="D1607" s="11"/>
      <c r="E1607" s="11"/>
      <c r="F1607" s="11"/>
      <c r="G1607" s="11"/>
      <c r="H1607" s="11"/>
      <c r="I1607" s="12"/>
      <c r="J1607" s="12"/>
      <c r="K1607" s="11"/>
      <c r="L1607" s="11"/>
      <c r="M1607" s="11"/>
      <c r="N1607" s="11"/>
      <c r="O1607" s="11"/>
      <c r="P1607" s="11"/>
      <c r="Q1607" s="13"/>
    </row>
    <row r="1608">
      <c r="A1608" s="11"/>
      <c r="B1608" s="11"/>
      <c r="C1608" s="11"/>
      <c r="D1608" s="11"/>
      <c r="E1608" s="11"/>
      <c r="F1608" s="11"/>
      <c r="G1608" s="11"/>
      <c r="H1608" s="11"/>
      <c r="I1608" s="12"/>
      <c r="J1608" s="12"/>
      <c r="K1608" s="11"/>
      <c r="L1608" s="11"/>
      <c r="M1608" s="11"/>
      <c r="N1608" s="11"/>
      <c r="O1608" s="11"/>
      <c r="P1608" s="11"/>
      <c r="Q1608" s="13"/>
    </row>
    <row r="1609">
      <c r="A1609" s="11"/>
      <c r="B1609" s="11"/>
      <c r="C1609" s="11"/>
      <c r="D1609" s="11"/>
      <c r="E1609" s="11"/>
      <c r="F1609" s="11"/>
      <c r="G1609" s="11"/>
      <c r="H1609" s="11"/>
      <c r="I1609" s="12"/>
      <c r="J1609" s="12"/>
      <c r="K1609" s="11"/>
      <c r="L1609" s="11"/>
      <c r="M1609" s="11"/>
      <c r="N1609" s="11"/>
      <c r="O1609" s="11"/>
      <c r="P1609" s="11"/>
      <c r="Q1609" s="13"/>
    </row>
    <row r="1610">
      <c r="A1610" s="11"/>
      <c r="B1610" s="11"/>
      <c r="C1610" s="11"/>
      <c r="D1610" s="11"/>
      <c r="E1610" s="11"/>
      <c r="F1610" s="11"/>
      <c r="G1610" s="11"/>
      <c r="H1610" s="11"/>
      <c r="I1610" s="12"/>
      <c r="J1610" s="12"/>
      <c r="K1610" s="11"/>
      <c r="L1610" s="11"/>
      <c r="M1610" s="11"/>
      <c r="N1610" s="11"/>
      <c r="O1610" s="11"/>
      <c r="P1610" s="11"/>
      <c r="Q1610" s="13"/>
    </row>
    <row r="1611">
      <c r="A1611" s="11"/>
      <c r="B1611" s="11"/>
      <c r="C1611" s="11"/>
      <c r="D1611" s="11"/>
      <c r="E1611" s="11"/>
      <c r="F1611" s="11"/>
      <c r="G1611" s="11"/>
      <c r="H1611" s="11"/>
      <c r="I1611" s="12"/>
      <c r="J1611" s="12"/>
      <c r="K1611" s="11"/>
      <c r="L1611" s="11"/>
      <c r="M1611" s="11"/>
      <c r="N1611" s="11"/>
      <c r="O1611" s="11"/>
      <c r="P1611" s="11"/>
      <c r="Q1611" s="13"/>
    </row>
    <row r="1612">
      <c r="A1612" s="11"/>
      <c r="B1612" s="11"/>
      <c r="C1612" s="11"/>
      <c r="D1612" s="11"/>
      <c r="E1612" s="11"/>
      <c r="F1612" s="11"/>
      <c r="G1612" s="11"/>
      <c r="H1612" s="11"/>
      <c r="I1612" s="12"/>
      <c r="J1612" s="12"/>
      <c r="K1612" s="11"/>
      <c r="L1612" s="11"/>
      <c r="M1612" s="11"/>
      <c r="N1612" s="11"/>
      <c r="O1612" s="11"/>
      <c r="P1612" s="11"/>
      <c r="Q1612" s="13"/>
    </row>
    <row r="1613">
      <c r="A1613" s="11"/>
      <c r="B1613" s="11"/>
      <c r="C1613" s="11"/>
      <c r="D1613" s="11"/>
      <c r="E1613" s="11"/>
      <c r="F1613" s="11"/>
      <c r="G1613" s="11"/>
      <c r="H1613" s="11"/>
      <c r="I1613" s="12"/>
      <c r="J1613" s="12"/>
      <c r="K1613" s="11"/>
      <c r="L1613" s="11"/>
      <c r="M1613" s="11"/>
      <c r="N1613" s="11"/>
      <c r="O1613" s="11"/>
      <c r="P1613" s="11"/>
      <c r="Q1613" s="13"/>
    </row>
    <row r="1614">
      <c r="A1614" s="11"/>
      <c r="B1614" s="11"/>
      <c r="C1614" s="11"/>
      <c r="D1614" s="11"/>
      <c r="E1614" s="11"/>
      <c r="F1614" s="11"/>
      <c r="G1614" s="11"/>
      <c r="H1614" s="11"/>
      <c r="I1614" s="12"/>
      <c r="J1614" s="12"/>
      <c r="K1614" s="11"/>
      <c r="L1614" s="11"/>
      <c r="M1614" s="11"/>
      <c r="N1614" s="11"/>
      <c r="O1614" s="11"/>
      <c r="P1614" s="11"/>
      <c r="Q1614" s="13"/>
    </row>
    <row r="1615">
      <c r="A1615" s="11"/>
      <c r="B1615" s="11"/>
      <c r="C1615" s="11"/>
      <c r="D1615" s="11"/>
      <c r="E1615" s="11"/>
      <c r="F1615" s="11"/>
      <c r="G1615" s="11"/>
      <c r="H1615" s="11"/>
      <c r="I1615" s="12"/>
      <c r="J1615" s="12"/>
      <c r="K1615" s="11"/>
      <c r="L1615" s="11"/>
      <c r="M1615" s="11"/>
      <c r="N1615" s="11"/>
      <c r="O1615" s="11"/>
      <c r="P1615" s="11"/>
      <c r="Q1615" s="13"/>
    </row>
    <row r="1616">
      <c r="A1616" s="11"/>
      <c r="B1616" s="11"/>
      <c r="C1616" s="11"/>
      <c r="D1616" s="11"/>
      <c r="E1616" s="11"/>
      <c r="F1616" s="11"/>
      <c r="G1616" s="11"/>
      <c r="H1616" s="11"/>
      <c r="I1616" s="12"/>
      <c r="J1616" s="12"/>
      <c r="K1616" s="11"/>
      <c r="L1616" s="11"/>
      <c r="M1616" s="11"/>
      <c r="N1616" s="11"/>
      <c r="O1616" s="11"/>
      <c r="P1616" s="11"/>
      <c r="Q1616" s="13"/>
    </row>
    <row r="1617">
      <c r="A1617" s="11"/>
      <c r="B1617" s="11"/>
      <c r="C1617" s="11"/>
      <c r="D1617" s="11"/>
      <c r="E1617" s="11"/>
      <c r="F1617" s="11"/>
      <c r="G1617" s="11"/>
      <c r="H1617" s="11"/>
      <c r="I1617" s="12"/>
      <c r="J1617" s="12"/>
      <c r="K1617" s="11"/>
      <c r="L1617" s="11"/>
      <c r="M1617" s="11"/>
      <c r="N1617" s="11"/>
      <c r="O1617" s="11"/>
      <c r="P1617" s="11"/>
      <c r="Q1617" s="13"/>
    </row>
    <row r="1618">
      <c r="A1618" s="11"/>
      <c r="B1618" s="11"/>
      <c r="C1618" s="11"/>
      <c r="D1618" s="11"/>
      <c r="E1618" s="11"/>
      <c r="F1618" s="11"/>
      <c r="G1618" s="11"/>
      <c r="H1618" s="11"/>
      <c r="I1618" s="12"/>
      <c r="J1618" s="12"/>
      <c r="K1618" s="11"/>
      <c r="L1618" s="11"/>
      <c r="M1618" s="11"/>
      <c r="N1618" s="11"/>
      <c r="O1618" s="11"/>
      <c r="P1618" s="11"/>
      <c r="Q1618" s="13"/>
    </row>
    <row r="1619">
      <c r="A1619" s="11"/>
      <c r="B1619" s="11"/>
      <c r="C1619" s="11"/>
      <c r="D1619" s="11"/>
      <c r="E1619" s="11"/>
      <c r="F1619" s="11"/>
      <c r="G1619" s="11"/>
      <c r="H1619" s="11"/>
      <c r="I1619" s="12"/>
      <c r="J1619" s="12"/>
      <c r="K1619" s="11"/>
      <c r="L1619" s="11"/>
      <c r="M1619" s="11"/>
      <c r="N1619" s="11"/>
      <c r="O1619" s="11"/>
      <c r="P1619" s="11"/>
      <c r="Q1619" s="13"/>
    </row>
    <row r="1620">
      <c r="A1620" s="11"/>
      <c r="B1620" s="11"/>
      <c r="C1620" s="11"/>
      <c r="D1620" s="11"/>
      <c r="E1620" s="11"/>
      <c r="F1620" s="11"/>
      <c r="G1620" s="11"/>
      <c r="H1620" s="11"/>
      <c r="I1620" s="12"/>
      <c r="J1620" s="12"/>
      <c r="K1620" s="11"/>
      <c r="L1620" s="11"/>
      <c r="M1620" s="11"/>
      <c r="N1620" s="11"/>
      <c r="O1620" s="11"/>
      <c r="P1620" s="11"/>
      <c r="Q1620" s="13"/>
    </row>
    <row r="1621">
      <c r="A1621" s="11"/>
      <c r="B1621" s="11"/>
      <c r="C1621" s="11"/>
      <c r="D1621" s="11"/>
      <c r="E1621" s="11"/>
      <c r="F1621" s="11"/>
      <c r="G1621" s="11"/>
      <c r="H1621" s="11"/>
      <c r="I1621" s="12"/>
      <c r="J1621" s="12"/>
      <c r="K1621" s="11"/>
      <c r="L1621" s="11"/>
      <c r="M1621" s="11"/>
      <c r="N1621" s="11"/>
      <c r="O1621" s="11"/>
      <c r="P1621" s="11"/>
      <c r="Q1621" s="13"/>
    </row>
    <row r="1622">
      <c r="A1622" s="11"/>
      <c r="B1622" s="11"/>
      <c r="C1622" s="11"/>
      <c r="D1622" s="11"/>
      <c r="E1622" s="11"/>
      <c r="F1622" s="11"/>
      <c r="G1622" s="11"/>
      <c r="H1622" s="11"/>
      <c r="I1622" s="12"/>
      <c r="J1622" s="12"/>
      <c r="K1622" s="11"/>
      <c r="L1622" s="11"/>
      <c r="M1622" s="11"/>
      <c r="N1622" s="11"/>
      <c r="O1622" s="11"/>
      <c r="P1622" s="11"/>
      <c r="Q1622" s="13"/>
    </row>
    <row r="1623">
      <c r="A1623" s="11"/>
      <c r="B1623" s="11"/>
      <c r="C1623" s="11"/>
      <c r="D1623" s="11"/>
      <c r="E1623" s="11"/>
      <c r="F1623" s="11"/>
      <c r="G1623" s="11"/>
      <c r="H1623" s="11"/>
      <c r="I1623" s="12"/>
      <c r="J1623" s="12"/>
      <c r="K1623" s="11"/>
      <c r="L1623" s="11"/>
      <c r="M1623" s="11"/>
      <c r="N1623" s="11"/>
      <c r="O1623" s="11"/>
      <c r="P1623" s="11"/>
      <c r="Q1623" s="13"/>
    </row>
    <row r="1624">
      <c r="A1624" s="11"/>
      <c r="B1624" s="11"/>
      <c r="C1624" s="11"/>
      <c r="D1624" s="11"/>
      <c r="E1624" s="11"/>
      <c r="F1624" s="11"/>
      <c r="G1624" s="11"/>
      <c r="H1624" s="11"/>
      <c r="I1624" s="12"/>
      <c r="J1624" s="12"/>
      <c r="K1624" s="11"/>
      <c r="L1624" s="11"/>
      <c r="M1624" s="11"/>
      <c r="N1624" s="11"/>
      <c r="O1624" s="11"/>
      <c r="P1624" s="11"/>
      <c r="Q1624" s="13"/>
    </row>
    <row r="1625">
      <c r="A1625" s="11"/>
      <c r="B1625" s="11"/>
      <c r="C1625" s="11"/>
      <c r="D1625" s="11"/>
      <c r="E1625" s="11"/>
      <c r="F1625" s="11"/>
      <c r="G1625" s="11"/>
      <c r="H1625" s="11"/>
      <c r="I1625" s="12"/>
      <c r="J1625" s="12"/>
      <c r="K1625" s="11"/>
      <c r="L1625" s="11"/>
      <c r="M1625" s="11"/>
      <c r="N1625" s="11"/>
      <c r="O1625" s="11"/>
      <c r="P1625" s="11"/>
      <c r="Q1625" s="13"/>
    </row>
    <row r="1626">
      <c r="A1626" s="11"/>
      <c r="B1626" s="11"/>
      <c r="C1626" s="11"/>
      <c r="D1626" s="11"/>
      <c r="E1626" s="11"/>
      <c r="F1626" s="11"/>
      <c r="G1626" s="11"/>
      <c r="H1626" s="11"/>
      <c r="I1626" s="12"/>
      <c r="J1626" s="12"/>
      <c r="K1626" s="11"/>
      <c r="L1626" s="11"/>
      <c r="M1626" s="11"/>
      <c r="N1626" s="11"/>
      <c r="O1626" s="11"/>
      <c r="P1626" s="11"/>
      <c r="Q1626" s="13"/>
    </row>
    <row r="1627">
      <c r="A1627" s="11"/>
      <c r="B1627" s="11"/>
      <c r="C1627" s="11"/>
      <c r="D1627" s="11"/>
      <c r="E1627" s="11"/>
      <c r="F1627" s="11"/>
      <c r="G1627" s="11"/>
      <c r="H1627" s="11"/>
      <c r="I1627" s="12"/>
      <c r="J1627" s="12"/>
      <c r="K1627" s="11"/>
      <c r="L1627" s="11"/>
      <c r="M1627" s="11"/>
      <c r="N1627" s="11"/>
      <c r="O1627" s="11"/>
      <c r="P1627" s="11"/>
      <c r="Q1627" s="13"/>
    </row>
    <row r="1628">
      <c r="A1628" s="11"/>
      <c r="B1628" s="11"/>
      <c r="C1628" s="11"/>
      <c r="D1628" s="11"/>
      <c r="E1628" s="11"/>
      <c r="F1628" s="11"/>
      <c r="G1628" s="11"/>
      <c r="H1628" s="11"/>
      <c r="I1628" s="12"/>
      <c r="J1628" s="12"/>
      <c r="K1628" s="11"/>
      <c r="L1628" s="11"/>
      <c r="M1628" s="11"/>
      <c r="N1628" s="11"/>
      <c r="O1628" s="11"/>
      <c r="P1628" s="11"/>
      <c r="Q1628" s="13"/>
    </row>
    <row r="1629">
      <c r="A1629" s="11"/>
      <c r="B1629" s="11"/>
      <c r="C1629" s="11"/>
      <c r="D1629" s="11"/>
      <c r="E1629" s="11"/>
      <c r="F1629" s="11"/>
      <c r="G1629" s="11"/>
      <c r="H1629" s="11"/>
      <c r="I1629" s="12"/>
      <c r="J1629" s="12"/>
      <c r="K1629" s="11"/>
      <c r="L1629" s="11"/>
      <c r="M1629" s="11"/>
      <c r="N1629" s="11"/>
      <c r="O1629" s="11"/>
      <c r="P1629" s="11"/>
      <c r="Q1629" s="13"/>
    </row>
    <row r="1630">
      <c r="A1630" s="11"/>
      <c r="B1630" s="11"/>
      <c r="C1630" s="11"/>
      <c r="D1630" s="11"/>
      <c r="E1630" s="11"/>
      <c r="F1630" s="11"/>
      <c r="G1630" s="11"/>
      <c r="H1630" s="11"/>
      <c r="I1630" s="12"/>
      <c r="J1630" s="12"/>
      <c r="K1630" s="11"/>
      <c r="L1630" s="11"/>
      <c r="M1630" s="11"/>
      <c r="N1630" s="11"/>
      <c r="O1630" s="11"/>
      <c r="P1630" s="11"/>
      <c r="Q1630" s="13"/>
    </row>
    <row r="1631">
      <c r="A1631" s="11"/>
      <c r="B1631" s="11"/>
      <c r="C1631" s="11"/>
      <c r="D1631" s="11"/>
      <c r="E1631" s="11"/>
      <c r="F1631" s="11"/>
      <c r="G1631" s="11"/>
      <c r="H1631" s="11"/>
      <c r="I1631" s="12"/>
      <c r="J1631" s="12"/>
      <c r="K1631" s="11"/>
      <c r="L1631" s="11"/>
      <c r="M1631" s="11"/>
      <c r="N1631" s="11"/>
      <c r="O1631" s="11"/>
      <c r="P1631" s="11"/>
      <c r="Q1631" s="13"/>
    </row>
    <row r="1632">
      <c r="A1632" s="11"/>
      <c r="B1632" s="11"/>
      <c r="C1632" s="11"/>
      <c r="D1632" s="11"/>
      <c r="E1632" s="11"/>
      <c r="F1632" s="11"/>
      <c r="G1632" s="11"/>
      <c r="H1632" s="11"/>
      <c r="I1632" s="12"/>
      <c r="J1632" s="12"/>
      <c r="K1632" s="11"/>
      <c r="L1632" s="11"/>
      <c r="M1632" s="11"/>
      <c r="N1632" s="11"/>
      <c r="O1632" s="11"/>
      <c r="P1632" s="11"/>
      <c r="Q1632" s="13"/>
    </row>
    <row r="1633">
      <c r="A1633" s="11"/>
      <c r="B1633" s="11"/>
      <c r="C1633" s="11"/>
      <c r="D1633" s="11"/>
      <c r="E1633" s="11"/>
      <c r="F1633" s="11"/>
      <c r="G1633" s="11"/>
      <c r="H1633" s="11"/>
      <c r="I1633" s="12"/>
      <c r="J1633" s="12"/>
      <c r="K1633" s="11"/>
      <c r="L1633" s="11"/>
      <c r="M1633" s="11"/>
      <c r="N1633" s="11"/>
      <c r="O1633" s="11"/>
      <c r="P1633" s="11"/>
      <c r="Q1633" s="13"/>
    </row>
    <row r="1634">
      <c r="A1634" s="11"/>
      <c r="B1634" s="11"/>
      <c r="C1634" s="11"/>
      <c r="D1634" s="11"/>
      <c r="E1634" s="11"/>
      <c r="F1634" s="11"/>
      <c r="G1634" s="11"/>
      <c r="H1634" s="11"/>
      <c r="I1634" s="12"/>
      <c r="J1634" s="12"/>
      <c r="K1634" s="11"/>
      <c r="L1634" s="11"/>
      <c r="M1634" s="11"/>
      <c r="N1634" s="11"/>
      <c r="O1634" s="11"/>
      <c r="P1634" s="11"/>
      <c r="Q1634" s="13"/>
    </row>
    <row r="1635">
      <c r="A1635" s="11"/>
      <c r="B1635" s="11"/>
      <c r="C1635" s="11"/>
      <c r="D1635" s="11"/>
      <c r="E1635" s="11"/>
      <c r="F1635" s="11"/>
      <c r="G1635" s="11"/>
      <c r="H1635" s="11"/>
      <c r="I1635" s="12"/>
      <c r="J1635" s="12"/>
      <c r="K1635" s="11"/>
      <c r="L1635" s="11"/>
      <c r="M1635" s="11"/>
      <c r="N1635" s="11"/>
      <c r="O1635" s="11"/>
      <c r="P1635" s="11"/>
      <c r="Q1635" s="13"/>
    </row>
    <row r="1636">
      <c r="A1636" s="11"/>
      <c r="B1636" s="11"/>
      <c r="C1636" s="11"/>
      <c r="D1636" s="11"/>
      <c r="E1636" s="11"/>
      <c r="F1636" s="11"/>
      <c r="G1636" s="11"/>
      <c r="H1636" s="11"/>
      <c r="I1636" s="12"/>
      <c r="J1636" s="12"/>
      <c r="K1636" s="11"/>
      <c r="L1636" s="11"/>
      <c r="M1636" s="11"/>
      <c r="N1636" s="11"/>
      <c r="O1636" s="11"/>
      <c r="P1636" s="11"/>
      <c r="Q1636" s="13"/>
    </row>
    <row r="1637">
      <c r="A1637" s="11"/>
      <c r="B1637" s="11"/>
      <c r="C1637" s="11"/>
      <c r="D1637" s="11"/>
      <c r="E1637" s="11"/>
      <c r="F1637" s="11"/>
      <c r="G1637" s="11"/>
      <c r="H1637" s="11"/>
      <c r="I1637" s="12"/>
      <c r="J1637" s="12"/>
      <c r="K1637" s="11"/>
      <c r="L1637" s="11"/>
      <c r="M1637" s="11"/>
      <c r="N1637" s="11"/>
      <c r="O1637" s="11"/>
      <c r="P1637" s="11"/>
      <c r="Q1637" s="13"/>
    </row>
    <row r="1638">
      <c r="A1638" s="11"/>
      <c r="B1638" s="11"/>
      <c r="C1638" s="11"/>
      <c r="D1638" s="11"/>
      <c r="E1638" s="11"/>
      <c r="F1638" s="11"/>
      <c r="G1638" s="11"/>
      <c r="H1638" s="11"/>
      <c r="I1638" s="12"/>
      <c r="J1638" s="12"/>
      <c r="K1638" s="11"/>
      <c r="L1638" s="11"/>
      <c r="M1638" s="11"/>
      <c r="N1638" s="11"/>
      <c r="O1638" s="11"/>
      <c r="P1638" s="11"/>
      <c r="Q1638" s="13"/>
    </row>
    <row r="1639">
      <c r="A1639" s="11"/>
      <c r="B1639" s="11"/>
      <c r="C1639" s="11"/>
      <c r="D1639" s="11"/>
      <c r="E1639" s="11"/>
      <c r="F1639" s="11"/>
      <c r="G1639" s="11"/>
      <c r="H1639" s="11"/>
      <c r="I1639" s="12"/>
      <c r="J1639" s="12"/>
      <c r="K1639" s="11"/>
      <c r="L1639" s="11"/>
      <c r="M1639" s="11"/>
      <c r="N1639" s="11"/>
      <c r="O1639" s="11"/>
      <c r="P1639" s="11"/>
      <c r="Q1639" s="13"/>
    </row>
    <row r="1640">
      <c r="A1640" s="11"/>
      <c r="B1640" s="11"/>
      <c r="C1640" s="11"/>
      <c r="D1640" s="11"/>
      <c r="E1640" s="11"/>
      <c r="F1640" s="11"/>
      <c r="G1640" s="11"/>
      <c r="H1640" s="11"/>
      <c r="I1640" s="12"/>
      <c r="J1640" s="12"/>
      <c r="K1640" s="11"/>
      <c r="L1640" s="11"/>
      <c r="M1640" s="11"/>
      <c r="N1640" s="11"/>
      <c r="O1640" s="11"/>
      <c r="P1640" s="11"/>
      <c r="Q1640" s="13"/>
    </row>
    <row r="1641">
      <c r="A1641" s="11"/>
      <c r="B1641" s="11"/>
      <c r="C1641" s="11"/>
      <c r="D1641" s="11"/>
      <c r="E1641" s="11"/>
      <c r="F1641" s="11"/>
      <c r="G1641" s="11"/>
      <c r="H1641" s="11"/>
      <c r="I1641" s="12"/>
      <c r="J1641" s="12"/>
      <c r="K1641" s="11"/>
      <c r="L1641" s="11"/>
      <c r="M1641" s="11"/>
      <c r="N1641" s="11"/>
      <c r="O1641" s="11"/>
      <c r="P1641" s="11"/>
      <c r="Q1641" s="13"/>
    </row>
    <row r="1642">
      <c r="A1642" s="11"/>
      <c r="B1642" s="11"/>
      <c r="C1642" s="11"/>
      <c r="D1642" s="11"/>
      <c r="E1642" s="11"/>
      <c r="F1642" s="11"/>
      <c r="G1642" s="11"/>
      <c r="H1642" s="11"/>
      <c r="I1642" s="12"/>
      <c r="J1642" s="12"/>
      <c r="K1642" s="11"/>
      <c r="L1642" s="11"/>
      <c r="M1642" s="11"/>
      <c r="N1642" s="11"/>
      <c r="O1642" s="11"/>
      <c r="P1642" s="11"/>
      <c r="Q1642" s="13"/>
    </row>
    <row r="1643">
      <c r="A1643" s="11"/>
      <c r="B1643" s="11"/>
      <c r="C1643" s="11"/>
      <c r="D1643" s="11"/>
      <c r="E1643" s="11"/>
      <c r="F1643" s="11"/>
      <c r="G1643" s="11"/>
      <c r="H1643" s="11"/>
      <c r="I1643" s="12"/>
      <c r="J1643" s="12"/>
      <c r="K1643" s="11"/>
      <c r="L1643" s="11"/>
      <c r="M1643" s="11"/>
      <c r="N1643" s="11"/>
      <c r="O1643" s="11"/>
      <c r="P1643" s="11"/>
      <c r="Q1643" s="13"/>
    </row>
    <row r="1644">
      <c r="A1644" s="11"/>
      <c r="B1644" s="11"/>
      <c r="C1644" s="11"/>
      <c r="D1644" s="11"/>
      <c r="E1644" s="11"/>
      <c r="F1644" s="11"/>
      <c r="G1644" s="11"/>
      <c r="H1644" s="11"/>
      <c r="I1644" s="12"/>
      <c r="J1644" s="12"/>
      <c r="K1644" s="11"/>
      <c r="L1644" s="11"/>
      <c r="M1644" s="11"/>
      <c r="N1644" s="11"/>
      <c r="O1644" s="11"/>
      <c r="P1644" s="11"/>
      <c r="Q1644" s="13"/>
    </row>
    <row r="1645">
      <c r="A1645" s="11"/>
      <c r="B1645" s="11"/>
      <c r="C1645" s="11"/>
      <c r="D1645" s="11"/>
      <c r="E1645" s="11"/>
      <c r="F1645" s="11"/>
      <c r="G1645" s="11"/>
      <c r="H1645" s="11"/>
      <c r="I1645" s="12"/>
      <c r="J1645" s="12"/>
      <c r="K1645" s="11"/>
      <c r="L1645" s="11"/>
      <c r="M1645" s="11"/>
      <c r="N1645" s="11"/>
      <c r="O1645" s="11"/>
      <c r="P1645" s="11"/>
      <c r="Q1645" s="13"/>
    </row>
    <row r="1646">
      <c r="A1646" s="11"/>
      <c r="B1646" s="11"/>
      <c r="C1646" s="11"/>
      <c r="D1646" s="11"/>
      <c r="E1646" s="11"/>
      <c r="F1646" s="11"/>
      <c r="G1646" s="11"/>
      <c r="H1646" s="11"/>
      <c r="I1646" s="12"/>
      <c r="J1646" s="12"/>
      <c r="K1646" s="11"/>
      <c r="L1646" s="11"/>
      <c r="M1646" s="11"/>
      <c r="N1646" s="11"/>
      <c r="O1646" s="11"/>
      <c r="P1646" s="11"/>
      <c r="Q1646" s="13"/>
    </row>
    <row r="1647">
      <c r="A1647" s="11"/>
      <c r="B1647" s="11"/>
      <c r="C1647" s="11"/>
      <c r="D1647" s="11"/>
      <c r="E1647" s="11"/>
      <c r="F1647" s="11"/>
      <c r="G1647" s="11"/>
      <c r="H1647" s="11"/>
      <c r="I1647" s="12"/>
      <c r="J1647" s="12"/>
      <c r="K1647" s="11"/>
      <c r="L1647" s="11"/>
      <c r="M1647" s="11"/>
      <c r="N1647" s="11"/>
      <c r="O1647" s="11"/>
      <c r="P1647" s="11"/>
      <c r="Q1647" s="13"/>
    </row>
    <row r="1648">
      <c r="A1648" s="11"/>
      <c r="B1648" s="11"/>
      <c r="C1648" s="11"/>
      <c r="D1648" s="11"/>
      <c r="E1648" s="11"/>
      <c r="F1648" s="11"/>
      <c r="G1648" s="11"/>
      <c r="H1648" s="11"/>
      <c r="I1648" s="12"/>
      <c r="J1648" s="12"/>
      <c r="K1648" s="11"/>
      <c r="L1648" s="11"/>
      <c r="M1648" s="11"/>
      <c r="N1648" s="11"/>
      <c r="O1648" s="11"/>
      <c r="P1648" s="11"/>
      <c r="Q1648" s="13"/>
    </row>
    <row r="1649">
      <c r="A1649" s="11"/>
      <c r="B1649" s="11"/>
      <c r="C1649" s="11"/>
      <c r="D1649" s="11"/>
      <c r="E1649" s="11"/>
      <c r="F1649" s="11"/>
      <c r="G1649" s="11"/>
      <c r="H1649" s="11"/>
      <c r="I1649" s="12"/>
      <c r="J1649" s="12"/>
      <c r="K1649" s="11"/>
      <c r="L1649" s="11"/>
      <c r="M1649" s="11"/>
      <c r="N1649" s="11"/>
      <c r="O1649" s="11"/>
      <c r="P1649" s="11"/>
      <c r="Q1649" s="13"/>
    </row>
    <row r="1650">
      <c r="A1650" s="11"/>
      <c r="B1650" s="11"/>
      <c r="C1650" s="11"/>
      <c r="D1650" s="11"/>
      <c r="E1650" s="11"/>
      <c r="F1650" s="11"/>
      <c r="G1650" s="11"/>
      <c r="H1650" s="11"/>
      <c r="I1650" s="12"/>
      <c r="J1650" s="12"/>
      <c r="K1650" s="11"/>
      <c r="L1650" s="11"/>
      <c r="M1650" s="11"/>
      <c r="N1650" s="11"/>
      <c r="O1650" s="11"/>
      <c r="P1650" s="11"/>
      <c r="Q1650" s="13"/>
    </row>
    <row r="1651">
      <c r="A1651" s="11"/>
      <c r="B1651" s="11"/>
      <c r="C1651" s="11"/>
      <c r="D1651" s="11"/>
      <c r="E1651" s="11"/>
      <c r="F1651" s="11"/>
      <c r="G1651" s="11"/>
      <c r="H1651" s="11"/>
      <c r="I1651" s="12"/>
      <c r="J1651" s="12"/>
      <c r="K1651" s="11"/>
      <c r="L1651" s="11"/>
      <c r="M1651" s="11"/>
      <c r="N1651" s="11"/>
      <c r="O1651" s="11"/>
      <c r="P1651" s="11"/>
      <c r="Q1651" s="13"/>
    </row>
    <row r="1652">
      <c r="A1652" s="11"/>
      <c r="B1652" s="11"/>
      <c r="C1652" s="11"/>
      <c r="D1652" s="11"/>
      <c r="E1652" s="11"/>
      <c r="F1652" s="11"/>
      <c r="G1652" s="11"/>
      <c r="H1652" s="11"/>
      <c r="I1652" s="12"/>
      <c r="J1652" s="12"/>
      <c r="K1652" s="11"/>
      <c r="L1652" s="11"/>
      <c r="M1652" s="11"/>
      <c r="N1652" s="11"/>
      <c r="O1652" s="11"/>
      <c r="P1652" s="11"/>
      <c r="Q1652" s="13"/>
    </row>
    <row r="1653">
      <c r="A1653" s="11"/>
      <c r="B1653" s="11"/>
      <c r="C1653" s="11"/>
      <c r="D1653" s="11"/>
      <c r="E1653" s="11"/>
      <c r="F1653" s="11"/>
      <c r="G1653" s="11"/>
      <c r="H1653" s="11"/>
      <c r="I1653" s="12"/>
      <c r="J1653" s="12"/>
      <c r="K1653" s="11"/>
      <c r="L1653" s="11"/>
      <c r="M1653" s="11"/>
      <c r="N1653" s="11"/>
      <c r="O1653" s="11"/>
      <c r="P1653" s="11"/>
      <c r="Q1653" s="13"/>
    </row>
    <row r="1654">
      <c r="A1654" s="11"/>
      <c r="B1654" s="11"/>
      <c r="C1654" s="11"/>
      <c r="D1654" s="11"/>
      <c r="E1654" s="11"/>
      <c r="F1654" s="11"/>
      <c r="G1654" s="11"/>
      <c r="H1654" s="11"/>
      <c r="I1654" s="12"/>
      <c r="J1654" s="12"/>
      <c r="K1654" s="11"/>
      <c r="L1654" s="11"/>
      <c r="M1654" s="11"/>
      <c r="N1654" s="11"/>
      <c r="O1654" s="11"/>
      <c r="P1654" s="11"/>
      <c r="Q1654" s="13"/>
    </row>
    <row r="1655">
      <c r="A1655" s="11"/>
      <c r="B1655" s="11"/>
      <c r="C1655" s="11"/>
      <c r="D1655" s="11"/>
      <c r="E1655" s="11"/>
      <c r="F1655" s="11"/>
      <c r="G1655" s="11"/>
      <c r="H1655" s="11"/>
      <c r="I1655" s="12"/>
      <c r="J1655" s="12"/>
      <c r="K1655" s="11"/>
      <c r="L1655" s="11"/>
      <c r="M1655" s="11"/>
      <c r="N1655" s="11"/>
      <c r="O1655" s="11"/>
      <c r="P1655" s="11"/>
      <c r="Q1655" s="13"/>
    </row>
    <row r="1656">
      <c r="A1656" s="11"/>
      <c r="B1656" s="11"/>
      <c r="C1656" s="11"/>
      <c r="D1656" s="11"/>
      <c r="E1656" s="11"/>
      <c r="F1656" s="11"/>
      <c r="G1656" s="11"/>
      <c r="H1656" s="11"/>
      <c r="I1656" s="12"/>
      <c r="J1656" s="12"/>
      <c r="K1656" s="11"/>
      <c r="L1656" s="11"/>
      <c r="M1656" s="11"/>
      <c r="N1656" s="11"/>
      <c r="O1656" s="11"/>
      <c r="P1656" s="11"/>
      <c r="Q1656" s="13"/>
    </row>
    <row r="1657">
      <c r="A1657" s="11"/>
      <c r="B1657" s="11"/>
      <c r="C1657" s="11"/>
      <c r="D1657" s="11"/>
      <c r="E1657" s="11"/>
      <c r="F1657" s="11"/>
      <c r="G1657" s="11"/>
      <c r="H1657" s="11"/>
      <c r="I1657" s="12"/>
      <c r="J1657" s="12"/>
      <c r="K1657" s="11"/>
      <c r="L1657" s="11"/>
      <c r="M1657" s="11"/>
      <c r="N1657" s="11"/>
      <c r="O1657" s="11"/>
      <c r="P1657" s="11"/>
      <c r="Q1657" s="13"/>
    </row>
    <row r="1658">
      <c r="A1658" s="11"/>
      <c r="B1658" s="11"/>
      <c r="C1658" s="11"/>
      <c r="D1658" s="11"/>
      <c r="E1658" s="11"/>
      <c r="F1658" s="11"/>
      <c r="G1658" s="11"/>
      <c r="H1658" s="11"/>
      <c r="I1658" s="12"/>
      <c r="J1658" s="12"/>
      <c r="K1658" s="11"/>
      <c r="L1658" s="11"/>
      <c r="M1658" s="11"/>
      <c r="N1658" s="11"/>
      <c r="O1658" s="11"/>
      <c r="P1658" s="11"/>
      <c r="Q1658" s="13"/>
    </row>
    <row r="1659">
      <c r="A1659" s="11"/>
      <c r="B1659" s="11"/>
      <c r="C1659" s="11"/>
      <c r="D1659" s="11"/>
      <c r="E1659" s="11"/>
      <c r="F1659" s="11"/>
      <c r="G1659" s="11"/>
      <c r="H1659" s="11"/>
      <c r="I1659" s="12"/>
      <c r="J1659" s="12"/>
      <c r="K1659" s="11"/>
      <c r="L1659" s="11"/>
      <c r="M1659" s="11"/>
      <c r="N1659" s="11"/>
      <c r="O1659" s="11"/>
      <c r="P1659" s="11"/>
      <c r="Q1659" s="13"/>
    </row>
    <row r="1660">
      <c r="A1660" s="11"/>
      <c r="B1660" s="11"/>
      <c r="C1660" s="11"/>
      <c r="D1660" s="11"/>
      <c r="E1660" s="11"/>
      <c r="F1660" s="11"/>
      <c r="G1660" s="11"/>
      <c r="H1660" s="11"/>
      <c r="I1660" s="12"/>
      <c r="J1660" s="12"/>
      <c r="K1660" s="11"/>
      <c r="L1660" s="11"/>
      <c r="M1660" s="11"/>
      <c r="N1660" s="11"/>
      <c r="O1660" s="11"/>
      <c r="P1660" s="11"/>
      <c r="Q1660" s="13"/>
    </row>
    <row r="1661">
      <c r="A1661" s="11"/>
      <c r="B1661" s="11"/>
      <c r="C1661" s="11"/>
      <c r="D1661" s="11"/>
      <c r="E1661" s="11"/>
      <c r="F1661" s="11"/>
      <c r="G1661" s="11"/>
      <c r="H1661" s="11"/>
      <c r="I1661" s="12"/>
      <c r="J1661" s="12"/>
      <c r="K1661" s="11"/>
      <c r="L1661" s="11"/>
      <c r="M1661" s="11"/>
      <c r="N1661" s="11"/>
      <c r="O1661" s="11"/>
      <c r="P1661" s="11"/>
      <c r="Q1661" s="13"/>
    </row>
    <row r="1662">
      <c r="A1662" s="11"/>
      <c r="B1662" s="11"/>
      <c r="C1662" s="11"/>
      <c r="D1662" s="11"/>
      <c r="E1662" s="11"/>
      <c r="F1662" s="11"/>
      <c r="G1662" s="11"/>
      <c r="H1662" s="11"/>
      <c r="I1662" s="12"/>
      <c r="J1662" s="12"/>
      <c r="K1662" s="11"/>
      <c r="L1662" s="11"/>
      <c r="M1662" s="11"/>
      <c r="N1662" s="11"/>
      <c r="O1662" s="11"/>
      <c r="P1662" s="11"/>
      <c r="Q1662" s="13"/>
    </row>
    <row r="1663">
      <c r="A1663" s="11"/>
      <c r="B1663" s="11"/>
      <c r="C1663" s="11"/>
      <c r="D1663" s="11"/>
      <c r="E1663" s="11"/>
      <c r="F1663" s="11"/>
      <c r="G1663" s="11"/>
      <c r="H1663" s="11"/>
      <c r="I1663" s="12"/>
      <c r="J1663" s="12"/>
      <c r="K1663" s="11"/>
      <c r="L1663" s="11"/>
      <c r="M1663" s="11"/>
      <c r="N1663" s="11"/>
      <c r="O1663" s="11"/>
      <c r="P1663" s="11"/>
      <c r="Q1663" s="13"/>
    </row>
    <row r="1664">
      <c r="A1664" s="11"/>
      <c r="B1664" s="11"/>
      <c r="C1664" s="11"/>
      <c r="D1664" s="11"/>
      <c r="E1664" s="11"/>
      <c r="F1664" s="11"/>
      <c r="G1664" s="11"/>
      <c r="H1664" s="11"/>
      <c r="I1664" s="12"/>
      <c r="J1664" s="12"/>
      <c r="K1664" s="11"/>
      <c r="L1664" s="11"/>
      <c r="M1664" s="11"/>
      <c r="N1664" s="11"/>
      <c r="O1664" s="11"/>
      <c r="P1664" s="11"/>
      <c r="Q1664" s="13"/>
    </row>
    <row r="1665">
      <c r="A1665" s="11"/>
      <c r="B1665" s="11"/>
      <c r="C1665" s="11"/>
      <c r="D1665" s="11"/>
      <c r="E1665" s="11"/>
      <c r="F1665" s="11"/>
      <c r="G1665" s="11"/>
      <c r="H1665" s="11"/>
      <c r="I1665" s="12"/>
      <c r="J1665" s="12"/>
      <c r="K1665" s="11"/>
      <c r="L1665" s="11"/>
      <c r="M1665" s="11"/>
      <c r="N1665" s="11"/>
      <c r="O1665" s="11"/>
      <c r="P1665" s="11"/>
      <c r="Q1665" s="13"/>
    </row>
    <row r="1666">
      <c r="A1666" s="11"/>
      <c r="B1666" s="11"/>
      <c r="C1666" s="11"/>
      <c r="D1666" s="11"/>
      <c r="E1666" s="11"/>
      <c r="F1666" s="11"/>
      <c r="G1666" s="11"/>
      <c r="H1666" s="11"/>
      <c r="I1666" s="12"/>
      <c r="J1666" s="12"/>
      <c r="K1666" s="11"/>
      <c r="L1666" s="11"/>
      <c r="M1666" s="11"/>
      <c r="N1666" s="11"/>
      <c r="O1666" s="11"/>
      <c r="P1666" s="11"/>
      <c r="Q1666" s="13"/>
    </row>
    <row r="1667">
      <c r="A1667" s="11"/>
      <c r="B1667" s="11"/>
      <c r="C1667" s="11"/>
      <c r="D1667" s="11"/>
      <c r="E1667" s="11"/>
      <c r="F1667" s="11"/>
      <c r="G1667" s="11"/>
      <c r="H1667" s="11"/>
      <c r="I1667" s="12"/>
      <c r="J1667" s="12"/>
      <c r="K1667" s="11"/>
      <c r="L1667" s="11"/>
      <c r="M1667" s="11"/>
      <c r="N1667" s="11"/>
      <c r="O1667" s="11"/>
      <c r="P1667" s="11"/>
      <c r="Q1667" s="13"/>
    </row>
    <row r="1668">
      <c r="A1668" s="11"/>
      <c r="B1668" s="11"/>
      <c r="C1668" s="11"/>
      <c r="D1668" s="11"/>
      <c r="E1668" s="11"/>
      <c r="F1668" s="11"/>
      <c r="G1668" s="11"/>
      <c r="H1668" s="11"/>
      <c r="I1668" s="12"/>
      <c r="J1668" s="12"/>
      <c r="K1668" s="11"/>
      <c r="L1668" s="11"/>
      <c r="M1668" s="11"/>
      <c r="N1668" s="11"/>
      <c r="O1668" s="11"/>
      <c r="P1668" s="11"/>
      <c r="Q1668" s="13"/>
    </row>
    <row r="1669">
      <c r="A1669" s="11"/>
      <c r="B1669" s="11"/>
      <c r="C1669" s="11"/>
      <c r="D1669" s="11"/>
      <c r="E1669" s="11"/>
      <c r="F1669" s="11"/>
      <c r="G1669" s="11"/>
      <c r="H1669" s="11"/>
      <c r="I1669" s="12"/>
      <c r="J1669" s="12"/>
      <c r="K1669" s="11"/>
      <c r="L1669" s="11"/>
      <c r="M1669" s="11"/>
      <c r="N1669" s="11"/>
      <c r="O1669" s="11"/>
      <c r="P1669" s="11"/>
      <c r="Q1669" s="13"/>
    </row>
    <row r="1670">
      <c r="A1670" s="11"/>
      <c r="B1670" s="11"/>
      <c r="C1670" s="11"/>
      <c r="D1670" s="11"/>
      <c r="E1670" s="11"/>
      <c r="F1670" s="11"/>
      <c r="G1670" s="11"/>
      <c r="H1670" s="11"/>
      <c r="I1670" s="12"/>
      <c r="J1670" s="12"/>
      <c r="K1670" s="11"/>
      <c r="L1670" s="11"/>
      <c r="M1670" s="11"/>
      <c r="N1670" s="11"/>
      <c r="O1670" s="11"/>
      <c r="P1670" s="11"/>
      <c r="Q1670" s="13"/>
    </row>
    <row r="1671">
      <c r="A1671" s="11"/>
      <c r="B1671" s="11"/>
      <c r="C1671" s="11"/>
      <c r="D1671" s="11"/>
      <c r="E1671" s="11"/>
      <c r="F1671" s="11"/>
      <c r="G1671" s="11"/>
      <c r="H1671" s="11"/>
      <c r="I1671" s="12"/>
      <c r="J1671" s="12"/>
      <c r="K1671" s="11"/>
      <c r="L1671" s="11"/>
      <c r="M1671" s="11"/>
      <c r="N1671" s="11"/>
      <c r="O1671" s="11"/>
      <c r="P1671" s="11"/>
      <c r="Q1671" s="13"/>
    </row>
    <row r="1672">
      <c r="A1672" s="11"/>
      <c r="B1672" s="11"/>
      <c r="C1672" s="11"/>
      <c r="D1672" s="11"/>
      <c r="E1672" s="11"/>
      <c r="F1672" s="11"/>
      <c r="G1672" s="11"/>
      <c r="H1672" s="11"/>
      <c r="I1672" s="12"/>
      <c r="J1672" s="12"/>
      <c r="K1672" s="11"/>
      <c r="L1672" s="11"/>
      <c r="M1672" s="11"/>
      <c r="N1672" s="11"/>
      <c r="O1672" s="11"/>
      <c r="P1672" s="11"/>
      <c r="Q1672" s="13"/>
    </row>
    <row r="1673">
      <c r="A1673" s="11"/>
      <c r="B1673" s="11"/>
      <c r="C1673" s="11"/>
      <c r="D1673" s="11"/>
      <c r="E1673" s="11"/>
      <c r="F1673" s="11"/>
      <c r="G1673" s="11"/>
      <c r="H1673" s="11"/>
      <c r="I1673" s="12"/>
      <c r="J1673" s="12"/>
      <c r="K1673" s="11"/>
      <c r="L1673" s="11"/>
      <c r="M1673" s="11"/>
      <c r="N1673" s="11"/>
      <c r="O1673" s="11"/>
      <c r="P1673" s="11"/>
      <c r="Q1673" s="13"/>
    </row>
    <row r="1674">
      <c r="A1674" s="11"/>
      <c r="B1674" s="11"/>
      <c r="C1674" s="11"/>
      <c r="D1674" s="11"/>
      <c r="E1674" s="11"/>
      <c r="F1674" s="11"/>
      <c r="G1674" s="11"/>
      <c r="H1674" s="11"/>
      <c r="I1674" s="12"/>
      <c r="J1674" s="12"/>
      <c r="K1674" s="11"/>
      <c r="L1674" s="11"/>
      <c r="M1674" s="11"/>
      <c r="N1674" s="11"/>
      <c r="O1674" s="11"/>
      <c r="P1674" s="11"/>
      <c r="Q1674" s="13"/>
    </row>
    <row r="1675">
      <c r="A1675" s="11"/>
      <c r="B1675" s="11"/>
      <c r="C1675" s="11"/>
      <c r="D1675" s="11"/>
      <c r="E1675" s="11"/>
      <c r="F1675" s="11"/>
      <c r="G1675" s="11"/>
      <c r="H1675" s="11"/>
      <c r="I1675" s="12"/>
      <c r="J1675" s="12"/>
      <c r="K1675" s="11"/>
      <c r="L1675" s="11"/>
      <c r="M1675" s="11"/>
      <c r="N1675" s="11"/>
      <c r="O1675" s="11"/>
      <c r="P1675" s="11"/>
      <c r="Q1675" s="13"/>
    </row>
    <row r="1676">
      <c r="A1676" s="11"/>
      <c r="B1676" s="11"/>
      <c r="C1676" s="11"/>
      <c r="D1676" s="11"/>
      <c r="E1676" s="11"/>
      <c r="F1676" s="11"/>
      <c r="G1676" s="11"/>
      <c r="H1676" s="11"/>
      <c r="I1676" s="12"/>
      <c r="J1676" s="12"/>
      <c r="K1676" s="11"/>
      <c r="L1676" s="11"/>
      <c r="M1676" s="11"/>
      <c r="N1676" s="11"/>
      <c r="O1676" s="11"/>
      <c r="P1676" s="11"/>
      <c r="Q1676" s="13"/>
    </row>
    <row r="1677">
      <c r="A1677" s="11"/>
      <c r="B1677" s="11"/>
      <c r="C1677" s="11"/>
      <c r="D1677" s="11"/>
      <c r="E1677" s="11"/>
      <c r="F1677" s="11"/>
      <c r="G1677" s="11"/>
      <c r="H1677" s="11"/>
      <c r="I1677" s="12"/>
      <c r="J1677" s="12"/>
      <c r="K1677" s="11"/>
      <c r="L1677" s="11"/>
      <c r="M1677" s="11"/>
      <c r="N1677" s="11"/>
      <c r="O1677" s="11"/>
      <c r="P1677" s="11"/>
      <c r="Q1677" s="13"/>
    </row>
    <row r="1678">
      <c r="A1678" s="11"/>
      <c r="B1678" s="11"/>
      <c r="C1678" s="11"/>
      <c r="D1678" s="11"/>
      <c r="E1678" s="11"/>
      <c r="F1678" s="11"/>
      <c r="G1678" s="11"/>
      <c r="H1678" s="11"/>
      <c r="I1678" s="12"/>
      <c r="J1678" s="12"/>
      <c r="K1678" s="11"/>
      <c r="L1678" s="11"/>
      <c r="M1678" s="11"/>
      <c r="N1678" s="11"/>
      <c r="O1678" s="11"/>
      <c r="P1678" s="11"/>
      <c r="Q1678" s="13"/>
    </row>
    <row r="1679">
      <c r="A1679" s="11"/>
      <c r="B1679" s="11"/>
      <c r="C1679" s="11"/>
      <c r="D1679" s="11"/>
      <c r="E1679" s="11"/>
      <c r="F1679" s="11"/>
      <c r="G1679" s="11"/>
      <c r="H1679" s="11"/>
      <c r="I1679" s="12"/>
      <c r="J1679" s="12"/>
      <c r="K1679" s="11"/>
      <c r="L1679" s="11"/>
      <c r="M1679" s="11"/>
      <c r="N1679" s="11"/>
      <c r="O1679" s="11"/>
      <c r="P1679" s="11"/>
      <c r="Q1679" s="13"/>
    </row>
    <row r="1680">
      <c r="A1680" s="11"/>
      <c r="B1680" s="11"/>
      <c r="C1680" s="11"/>
      <c r="D1680" s="11"/>
      <c r="E1680" s="11"/>
      <c r="F1680" s="11"/>
      <c r="G1680" s="11"/>
      <c r="H1680" s="11"/>
      <c r="I1680" s="12"/>
      <c r="J1680" s="12"/>
      <c r="K1680" s="11"/>
      <c r="L1680" s="11"/>
      <c r="M1680" s="11"/>
      <c r="N1680" s="11"/>
      <c r="O1680" s="11"/>
      <c r="P1680" s="11"/>
      <c r="Q1680" s="13"/>
    </row>
    <row r="1681">
      <c r="A1681" s="11"/>
      <c r="B1681" s="11"/>
      <c r="C1681" s="11"/>
      <c r="D1681" s="11"/>
      <c r="E1681" s="11"/>
      <c r="F1681" s="11"/>
      <c r="G1681" s="11"/>
      <c r="H1681" s="11"/>
      <c r="I1681" s="12"/>
      <c r="J1681" s="12"/>
      <c r="K1681" s="11"/>
      <c r="L1681" s="11"/>
      <c r="M1681" s="11"/>
      <c r="N1681" s="11"/>
      <c r="O1681" s="11"/>
      <c r="P1681" s="11"/>
      <c r="Q1681" s="13"/>
    </row>
    <row r="1682">
      <c r="A1682" s="11"/>
      <c r="B1682" s="11"/>
      <c r="C1682" s="11"/>
      <c r="D1682" s="11"/>
      <c r="E1682" s="11"/>
      <c r="F1682" s="11"/>
      <c r="G1682" s="11"/>
      <c r="H1682" s="11"/>
      <c r="I1682" s="12"/>
      <c r="J1682" s="12"/>
      <c r="K1682" s="11"/>
      <c r="L1682" s="11"/>
      <c r="M1682" s="11"/>
      <c r="N1682" s="11"/>
      <c r="O1682" s="11"/>
      <c r="P1682" s="11"/>
      <c r="Q1682" s="13"/>
    </row>
    <row r="1683">
      <c r="A1683" s="11"/>
      <c r="B1683" s="11"/>
      <c r="C1683" s="11"/>
      <c r="D1683" s="11"/>
      <c r="E1683" s="11"/>
      <c r="F1683" s="11"/>
      <c r="G1683" s="11"/>
      <c r="H1683" s="11"/>
      <c r="I1683" s="12"/>
      <c r="J1683" s="12"/>
      <c r="K1683" s="11"/>
      <c r="L1683" s="11"/>
      <c r="M1683" s="11"/>
      <c r="N1683" s="11"/>
      <c r="O1683" s="11"/>
      <c r="P1683" s="11"/>
      <c r="Q1683" s="13"/>
    </row>
    <row r="1684">
      <c r="A1684" s="11"/>
      <c r="B1684" s="11"/>
      <c r="C1684" s="11"/>
      <c r="D1684" s="11"/>
      <c r="E1684" s="11"/>
      <c r="F1684" s="11"/>
      <c r="G1684" s="11"/>
      <c r="H1684" s="11"/>
      <c r="I1684" s="12"/>
      <c r="J1684" s="12"/>
      <c r="K1684" s="11"/>
      <c r="L1684" s="11"/>
      <c r="M1684" s="11"/>
      <c r="N1684" s="11"/>
      <c r="O1684" s="11"/>
      <c r="P1684" s="11"/>
      <c r="Q1684" s="13"/>
    </row>
    <row r="1685">
      <c r="A1685" s="11"/>
      <c r="B1685" s="11"/>
      <c r="C1685" s="11"/>
      <c r="D1685" s="11"/>
      <c r="E1685" s="11"/>
      <c r="F1685" s="11"/>
      <c r="G1685" s="11"/>
      <c r="H1685" s="11"/>
      <c r="I1685" s="12"/>
      <c r="J1685" s="12"/>
      <c r="K1685" s="11"/>
      <c r="L1685" s="11"/>
      <c r="M1685" s="11"/>
      <c r="N1685" s="11"/>
      <c r="O1685" s="11"/>
      <c r="P1685" s="11"/>
      <c r="Q1685" s="13"/>
    </row>
    <row r="1686">
      <c r="A1686" s="11"/>
      <c r="B1686" s="11"/>
      <c r="C1686" s="11"/>
      <c r="D1686" s="11"/>
      <c r="E1686" s="11"/>
      <c r="F1686" s="11"/>
      <c r="G1686" s="11"/>
      <c r="H1686" s="11"/>
      <c r="I1686" s="12"/>
      <c r="J1686" s="12"/>
      <c r="K1686" s="11"/>
      <c r="L1686" s="11"/>
      <c r="M1686" s="11"/>
      <c r="N1686" s="11"/>
      <c r="O1686" s="11"/>
      <c r="P1686" s="11"/>
      <c r="Q1686" s="13"/>
    </row>
    <row r="1687">
      <c r="A1687" s="11"/>
      <c r="B1687" s="11"/>
      <c r="C1687" s="11"/>
      <c r="D1687" s="11"/>
      <c r="E1687" s="11"/>
      <c r="F1687" s="11"/>
      <c r="G1687" s="11"/>
      <c r="H1687" s="11"/>
      <c r="I1687" s="12"/>
      <c r="J1687" s="12"/>
      <c r="K1687" s="11"/>
      <c r="L1687" s="11"/>
      <c r="M1687" s="11"/>
      <c r="N1687" s="11"/>
      <c r="O1687" s="11"/>
      <c r="P1687" s="11"/>
      <c r="Q1687" s="13"/>
    </row>
    <row r="1688">
      <c r="A1688" s="11"/>
      <c r="B1688" s="11"/>
      <c r="C1688" s="11"/>
      <c r="D1688" s="11"/>
      <c r="E1688" s="11"/>
      <c r="F1688" s="11"/>
      <c r="G1688" s="11"/>
      <c r="H1688" s="11"/>
      <c r="I1688" s="12"/>
      <c r="J1688" s="12"/>
      <c r="K1688" s="11"/>
      <c r="L1688" s="11"/>
      <c r="M1688" s="11"/>
      <c r="N1688" s="11"/>
      <c r="O1688" s="11"/>
      <c r="P1688" s="11"/>
      <c r="Q1688" s="13"/>
    </row>
    <row r="1689">
      <c r="A1689" s="11"/>
      <c r="B1689" s="11"/>
      <c r="C1689" s="11"/>
      <c r="D1689" s="11"/>
      <c r="E1689" s="11"/>
      <c r="F1689" s="11"/>
      <c r="G1689" s="11"/>
      <c r="H1689" s="11"/>
      <c r="I1689" s="12"/>
      <c r="J1689" s="12"/>
      <c r="K1689" s="11"/>
      <c r="L1689" s="11"/>
      <c r="M1689" s="11"/>
      <c r="N1689" s="11"/>
      <c r="O1689" s="11"/>
      <c r="P1689" s="11"/>
      <c r="Q1689" s="13"/>
    </row>
    <row r="1690">
      <c r="A1690" s="11"/>
      <c r="B1690" s="11"/>
      <c r="C1690" s="11"/>
      <c r="D1690" s="11"/>
      <c r="E1690" s="11"/>
      <c r="F1690" s="11"/>
      <c r="G1690" s="11"/>
      <c r="H1690" s="11"/>
      <c r="I1690" s="12"/>
      <c r="J1690" s="12"/>
      <c r="K1690" s="11"/>
      <c r="L1690" s="11"/>
      <c r="M1690" s="11"/>
      <c r="N1690" s="11"/>
      <c r="O1690" s="11"/>
      <c r="P1690" s="11"/>
      <c r="Q1690" s="13"/>
    </row>
    <row r="1691">
      <c r="A1691" s="11"/>
      <c r="B1691" s="11"/>
      <c r="C1691" s="11"/>
      <c r="D1691" s="11"/>
      <c r="E1691" s="11"/>
      <c r="F1691" s="11"/>
      <c r="G1691" s="11"/>
      <c r="H1691" s="11"/>
      <c r="I1691" s="12"/>
      <c r="J1691" s="12"/>
      <c r="K1691" s="11"/>
      <c r="L1691" s="11"/>
      <c r="M1691" s="11"/>
      <c r="N1691" s="11"/>
      <c r="O1691" s="11"/>
      <c r="P1691" s="11"/>
      <c r="Q1691" s="13"/>
    </row>
    <row r="1692">
      <c r="A1692" s="11"/>
      <c r="B1692" s="11"/>
      <c r="C1692" s="11"/>
      <c r="D1692" s="11"/>
      <c r="E1692" s="11"/>
      <c r="F1692" s="11"/>
      <c r="G1692" s="11"/>
      <c r="H1692" s="11"/>
      <c r="I1692" s="12"/>
      <c r="J1692" s="12"/>
      <c r="K1692" s="11"/>
      <c r="L1692" s="11"/>
      <c r="M1692" s="11"/>
      <c r="N1692" s="11"/>
      <c r="O1692" s="11"/>
      <c r="P1692" s="11"/>
      <c r="Q1692" s="13"/>
    </row>
    <row r="1693">
      <c r="A1693" s="11"/>
      <c r="B1693" s="11"/>
      <c r="C1693" s="11"/>
      <c r="D1693" s="11"/>
      <c r="E1693" s="11"/>
      <c r="F1693" s="11"/>
      <c r="G1693" s="11"/>
      <c r="H1693" s="11"/>
      <c r="I1693" s="12"/>
      <c r="J1693" s="12"/>
      <c r="K1693" s="11"/>
      <c r="L1693" s="11"/>
      <c r="M1693" s="11"/>
      <c r="N1693" s="11"/>
      <c r="O1693" s="11"/>
      <c r="P1693" s="11"/>
      <c r="Q1693" s="13"/>
    </row>
    <row r="1694">
      <c r="A1694" s="11"/>
      <c r="B1694" s="11"/>
      <c r="C1694" s="11"/>
      <c r="D1694" s="11"/>
      <c r="E1694" s="11"/>
      <c r="F1694" s="11"/>
      <c r="G1694" s="11"/>
      <c r="H1694" s="11"/>
      <c r="I1694" s="12"/>
      <c r="J1694" s="12"/>
      <c r="K1694" s="11"/>
      <c r="L1694" s="11"/>
      <c r="M1694" s="11"/>
      <c r="N1694" s="11"/>
      <c r="O1694" s="11"/>
      <c r="P1694" s="11"/>
      <c r="Q1694" s="13"/>
    </row>
    <row r="1695">
      <c r="A1695" s="11"/>
      <c r="B1695" s="11"/>
      <c r="C1695" s="11"/>
      <c r="D1695" s="11"/>
      <c r="E1695" s="11"/>
      <c r="F1695" s="11"/>
      <c r="G1695" s="11"/>
      <c r="H1695" s="11"/>
      <c r="I1695" s="12"/>
      <c r="J1695" s="12"/>
      <c r="K1695" s="11"/>
      <c r="L1695" s="11"/>
      <c r="M1695" s="11"/>
      <c r="N1695" s="11"/>
      <c r="O1695" s="11"/>
      <c r="P1695" s="11"/>
      <c r="Q1695" s="13"/>
    </row>
    <row r="1696">
      <c r="A1696" s="11"/>
      <c r="B1696" s="11"/>
      <c r="C1696" s="11"/>
      <c r="D1696" s="11"/>
      <c r="E1696" s="11"/>
      <c r="F1696" s="11"/>
      <c r="G1696" s="11"/>
      <c r="H1696" s="11"/>
      <c r="I1696" s="12"/>
      <c r="J1696" s="12"/>
      <c r="K1696" s="11"/>
      <c r="L1696" s="16"/>
      <c r="M1696" s="16"/>
      <c r="N1696" s="16"/>
      <c r="O1696" s="11"/>
      <c r="P1696" s="11"/>
      <c r="Q1696" s="13"/>
    </row>
    <row r="1697">
      <c r="A1697" s="11"/>
      <c r="B1697" s="11"/>
      <c r="C1697" s="11"/>
      <c r="D1697" s="11"/>
      <c r="E1697" s="11"/>
      <c r="F1697" s="11"/>
      <c r="G1697" s="11"/>
      <c r="H1697" s="11"/>
      <c r="I1697" s="12"/>
      <c r="J1697" s="12"/>
      <c r="K1697" s="11"/>
      <c r="L1697" s="16"/>
      <c r="M1697" s="16"/>
      <c r="N1697" s="16"/>
      <c r="O1697" s="11"/>
      <c r="P1697" s="11"/>
      <c r="Q1697" s="13"/>
    </row>
    <row r="1698">
      <c r="A1698" s="11"/>
      <c r="B1698" s="11"/>
      <c r="C1698" s="11"/>
      <c r="D1698" s="11"/>
      <c r="E1698" s="11"/>
      <c r="F1698" s="11"/>
      <c r="G1698" s="11"/>
      <c r="H1698" s="11"/>
      <c r="I1698" s="12"/>
      <c r="J1698" s="12"/>
      <c r="K1698" s="11"/>
      <c r="L1698" s="16"/>
      <c r="M1698" s="16"/>
      <c r="N1698" s="16"/>
      <c r="O1698" s="11"/>
      <c r="P1698" s="11"/>
      <c r="Q1698" s="13"/>
    </row>
    <row r="1699">
      <c r="A1699" s="11"/>
      <c r="B1699" s="11"/>
      <c r="C1699" s="11"/>
      <c r="D1699" s="11"/>
      <c r="E1699" s="11"/>
      <c r="F1699" s="11"/>
      <c r="G1699" s="11"/>
      <c r="H1699" s="11"/>
      <c r="I1699" s="12"/>
      <c r="J1699" s="12"/>
      <c r="K1699" s="11"/>
      <c r="L1699" s="16"/>
      <c r="M1699" s="16"/>
      <c r="N1699" s="16"/>
      <c r="O1699" s="11"/>
      <c r="P1699" s="11"/>
      <c r="Q1699" s="13"/>
    </row>
    <row r="1700">
      <c r="A1700" s="11"/>
      <c r="B1700" s="11"/>
      <c r="C1700" s="11"/>
      <c r="D1700" s="11"/>
      <c r="E1700" s="11"/>
      <c r="F1700" s="11"/>
      <c r="G1700" s="11"/>
      <c r="H1700" s="11"/>
      <c r="I1700" s="12"/>
      <c r="J1700" s="12"/>
      <c r="K1700" s="11"/>
      <c r="L1700" s="16"/>
      <c r="M1700" s="16"/>
      <c r="N1700" s="16"/>
      <c r="O1700" s="11"/>
      <c r="P1700" s="11"/>
      <c r="Q1700" s="13"/>
    </row>
    <row r="1701">
      <c r="A1701" s="11"/>
      <c r="B1701" s="11"/>
      <c r="C1701" s="11"/>
      <c r="D1701" s="11"/>
      <c r="E1701" s="11"/>
      <c r="F1701" s="11"/>
      <c r="G1701" s="11"/>
      <c r="H1701" s="11"/>
      <c r="I1701" s="12"/>
      <c r="J1701" s="12"/>
      <c r="K1701" s="11"/>
      <c r="L1701" s="16"/>
      <c r="M1701" s="16"/>
      <c r="N1701" s="16"/>
      <c r="O1701" s="11"/>
      <c r="P1701" s="11"/>
      <c r="Q1701" s="13"/>
    </row>
    <row r="1702">
      <c r="A1702" s="11"/>
      <c r="B1702" s="11"/>
      <c r="C1702" s="11"/>
      <c r="D1702" s="11"/>
      <c r="E1702" s="11"/>
      <c r="F1702" s="11"/>
      <c r="G1702" s="11"/>
      <c r="H1702" s="11"/>
      <c r="I1702" s="12"/>
      <c r="J1702" s="12"/>
      <c r="K1702" s="11"/>
      <c r="L1702" s="16"/>
      <c r="M1702" s="16"/>
      <c r="N1702" s="16"/>
      <c r="O1702" s="11"/>
      <c r="P1702" s="11"/>
      <c r="Q1702" s="13"/>
    </row>
    <row r="1703">
      <c r="A1703" s="11"/>
      <c r="B1703" s="11"/>
      <c r="C1703" s="11"/>
      <c r="D1703" s="11"/>
      <c r="E1703" s="11"/>
      <c r="F1703" s="11"/>
      <c r="G1703" s="11"/>
      <c r="H1703" s="11"/>
      <c r="I1703" s="12"/>
      <c r="J1703" s="12"/>
      <c r="K1703" s="11"/>
      <c r="L1703" s="16"/>
      <c r="M1703" s="16"/>
      <c r="N1703" s="16"/>
      <c r="O1703" s="11"/>
      <c r="P1703" s="11"/>
      <c r="Q1703" s="13"/>
    </row>
    <row r="1704">
      <c r="A1704" s="11"/>
      <c r="B1704" s="11"/>
      <c r="C1704" s="11"/>
      <c r="D1704" s="11"/>
      <c r="E1704" s="11"/>
      <c r="F1704" s="11"/>
      <c r="G1704" s="11"/>
      <c r="H1704" s="11"/>
      <c r="I1704" s="12"/>
      <c r="J1704" s="12"/>
      <c r="K1704" s="11"/>
      <c r="L1704" s="16"/>
      <c r="M1704" s="16"/>
      <c r="N1704" s="16"/>
      <c r="O1704" s="11"/>
      <c r="P1704" s="11"/>
      <c r="Q1704" s="13"/>
    </row>
    <row r="1705">
      <c r="A1705" s="11"/>
      <c r="B1705" s="11"/>
      <c r="C1705" s="11"/>
      <c r="D1705" s="11"/>
      <c r="E1705" s="11"/>
      <c r="F1705" s="11"/>
      <c r="G1705" s="11"/>
      <c r="H1705" s="11"/>
      <c r="I1705" s="12"/>
      <c r="J1705" s="12"/>
      <c r="K1705" s="11"/>
      <c r="L1705" s="16"/>
      <c r="M1705" s="16"/>
      <c r="N1705" s="16"/>
      <c r="O1705" s="11"/>
      <c r="P1705" s="11"/>
      <c r="Q1705" s="13"/>
    </row>
    <row r="1706">
      <c r="A1706" s="11"/>
      <c r="B1706" s="11"/>
      <c r="C1706" s="11"/>
      <c r="D1706" s="11"/>
      <c r="E1706" s="11"/>
      <c r="F1706" s="11"/>
      <c r="G1706" s="11"/>
      <c r="H1706" s="11"/>
      <c r="I1706" s="12"/>
      <c r="J1706" s="12"/>
      <c r="K1706" s="11"/>
      <c r="L1706" s="16"/>
      <c r="M1706" s="16"/>
      <c r="N1706" s="16"/>
      <c r="O1706" s="11"/>
      <c r="P1706" s="11"/>
      <c r="Q1706" s="13"/>
    </row>
    <row r="1707">
      <c r="A1707" s="11"/>
      <c r="B1707" s="11"/>
      <c r="C1707" s="11"/>
      <c r="D1707" s="11"/>
      <c r="E1707" s="11"/>
      <c r="F1707" s="11"/>
      <c r="G1707" s="11"/>
      <c r="H1707" s="11"/>
      <c r="I1707" s="12"/>
      <c r="J1707" s="12"/>
      <c r="K1707" s="11"/>
      <c r="L1707" s="16"/>
      <c r="M1707" s="16"/>
      <c r="N1707" s="16"/>
      <c r="O1707" s="11"/>
      <c r="P1707" s="11"/>
      <c r="Q1707" s="13"/>
    </row>
    <row r="1708">
      <c r="A1708" s="11"/>
      <c r="B1708" s="11"/>
      <c r="C1708" s="11"/>
      <c r="D1708" s="11"/>
      <c r="E1708" s="11"/>
      <c r="F1708" s="11"/>
      <c r="G1708" s="11"/>
      <c r="H1708" s="11"/>
      <c r="I1708" s="12"/>
      <c r="J1708" s="12"/>
      <c r="K1708" s="11"/>
      <c r="L1708" s="16"/>
      <c r="M1708" s="16"/>
      <c r="N1708" s="16"/>
      <c r="O1708" s="11"/>
      <c r="P1708" s="11"/>
      <c r="Q1708" s="13"/>
    </row>
    <row r="1709">
      <c r="A1709" s="11"/>
      <c r="B1709" s="11"/>
      <c r="C1709" s="11"/>
      <c r="D1709" s="11"/>
      <c r="E1709" s="11"/>
      <c r="F1709" s="11"/>
      <c r="G1709" s="11"/>
      <c r="H1709" s="11"/>
      <c r="I1709" s="12"/>
      <c r="J1709" s="12"/>
      <c r="K1709" s="11"/>
      <c r="L1709" s="16"/>
      <c r="M1709" s="16"/>
      <c r="N1709" s="16"/>
      <c r="O1709" s="11"/>
      <c r="P1709" s="11"/>
      <c r="Q1709" s="13"/>
    </row>
    <row r="1710">
      <c r="A1710" s="11"/>
      <c r="B1710" s="11"/>
      <c r="C1710" s="11"/>
      <c r="D1710" s="11"/>
      <c r="E1710" s="11"/>
      <c r="F1710" s="11"/>
      <c r="G1710" s="11"/>
      <c r="H1710" s="11"/>
      <c r="I1710" s="12"/>
      <c r="J1710" s="12"/>
      <c r="K1710" s="11"/>
      <c r="L1710" s="16"/>
      <c r="M1710" s="16"/>
      <c r="N1710" s="16"/>
      <c r="O1710" s="11"/>
      <c r="P1710" s="11"/>
      <c r="Q1710" s="13"/>
    </row>
    <row r="1711">
      <c r="A1711" s="11"/>
      <c r="B1711" s="11"/>
      <c r="C1711" s="11"/>
      <c r="D1711" s="11"/>
      <c r="E1711" s="11"/>
      <c r="F1711" s="11"/>
      <c r="G1711" s="11"/>
      <c r="H1711" s="11"/>
      <c r="I1711" s="12"/>
      <c r="J1711" s="12"/>
      <c r="K1711" s="11"/>
      <c r="L1711" s="16"/>
      <c r="M1711" s="16"/>
      <c r="N1711" s="16"/>
      <c r="O1711" s="11"/>
      <c r="P1711" s="11"/>
      <c r="Q1711" s="13"/>
    </row>
    <row r="1712">
      <c r="A1712" s="11"/>
      <c r="B1712" s="11"/>
      <c r="C1712" s="11"/>
      <c r="D1712" s="11"/>
      <c r="E1712" s="11"/>
      <c r="F1712" s="11"/>
      <c r="G1712" s="11"/>
      <c r="H1712" s="11"/>
      <c r="I1712" s="12"/>
      <c r="J1712" s="12"/>
      <c r="K1712" s="11"/>
      <c r="L1712" s="16"/>
      <c r="M1712" s="16"/>
      <c r="N1712" s="16"/>
      <c r="O1712" s="11"/>
      <c r="P1712" s="11"/>
      <c r="Q1712" s="13"/>
    </row>
    <row r="1713">
      <c r="A1713" s="11"/>
      <c r="B1713" s="11"/>
      <c r="C1713" s="11"/>
      <c r="D1713" s="11"/>
      <c r="E1713" s="11"/>
      <c r="F1713" s="11"/>
      <c r="G1713" s="11"/>
      <c r="H1713" s="11"/>
      <c r="I1713" s="12"/>
      <c r="J1713" s="12"/>
      <c r="K1713" s="11"/>
      <c r="L1713" s="16"/>
      <c r="M1713" s="16"/>
      <c r="N1713" s="16"/>
      <c r="O1713" s="11"/>
      <c r="P1713" s="11"/>
      <c r="Q1713" s="13"/>
    </row>
    <row r="1714">
      <c r="A1714" s="11"/>
      <c r="B1714" s="11"/>
      <c r="C1714" s="11"/>
      <c r="D1714" s="11"/>
      <c r="E1714" s="11"/>
      <c r="F1714" s="11"/>
      <c r="G1714" s="11"/>
      <c r="H1714" s="11"/>
      <c r="I1714" s="12"/>
      <c r="J1714" s="12"/>
      <c r="K1714" s="11"/>
      <c r="L1714" s="16"/>
      <c r="M1714" s="16"/>
      <c r="N1714" s="16"/>
      <c r="O1714" s="11"/>
      <c r="P1714" s="11"/>
      <c r="Q1714" s="13"/>
    </row>
    <row r="1715">
      <c r="A1715" s="11"/>
      <c r="B1715" s="11"/>
      <c r="C1715" s="11"/>
      <c r="D1715" s="11"/>
      <c r="E1715" s="11"/>
      <c r="F1715" s="11"/>
      <c r="G1715" s="11"/>
      <c r="H1715" s="11"/>
      <c r="I1715" s="12"/>
      <c r="J1715" s="12"/>
      <c r="K1715" s="11"/>
      <c r="L1715" s="16"/>
      <c r="M1715" s="16"/>
      <c r="N1715" s="16"/>
      <c r="O1715" s="11"/>
      <c r="P1715" s="11"/>
      <c r="Q1715" s="13"/>
    </row>
    <row r="1716">
      <c r="A1716" s="11"/>
      <c r="B1716" s="11"/>
      <c r="C1716" s="11"/>
      <c r="D1716" s="11"/>
      <c r="E1716" s="11"/>
      <c r="F1716" s="11"/>
      <c r="G1716" s="11"/>
      <c r="H1716" s="11"/>
      <c r="I1716" s="12"/>
      <c r="J1716" s="12"/>
      <c r="K1716" s="11"/>
      <c r="L1716" s="16"/>
      <c r="M1716" s="16"/>
      <c r="N1716" s="16"/>
      <c r="O1716" s="11"/>
      <c r="P1716" s="11"/>
      <c r="Q1716" s="13"/>
    </row>
    <row r="1717">
      <c r="A1717" s="11"/>
      <c r="B1717" s="11"/>
      <c r="C1717" s="11"/>
      <c r="D1717" s="11"/>
      <c r="E1717" s="11"/>
      <c r="F1717" s="11"/>
      <c r="G1717" s="11"/>
      <c r="H1717" s="11"/>
      <c r="I1717" s="12"/>
      <c r="J1717" s="12"/>
      <c r="K1717" s="11"/>
      <c r="L1717" s="16"/>
      <c r="M1717" s="16"/>
      <c r="N1717" s="16"/>
      <c r="O1717" s="11"/>
      <c r="P1717" s="11"/>
      <c r="Q1717" s="13"/>
    </row>
    <row r="1718">
      <c r="A1718" s="11"/>
      <c r="B1718" s="11"/>
      <c r="C1718" s="11"/>
      <c r="D1718" s="11"/>
      <c r="E1718" s="11"/>
      <c r="F1718" s="11"/>
      <c r="G1718" s="11"/>
      <c r="H1718" s="11"/>
      <c r="I1718" s="12"/>
      <c r="J1718" s="12"/>
      <c r="K1718" s="11"/>
      <c r="L1718" s="16"/>
      <c r="M1718" s="16"/>
      <c r="N1718" s="16"/>
      <c r="O1718" s="11"/>
      <c r="P1718" s="11"/>
      <c r="Q1718" s="13"/>
    </row>
    <row r="1719">
      <c r="A1719" s="11"/>
      <c r="B1719" s="11"/>
      <c r="C1719" s="11"/>
      <c r="D1719" s="11"/>
      <c r="E1719" s="11"/>
      <c r="F1719" s="11"/>
      <c r="G1719" s="11"/>
      <c r="H1719" s="11"/>
      <c r="I1719" s="12"/>
      <c r="J1719" s="12"/>
      <c r="K1719" s="11"/>
      <c r="L1719" s="16"/>
      <c r="M1719" s="16"/>
      <c r="N1719" s="16"/>
      <c r="O1719" s="11"/>
      <c r="P1719" s="11"/>
      <c r="Q1719" s="13"/>
    </row>
    <row r="1720">
      <c r="A1720" s="11"/>
      <c r="B1720" s="11"/>
      <c r="C1720" s="11"/>
      <c r="D1720" s="11"/>
      <c r="E1720" s="11"/>
      <c r="F1720" s="11"/>
      <c r="G1720" s="11"/>
      <c r="H1720" s="11"/>
      <c r="I1720" s="12"/>
      <c r="J1720" s="12"/>
      <c r="K1720" s="11"/>
      <c r="L1720" s="16"/>
      <c r="M1720" s="16"/>
      <c r="N1720" s="16"/>
      <c r="O1720" s="11"/>
      <c r="P1720" s="11"/>
      <c r="Q1720" s="13"/>
    </row>
    <row r="1721">
      <c r="A1721" s="11"/>
      <c r="B1721" s="11"/>
      <c r="C1721" s="11"/>
      <c r="D1721" s="11"/>
      <c r="E1721" s="11"/>
      <c r="F1721" s="11"/>
      <c r="G1721" s="11"/>
      <c r="H1721" s="11"/>
      <c r="I1721" s="12"/>
      <c r="J1721" s="12"/>
      <c r="K1721" s="11"/>
      <c r="L1721" s="16"/>
      <c r="M1721" s="16"/>
      <c r="N1721" s="16"/>
      <c r="O1721" s="11"/>
      <c r="P1721" s="11"/>
      <c r="Q1721" s="13"/>
    </row>
    <row r="1722">
      <c r="A1722" s="11"/>
      <c r="B1722" s="11"/>
      <c r="C1722" s="11"/>
      <c r="D1722" s="11"/>
      <c r="E1722" s="11"/>
      <c r="F1722" s="11"/>
      <c r="G1722" s="11"/>
      <c r="H1722" s="11"/>
      <c r="I1722" s="12"/>
      <c r="J1722" s="12"/>
      <c r="K1722" s="11"/>
      <c r="L1722" s="16"/>
      <c r="M1722" s="16"/>
      <c r="N1722" s="16"/>
      <c r="O1722" s="11"/>
      <c r="P1722" s="11"/>
      <c r="Q1722" s="13"/>
    </row>
    <row r="1723">
      <c r="A1723" s="11"/>
      <c r="B1723" s="11"/>
      <c r="C1723" s="11"/>
      <c r="D1723" s="11"/>
      <c r="E1723" s="11"/>
      <c r="F1723" s="11"/>
      <c r="G1723" s="11"/>
      <c r="H1723" s="11"/>
      <c r="I1723" s="12"/>
      <c r="J1723" s="12"/>
      <c r="K1723" s="11"/>
      <c r="L1723" s="16"/>
      <c r="M1723" s="16"/>
      <c r="N1723" s="16"/>
      <c r="O1723" s="11"/>
      <c r="P1723" s="11"/>
      <c r="Q1723" s="13"/>
    </row>
    <row r="1724">
      <c r="A1724" s="11"/>
      <c r="B1724" s="11"/>
      <c r="C1724" s="11"/>
      <c r="D1724" s="11"/>
      <c r="E1724" s="11"/>
      <c r="F1724" s="11"/>
      <c r="G1724" s="11"/>
      <c r="H1724" s="11"/>
      <c r="I1724" s="12"/>
      <c r="J1724" s="12"/>
      <c r="K1724" s="11"/>
      <c r="L1724" s="16"/>
      <c r="M1724" s="16"/>
      <c r="N1724" s="16"/>
      <c r="O1724" s="11"/>
      <c r="P1724" s="11"/>
      <c r="Q1724" s="13"/>
    </row>
    <row r="1725">
      <c r="A1725" s="11"/>
      <c r="B1725" s="11"/>
      <c r="C1725" s="11"/>
      <c r="D1725" s="11"/>
      <c r="E1725" s="11"/>
      <c r="F1725" s="11"/>
      <c r="G1725" s="11"/>
      <c r="H1725" s="11"/>
      <c r="I1725" s="12"/>
      <c r="J1725" s="12"/>
      <c r="K1725" s="11"/>
      <c r="L1725" s="16"/>
      <c r="M1725" s="16"/>
      <c r="N1725" s="16"/>
      <c r="O1725" s="11"/>
      <c r="P1725" s="11"/>
      <c r="Q1725" s="13"/>
    </row>
    <row r="1726">
      <c r="A1726" s="11"/>
      <c r="B1726" s="11"/>
      <c r="C1726" s="11"/>
      <c r="D1726" s="11"/>
      <c r="E1726" s="11"/>
      <c r="F1726" s="11"/>
      <c r="G1726" s="11"/>
      <c r="H1726" s="11"/>
      <c r="I1726" s="12"/>
      <c r="J1726" s="12"/>
      <c r="K1726" s="11"/>
      <c r="L1726" s="16"/>
      <c r="M1726" s="16"/>
      <c r="N1726" s="16"/>
      <c r="O1726" s="11"/>
      <c r="P1726" s="11"/>
      <c r="Q1726" s="13"/>
    </row>
    <row r="1727">
      <c r="A1727" s="11"/>
      <c r="B1727" s="11"/>
      <c r="C1727" s="11"/>
      <c r="D1727" s="11"/>
      <c r="E1727" s="11"/>
      <c r="F1727" s="11"/>
      <c r="G1727" s="11"/>
      <c r="H1727" s="11"/>
      <c r="I1727" s="12"/>
      <c r="J1727" s="12"/>
      <c r="K1727" s="11"/>
      <c r="L1727" s="16"/>
      <c r="M1727" s="16"/>
      <c r="N1727" s="16"/>
      <c r="O1727" s="11"/>
      <c r="P1727" s="11"/>
      <c r="Q1727" s="13"/>
    </row>
    <row r="1728">
      <c r="A1728" s="11"/>
      <c r="B1728" s="11"/>
      <c r="C1728" s="11"/>
      <c r="D1728" s="11"/>
      <c r="E1728" s="11"/>
      <c r="F1728" s="11"/>
      <c r="G1728" s="11"/>
      <c r="H1728" s="11"/>
      <c r="I1728" s="12"/>
      <c r="J1728" s="12"/>
      <c r="K1728" s="11"/>
      <c r="L1728" s="16"/>
      <c r="M1728" s="16"/>
      <c r="N1728" s="16"/>
      <c r="O1728" s="11"/>
      <c r="P1728" s="11"/>
      <c r="Q1728" s="13"/>
    </row>
    <row r="1729">
      <c r="A1729" s="11"/>
      <c r="B1729" s="11"/>
      <c r="C1729" s="11"/>
      <c r="D1729" s="11"/>
      <c r="E1729" s="11"/>
      <c r="F1729" s="11"/>
      <c r="G1729" s="11"/>
      <c r="H1729" s="11"/>
      <c r="I1729" s="12"/>
      <c r="J1729" s="12"/>
      <c r="K1729" s="11"/>
      <c r="L1729" s="16"/>
      <c r="M1729" s="16"/>
      <c r="N1729" s="16"/>
      <c r="O1729" s="11"/>
      <c r="P1729" s="11"/>
      <c r="Q1729" s="13"/>
    </row>
    <row r="1730">
      <c r="A1730" s="11"/>
      <c r="B1730" s="11"/>
      <c r="C1730" s="11"/>
      <c r="D1730" s="11"/>
      <c r="E1730" s="11"/>
      <c r="F1730" s="11"/>
      <c r="G1730" s="11"/>
      <c r="H1730" s="11"/>
      <c r="I1730" s="12"/>
      <c r="J1730" s="12"/>
      <c r="K1730" s="11"/>
      <c r="L1730" s="16"/>
      <c r="M1730" s="16"/>
      <c r="N1730" s="16"/>
      <c r="O1730" s="11"/>
      <c r="P1730" s="11"/>
      <c r="Q1730" s="13"/>
    </row>
    <row r="1731">
      <c r="A1731" s="11"/>
      <c r="B1731" s="11"/>
      <c r="C1731" s="11"/>
      <c r="D1731" s="11"/>
      <c r="E1731" s="11"/>
      <c r="F1731" s="11"/>
      <c r="G1731" s="11"/>
      <c r="H1731" s="11"/>
      <c r="I1731" s="12"/>
      <c r="J1731" s="12"/>
      <c r="K1731" s="11"/>
      <c r="L1731" s="16"/>
      <c r="M1731" s="16"/>
      <c r="N1731" s="16"/>
      <c r="O1731" s="11"/>
      <c r="P1731" s="11"/>
      <c r="Q1731" s="13"/>
    </row>
    <row r="1732">
      <c r="A1732" s="11"/>
      <c r="B1732" s="11"/>
      <c r="C1732" s="11"/>
      <c r="D1732" s="11"/>
      <c r="E1732" s="11"/>
      <c r="F1732" s="11"/>
      <c r="G1732" s="11"/>
      <c r="H1732" s="11"/>
      <c r="I1732" s="12"/>
      <c r="J1732" s="12"/>
      <c r="K1732" s="11"/>
      <c r="L1732" s="16"/>
      <c r="M1732" s="16"/>
      <c r="N1732" s="16"/>
      <c r="O1732" s="11"/>
      <c r="P1732" s="11"/>
      <c r="Q1732" s="13"/>
    </row>
    <row r="1733">
      <c r="A1733" s="11"/>
      <c r="B1733" s="11"/>
      <c r="C1733" s="11"/>
      <c r="D1733" s="11"/>
      <c r="E1733" s="11"/>
      <c r="F1733" s="11"/>
      <c r="G1733" s="11"/>
      <c r="H1733" s="11"/>
      <c r="I1733" s="12"/>
      <c r="J1733" s="12"/>
      <c r="K1733" s="11"/>
      <c r="L1733" s="16"/>
      <c r="M1733" s="16"/>
      <c r="N1733" s="16"/>
      <c r="O1733" s="11"/>
      <c r="P1733" s="11"/>
      <c r="Q1733" s="13"/>
    </row>
    <row r="1734">
      <c r="A1734" s="11"/>
      <c r="B1734" s="11"/>
      <c r="C1734" s="11"/>
      <c r="D1734" s="11"/>
      <c r="E1734" s="11"/>
      <c r="F1734" s="11"/>
      <c r="G1734" s="11"/>
      <c r="H1734" s="11"/>
      <c r="I1734" s="12"/>
      <c r="J1734" s="12"/>
      <c r="K1734" s="11"/>
      <c r="L1734" s="16"/>
      <c r="M1734" s="16"/>
      <c r="N1734" s="16"/>
      <c r="O1734" s="11"/>
      <c r="P1734" s="11"/>
      <c r="Q1734" s="13"/>
    </row>
    <row r="1735">
      <c r="A1735" s="11"/>
      <c r="B1735" s="11"/>
      <c r="C1735" s="11"/>
      <c r="D1735" s="11"/>
      <c r="E1735" s="11"/>
      <c r="F1735" s="11"/>
      <c r="G1735" s="11"/>
      <c r="H1735" s="11"/>
      <c r="I1735" s="12"/>
      <c r="J1735" s="12"/>
      <c r="K1735" s="11"/>
      <c r="L1735" s="16"/>
      <c r="M1735" s="16"/>
      <c r="N1735" s="16"/>
      <c r="O1735" s="11"/>
      <c r="P1735" s="11"/>
      <c r="Q1735" s="13"/>
    </row>
    <row r="1736">
      <c r="A1736" s="11"/>
      <c r="B1736" s="11"/>
      <c r="C1736" s="11"/>
      <c r="D1736" s="11"/>
      <c r="E1736" s="11"/>
      <c r="F1736" s="11"/>
      <c r="G1736" s="11"/>
      <c r="H1736" s="11"/>
      <c r="I1736" s="12"/>
      <c r="J1736" s="12"/>
      <c r="K1736" s="11"/>
      <c r="L1736" s="16"/>
      <c r="M1736" s="16"/>
      <c r="N1736" s="16"/>
      <c r="O1736" s="11"/>
      <c r="P1736" s="11"/>
      <c r="Q1736" s="13"/>
    </row>
    <row r="1737">
      <c r="A1737" s="11"/>
      <c r="B1737" s="11"/>
      <c r="C1737" s="11"/>
      <c r="D1737" s="11"/>
      <c r="E1737" s="11"/>
      <c r="F1737" s="11"/>
      <c r="G1737" s="11"/>
      <c r="H1737" s="11"/>
      <c r="I1737" s="12"/>
      <c r="J1737" s="12"/>
      <c r="K1737" s="11"/>
      <c r="L1737" s="16"/>
      <c r="M1737" s="16"/>
      <c r="N1737" s="16"/>
      <c r="O1737" s="11"/>
      <c r="P1737" s="11"/>
      <c r="Q1737" s="13"/>
    </row>
    <row r="1738">
      <c r="A1738" s="11"/>
      <c r="B1738" s="11"/>
      <c r="C1738" s="11"/>
      <c r="D1738" s="11"/>
      <c r="E1738" s="11"/>
      <c r="F1738" s="11"/>
      <c r="G1738" s="11"/>
      <c r="H1738" s="11"/>
      <c r="I1738" s="12"/>
      <c r="J1738" s="12"/>
      <c r="K1738" s="11"/>
      <c r="L1738" s="16"/>
      <c r="M1738" s="16"/>
      <c r="N1738" s="16"/>
      <c r="O1738" s="11"/>
      <c r="P1738" s="11"/>
      <c r="Q1738" s="13"/>
    </row>
    <row r="1739">
      <c r="A1739" s="11"/>
      <c r="B1739" s="11"/>
      <c r="C1739" s="11"/>
      <c r="D1739" s="11"/>
      <c r="E1739" s="11"/>
      <c r="F1739" s="11"/>
      <c r="G1739" s="11"/>
      <c r="H1739" s="11"/>
      <c r="I1739" s="12"/>
      <c r="J1739" s="12"/>
      <c r="K1739" s="11"/>
      <c r="L1739" s="16"/>
      <c r="M1739" s="16"/>
      <c r="N1739" s="16"/>
      <c r="O1739" s="11"/>
      <c r="P1739" s="11"/>
      <c r="Q1739" s="13"/>
    </row>
    <row r="1740">
      <c r="A1740" s="11"/>
      <c r="B1740" s="11"/>
      <c r="C1740" s="11"/>
      <c r="D1740" s="11"/>
      <c r="E1740" s="11"/>
      <c r="F1740" s="11"/>
      <c r="G1740" s="11"/>
      <c r="H1740" s="11"/>
      <c r="I1740" s="12"/>
      <c r="J1740" s="12"/>
      <c r="K1740" s="11"/>
      <c r="L1740" s="16"/>
      <c r="M1740" s="16"/>
      <c r="N1740" s="16"/>
      <c r="O1740" s="11"/>
      <c r="P1740" s="11"/>
      <c r="Q1740" s="13"/>
    </row>
    <row r="1741">
      <c r="A1741" s="11"/>
      <c r="B1741" s="11"/>
      <c r="C1741" s="11"/>
      <c r="D1741" s="11"/>
      <c r="E1741" s="11"/>
      <c r="F1741" s="11"/>
      <c r="G1741" s="11"/>
      <c r="H1741" s="11"/>
      <c r="I1741" s="12"/>
      <c r="J1741" s="12"/>
      <c r="K1741" s="11"/>
      <c r="L1741" s="16"/>
      <c r="M1741" s="16"/>
      <c r="N1741" s="16"/>
      <c r="O1741" s="11"/>
      <c r="P1741" s="11"/>
      <c r="Q1741" s="13"/>
    </row>
    <row r="1742">
      <c r="A1742" s="11"/>
      <c r="B1742" s="11"/>
      <c r="C1742" s="11"/>
      <c r="D1742" s="11"/>
      <c r="E1742" s="11"/>
      <c r="F1742" s="11"/>
      <c r="G1742" s="11"/>
      <c r="H1742" s="11"/>
      <c r="I1742" s="12"/>
      <c r="J1742" s="12"/>
      <c r="K1742" s="11"/>
      <c r="L1742" s="16"/>
      <c r="M1742" s="16"/>
      <c r="N1742" s="16"/>
      <c r="O1742" s="11"/>
      <c r="P1742" s="11"/>
      <c r="Q1742" s="13"/>
    </row>
    <row r="1743">
      <c r="A1743" s="11"/>
      <c r="B1743" s="11"/>
      <c r="C1743" s="11"/>
      <c r="D1743" s="11"/>
      <c r="E1743" s="11"/>
      <c r="F1743" s="11"/>
      <c r="G1743" s="11"/>
      <c r="H1743" s="11"/>
      <c r="I1743" s="12"/>
      <c r="J1743" s="12"/>
      <c r="K1743" s="11"/>
      <c r="L1743" s="16"/>
      <c r="M1743" s="16"/>
      <c r="N1743" s="16"/>
      <c r="O1743" s="11"/>
      <c r="P1743" s="11"/>
      <c r="Q1743" s="13"/>
    </row>
    <row r="1744">
      <c r="A1744" s="11"/>
      <c r="B1744" s="11"/>
      <c r="C1744" s="11"/>
      <c r="D1744" s="11"/>
      <c r="E1744" s="11"/>
      <c r="F1744" s="11"/>
      <c r="G1744" s="11"/>
      <c r="H1744" s="11"/>
      <c r="I1744" s="12"/>
      <c r="J1744" s="12"/>
      <c r="K1744" s="11"/>
      <c r="L1744" s="16"/>
      <c r="M1744" s="16"/>
      <c r="N1744" s="16"/>
      <c r="O1744" s="11"/>
      <c r="P1744" s="11"/>
      <c r="Q1744" s="13"/>
    </row>
    <row r="1745">
      <c r="A1745" s="11"/>
      <c r="B1745" s="11"/>
      <c r="C1745" s="11"/>
      <c r="D1745" s="11"/>
      <c r="E1745" s="11"/>
      <c r="F1745" s="11"/>
      <c r="G1745" s="11"/>
      <c r="H1745" s="11"/>
      <c r="I1745" s="12"/>
      <c r="J1745" s="12"/>
      <c r="K1745" s="11"/>
      <c r="L1745" s="16"/>
      <c r="M1745" s="16"/>
      <c r="N1745" s="16"/>
      <c r="O1745" s="11"/>
      <c r="P1745" s="11"/>
      <c r="Q1745" s="13"/>
    </row>
    <row r="1746">
      <c r="A1746" s="11"/>
      <c r="B1746" s="11"/>
      <c r="C1746" s="11"/>
      <c r="D1746" s="11"/>
      <c r="E1746" s="11"/>
      <c r="F1746" s="11"/>
      <c r="G1746" s="11"/>
      <c r="H1746" s="11"/>
      <c r="I1746" s="12"/>
      <c r="J1746" s="12"/>
      <c r="K1746" s="11"/>
      <c r="L1746" s="16"/>
      <c r="M1746" s="16"/>
      <c r="N1746" s="16"/>
      <c r="O1746" s="11"/>
      <c r="P1746" s="11"/>
      <c r="Q1746" s="13"/>
    </row>
    <row r="1747">
      <c r="A1747" s="11"/>
      <c r="B1747" s="11"/>
      <c r="C1747" s="11"/>
      <c r="D1747" s="11"/>
      <c r="E1747" s="11"/>
      <c r="F1747" s="11"/>
      <c r="G1747" s="11"/>
      <c r="H1747" s="11"/>
      <c r="I1747" s="12"/>
      <c r="J1747" s="12"/>
      <c r="K1747" s="11"/>
      <c r="L1747" s="16"/>
      <c r="M1747" s="16"/>
      <c r="N1747" s="16"/>
      <c r="O1747" s="11"/>
      <c r="P1747" s="11"/>
      <c r="Q1747" s="13"/>
    </row>
    <row r="1748">
      <c r="A1748" s="11"/>
      <c r="B1748" s="11"/>
      <c r="C1748" s="11"/>
      <c r="D1748" s="11"/>
      <c r="E1748" s="11"/>
      <c r="F1748" s="11"/>
      <c r="G1748" s="11"/>
      <c r="H1748" s="11"/>
      <c r="I1748" s="12"/>
      <c r="J1748" s="12"/>
      <c r="K1748" s="11"/>
      <c r="L1748" s="16"/>
      <c r="M1748" s="16"/>
      <c r="N1748" s="16"/>
      <c r="O1748" s="11"/>
      <c r="P1748" s="11"/>
      <c r="Q1748" s="13"/>
    </row>
    <row r="1749">
      <c r="A1749" s="11"/>
      <c r="B1749" s="11"/>
      <c r="C1749" s="11"/>
      <c r="D1749" s="11"/>
      <c r="E1749" s="11"/>
      <c r="F1749" s="11"/>
      <c r="G1749" s="11"/>
      <c r="H1749" s="11"/>
      <c r="I1749" s="12"/>
      <c r="J1749" s="12"/>
      <c r="K1749" s="11"/>
      <c r="L1749" s="16"/>
      <c r="M1749" s="16"/>
      <c r="N1749" s="16"/>
      <c r="O1749" s="11"/>
      <c r="P1749" s="11"/>
      <c r="Q1749" s="13"/>
    </row>
    <row r="1750">
      <c r="A1750" s="11"/>
      <c r="B1750" s="11"/>
      <c r="C1750" s="11"/>
      <c r="D1750" s="11"/>
      <c r="E1750" s="11"/>
      <c r="F1750" s="11"/>
      <c r="G1750" s="11"/>
      <c r="H1750" s="11"/>
      <c r="I1750" s="12"/>
      <c r="J1750" s="12"/>
      <c r="K1750" s="11"/>
      <c r="L1750" s="16"/>
      <c r="M1750" s="16"/>
      <c r="N1750" s="16"/>
      <c r="O1750" s="11"/>
      <c r="P1750" s="11"/>
      <c r="Q1750" s="13"/>
    </row>
    <row r="1751">
      <c r="A1751" s="11"/>
      <c r="B1751" s="11"/>
      <c r="C1751" s="11"/>
      <c r="D1751" s="11"/>
      <c r="E1751" s="11"/>
      <c r="F1751" s="11"/>
      <c r="G1751" s="11"/>
      <c r="H1751" s="11"/>
      <c r="I1751" s="12"/>
      <c r="J1751" s="12"/>
      <c r="K1751" s="11"/>
      <c r="L1751" s="16"/>
      <c r="M1751" s="16"/>
      <c r="N1751" s="16"/>
      <c r="O1751" s="11"/>
      <c r="P1751" s="11"/>
      <c r="Q1751" s="13"/>
    </row>
    <row r="1752">
      <c r="A1752" s="11"/>
      <c r="B1752" s="11"/>
      <c r="C1752" s="11"/>
      <c r="D1752" s="11"/>
      <c r="E1752" s="11"/>
      <c r="F1752" s="11"/>
      <c r="G1752" s="11"/>
      <c r="H1752" s="11"/>
      <c r="I1752" s="12"/>
      <c r="J1752" s="12"/>
      <c r="K1752" s="11"/>
      <c r="L1752" s="16"/>
      <c r="M1752" s="16"/>
      <c r="N1752" s="16"/>
      <c r="O1752" s="11"/>
      <c r="P1752" s="11"/>
      <c r="Q1752" s="13"/>
    </row>
    <row r="1753">
      <c r="A1753" s="11"/>
      <c r="B1753" s="11"/>
      <c r="C1753" s="11"/>
      <c r="D1753" s="11"/>
      <c r="E1753" s="11"/>
      <c r="F1753" s="11"/>
      <c r="G1753" s="11"/>
      <c r="H1753" s="11"/>
      <c r="I1753" s="12"/>
      <c r="J1753" s="12"/>
      <c r="K1753" s="11"/>
      <c r="L1753" s="16"/>
      <c r="M1753" s="16"/>
      <c r="N1753" s="16"/>
      <c r="O1753" s="11"/>
      <c r="P1753" s="11"/>
      <c r="Q1753" s="13"/>
    </row>
    <row r="1754">
      <c r="A1754" s="11"/>
      <c r="B1754" s="11"/>
      <c r="C1754" s="11"/>
      <c r="D1754" s="11"/>
      <c r="E1754" s="11"/>
      <c r="F1754" s="11"/>
      <c r="G1754" s="11"/>
      <c r="H1754" s="11"/>
      <c r="I1754" s="12"/>
      <c r="J1754" s="12"/>
      <c r="K1754" s="11"/>
      <c r="L1754" s="16"/>
      <c r="M1754" s="16"/>
      <c r="N1754" s="16"/>
      <c r="O1754" s="11"/>
      <c r="P1754" s="11"/>
      <c r="Q1754" s="13"/>
    </row>
    <row r="1755">
      <c r="A1755" s="11"/>
      <c r="B1755" s="11"/>
      <c r="C1755" s="11"/>
      <c r="D1755" s="11"/>
      <c r="E1755" s="11"/>
      <c r="F1755" s="11"/>
      <c r="G1755" s="11"/>
      <c r="H1755" s="11"/>
      <c r="I1755" s="12"/>
      <c r="J1755" s="12"/>
      <c r="K1755" s="11"/>
      <c r="L1755" s="16"/>
      <c r="M1755" s="16"/>
      <c r="N1755" s="16"/>
      <c r="O1755" s="11"/>
      <c r="P1755" s="11"/>
      <c r="Q1755" s="13"/>
    </row>
    <row r="1756">
      <c r="A1756" s="11"/>
      <c r="B1756" s="11"/>
      <c r="C1756" s="11"/>
      <c r="D1756" s="11"/>
      <c r="E1756" s="11"/>
      <c r="F1756" s="11"/>
      <c r="G1756" s="11"/>
      <c r="H1756" s="11"/>
      <c r="I1756" s="12"/>
      <c r="J1756" s="12"/>
      <c r="K1756" s="11"/>
      <c r="L1756" s="16"/>
      <c r="M1756" s="16"/>
      <c r="N1756" s="16"/>
      <c r="O1756" s="11"/>
      <c r="P1756" s="11"/>
      <c r="Q1756" s="13"/>
    </row>
    <row r="1757">
      <c r="A1757" s="11"/>
      <c r="B1757" s="11"/>
      <c r="C1757" s="11"/>
      <c r="D1757" s="11"/>
      <c r="E1757" s="11"/>
      <c r="F1757" s="11"/>
      <c r="G1757" s="11"/>
      <c r="H1757" s="11"/>
      <c r="I1757" s="12"/>
      <c r="J1757" s="12"/>
      <c r="K1757" s="11"/>
      <c r="L1757" s="16"/>
      <c r="M1757" s="16"/>
      <c r="N1757" s="16"/>
      <c r="O1757" s="11"/>
      <c r="P1757" s="11"/>
      <c r="Q1757" s="13"/>
    </row>
    <row r="1758">
      <c r="A1758" s="11"/>
      <c r="B1758" s="11"/>
      <c r="C1758" s="11"/>
      <c r="D1758" s="11"/>
      <c r="E1758" s="11"/>
      <c r="F1758" s="11"/>
      <c r="G1758" s="11"/>
      <c r="H1758" s="11"/>
      <c r="I1758" s="12"/>
      <c r="J1758" s="12"/>
      <c r="K1758" s="11"/>
      <c r="L1758" s="16"/>
      <c r="M1758" s="16"/>
      <c r="N1758" s="16"/>
      <c r="O1758" s="11"/>
      <c r="P1758" s="11"/>
      <c r="Q1758" s="13"/>
    </row>
    <row r="1759">
      <c r="A1759" s="11"/>
      <c r="B1759" s="11"/>
      <c r="C1759" s="11"/>
      <c r="D1759" s="11"/>
      <c r="E1759" s="11"/>
      <c r="F1759" s="11"/>
      <c r="G1759" s="11"/>
      <c r="H1759" s="11"/>
      <c r="I1759" s="12"/>
      <c r="J1759" s="12"/>
      <c r="K1759" s="11"/>
      <c r="L1759" s="16"/>
      <c r="M1759" s="16"/>
      <c r="N1759" s="16"/>
      <c r="O1759" s="11"/>
      <c r="P1759" s="11"/>
      <c r="Q1759" s="13"/>
    </row>
    <row r="1760">
      <c r="A1760" s="11"/>
      <c r="B1760" s="11"/>
      <c r="C1760" s="11"/>
      <c r="D1760" s="11"/>
      <c r="E1760" s="11"/>
      <c r="F1760" s="11"/>
      <c r="G1760" s="11"/>
      <c r="H1760" s="11"/>
      <c r="I1760" s="12"/>
      <c r="J1760" s="12"/>
      <c r="K1760" s="11"/>
      <c r="L1760" s="16"/>
      <c r="M1760" s="16"/>
      <c r="N1760" s="16"/>
      <c r="O1760" s="11"/>
      <c r="P1760" s="11"/>
      <c r="Q1760" s="13"/>
    </row>
    <row r="1761">
      <c r="A1761" s="11"/>
      <c r="B1761" s="11"/>
      <c r="C1761" s="11"/>
      <c r="D1761" s="11"/>
      <c r="E1761" s="11"/>
      <c r="F1761" s="11"/>
      <c r="G1761" s="11"/>
      <c r="H1761" s="11"/>
      <c r="I1761" s="12"/>
      <c r="J1761" s="12"/>
      <c r="K1761" s="11"/>
      <c r="L1761" s="16"/>
      <c r="M1761" s="16"/>
      <c r="N1761" s="16"/>
      <c r="O1761" s="11"/>
      <c r="P1761" s="11"/>
      <c r="Q1761" s="13"/>
    </row>
    <row r="1762">
      <c r="A1762" s="11"/>
      <c r="B1762" s="11"/>
      <c r="C1762" s="11"/>
      <c r="D1762" s="11"/>
      <c r="E1762" s="11"/>
      <c r="F1762" s="11"/>
      <c r="G1762" s="11"/>
      <c r="H1762" s="11"/>
      <c r="I1762" s="12"/>
      <c r="J1762" s="12"/>
      <c r="K1762" s="11"/>
      <c r="L1762" s="16"/>
      <c r="M1762" s="16"/>
      <c r="N1762" s="16"/>
      <c r="O1762" s="11"/>
      <c r="P1762" s="11"/>
      <c r="Q1762" s="13"/>
    </row>
    <row r="1763">
      <c r="A1763" s="11"/>
      <c r="B1763" s="11"/>
      <c r="C1763" s="11"/>
      <c r="D1763" s="11"/>
      <c r="E1763" s="11"/>
      <c r="F1763" s="11"/>
      <c r="G1763" s="11"/>
      <c r="H1763" s="11"/>
      <c r="I1763" s="12"/>
      <c r="J1763" s="12"/>
      <c r="K1763" s="11"/>
      <c r="L1763" s="16"/>
      <c r="M1763" s="16"/>
      <c r="N1763" s="16"/>
      <c r="O1763" s="11"/>
      <c r="P1763" s="11"/>
      <c r="Q1763" s="13"/>
    </row>
    <row r="1764">
      <c r="A1764" s="11"/>
      <c r="B1764" s="11"/>
      <c r="C1764" s="11"/>
      <c r="D1764" s="11"/>
      <c r="E1764" s="11"/>
      <c r="F1764" s="11"/>
      <c r="G1764" s="11"/>
      <c r="H1764" s="11"/>
      <c r="I1764" s="12"/>
      <c r="J1764" s="12"/>
      <c r="K1764" s="11"/>
      <c r="L1764" s="16"/>
      <c r="M1764" s="16"/>
      <c r="N1764" s="16"/>
      <c r="O1764" s="11"/>
      <c r="P1764" s="11"/>
      <c r="Q1764" s="13"/>
    </row>
    <row r="1765">
      <c r="A1765" s="11"/>
      <c r="B1765" s="11"/>
      <c r="C1765" s="11"/>
      <c r="D1765" s="11"/>
      <c r="E1765" s="11"/>
      <c r="F1765" s="11"/>
      <c r="G1765" s="11"/>
      <c r="H1765" s="11"/>
      <c r="I1765" s="12"/>
      <c r="J1765" s="12"/>
      <c r="K1765" s="11"/>
      <c r="L1765" s="16"/>
      <c r="M1765" s="16"/>
      <c r="N1765" s="16"/>
      <c r="O1765" s="11"/>
      <c r="P1765" s="11"/>
      <c r="Q1765" s="13"/>
    </row>
    <row r="1766">
      <c r="A1766" s="11"/>
      <c r="B1766" s="11"/>
      <c r="C1766" s="11"/>
      <c r="D1766" s="11"/>
      <c r="E1766" s="11"/>
      <c r="F1766" s="11"/>
      <c r="G1766" s="11"/>
      <c r="H1766" s="11"/>
      <c r="I1766" s="12"/>
      <c r="J1766" s="12"/>
      <c r="K1766" s="11"/>
      <c r="L1766" s="16"/>
      <c r="M1766" s="16"/>
      <c r="N1766" s="16"/>
      <c r="O1766" s="11"/>
      <c r="P1766" s="11"/>
      <c r="Q1766" s="13"/>
    </row>
    <row r="1767">
      <c r="A1767" s="11"/>
      <c r="B1767" s="11"/>
      <c r="C1767" s="11"/>
      <c r="D1767" s="11"/>
      <c r="E1767" s="11"/>
      <c r="F1767" s="11"/>
      <c r="G1767" s="11"/>
      <c r="H1767" s="11"/>
      <c r="I1767" s="12"/>
      <c r="J1767" s="12"/>
      <c r="K1767" s="11"/>
      <c r="L1767" s="16"/>
      <c r="M1767" s="16"/>
      <c r="N1767" s="16"/>
      <c r="O1767" s="11"/>
      <c r="P1767" s="11"/>
      <c r="Q1767" s="13"/>
    </row>
    <row r="1768">
      <c r="A1768" s="11"/>
      <c r="B1768" s="11"/>
      <c r="C1768" s="11"/>
      <c r="D1768" s="11"/>
      <c r="E1768" s="11"/>
      <c r="F1768" s="11"/>
      <c r="G1768" s="11"/>
      <c r="H1768" s="11"/>
      <c r="I1768" s="12"/>
      <c r="J1768" s="12"/>
      <c r="K1768" s="11"/>
      <c r="L1768" s="16"/>
      <c r="M1768" s="16"/>
      <c r="N1768" s="16"/>
      <c r="O1768" s="11"/>
      <c r="P1768" s="11"/>
      <c r="Q1768" s="13"/>
    </row>
    <row r="1769">
      <c r="A1769" s="11"/>
      <c r="B1769" s="11"/>
      <c r="C1769" s="11"/>
      <c r="D1769" s="11"/>
      <c r="E1769" s="11"/>
      <c r="F1769" s="11"/>
      <c r="G1769" s="11"/>
      <c r="H1769" s="11"/>
      <c r="I1769" s="12"/>
      <c r="J1769" s="12"/>
      <c r="K1769" s="11"/>
      <c r="L1769" s="16"/>
      <c r="M1769" s="16"/>
      <c r="N1769" s="16"/>
      <c r="O1769" s="11"/>
      <c r="P1769" s="11"/>
      <c r="Q1769" s="13"/>
    </row>
    <row r="1770">
      <c r="A1770" s="11"/>
      <c r="B1770" s="11"/>
      <c r="C1770" s="11"/>
      <c r="D1770" s="11"/>
      <c r="E1770" s="11"/>
      <c r="F1770" s="11"/>
      <c r="G1770" s="11"/>
      <c r="H1770" s="11"/>
      <c r="I1770" s="12"/>
      <c r="J1770" s="12"/>
      <c r="K1770" s="11"/>
      <c r="L1770" s="16"/>
      <c r="M1770" s="16"/>
      <c r="N1770" s="16"/>
      <c r="O1770" s="11"/>
      <c r="P1770" s="11"/>
      <c r="Q1770" s="13"/>
    </row>
    <row r="1771">
      <c r="A1771" s="11"/>
      <c r="B1771" s="11"/>
      <c r="C1771" s="11"/>
      <c r="D1771" s="11"/>
      <c r="E1771" s="11"/>
      <c r="F1771" s="11"/>
      <c r="G1771" s="11"/>
      <c r="H1771" s="11"/>
      <c r="I1771" s="12"/>
      <c r="J1771" s="12"/>
      <c r="K1771" s="11"/>
      <c r="L1771" s="16"/>
      <c r="M1771" s="16"/>
      <c r="N1771" s="16"/>
      <c r="O1771" s="11"/>
      <c r="P1771" s="11"/>
      <c r="Q1771" s="13"/>
    </row>
    <row r="1772">
      <c r="A1772" s="11"/>
      <c r="B1772" s="11"/>
      <c r="C1772" s="11"/>
      <c r="D1772" s="11"/>
      <c r="E1772" s="11"/>
      <c r="F1772" s="11"/>
      <c r="G1772" s="11"/>
      <c r="H1772" s="11"/>
      <c r="I1772" s="12"/>
      <c r="J1772" s="12"/>
      <c r="K1772" s="11"/>
      <c r="L1772" s="16"/>
      <c r="M1772" s="16"/>
      <c r="N1772" s="16"/>
      <c r="O1772" s="11"/>
      <c r="P1772" s="11"/>
      <c r="Q1772" s="13"/>
    </row>
    <row r="1773">
      <c r="A1773" s="11"/>
      <c r="B1773" s="11"/>
      <c r="C1773" s="11"/>
      <c r="D1773" s="11"/>
      <c r="E1773" s="11"/>
      <c r="F1773" s="11"/>
      <c r="G1773" s="11"/>
      <c r="H1773" s="11"/>
      <c r="I1773" s="12"/>
      <c r="J1773" s="12"/>
      <c r="K1773" s="11"/>
      <c r="L1773" s="16"/>
      <c r="M1773" s="16"/>
      <c r="N1773" s="16"/>
      <c r="O1773" s="11"/>
      <c r="P1773" s="11"/>
      <c r="Q1773" s="13"/>
    </row>
    <row r="1774">
      <c r="A1774" s="11"/>
      <c r="B1774" s="11"/>
      <c r="C1774" s="11"/>
      <c r="D1774" s="11"/>
      <c r="E1774" s="11"/>
      <c r="F1774" s="11"/>
      <c r="G1774" s="11"/>
      <c r="H1774" s="11"/>
      <c r="I1774" s="12"/>
      <c r="J1774" s="12"/>
      <c r="K1774" s="11"/>
      <c r="L1774" s="16"/>
      <c r="M1774" s="16"/>
      <c r="N1774" s="16"/>
      <c r="O1774" s="11"/>
      <c r="P1774" s="11"/>
      <c r="Q1774" s="13"/>
    </row>
    <row r="1775">
      <c r="A1775" s="11"/>
      <c r="B1775" s="11"/>
      <c r="C1775" s="11"/>
      <c r="D1775" s="11"/>
      <c r="E1775" s="11"/>
      <c r="F1775" s="11"/>
      <c r="G1775" s="11"/>
      <c r="H1775" s="11"/>
      <c r="I1775" s="12"/>
      <c r="J1775" s="12"/>
      <c r="K1775" s="11"/>
      <c r="L1775" s="16"/>
      <c r="M1775" s="16"/>
      <c r="N1775" s="16"/>
      <c r="O1775" s="11"/>
      <c r="P1775" s="11"/>
      <c r="Q1775" s="13"/>
    </row>
    <row r="1776">
      <c r="A1776" s="11"/>
      <c r="B1776" s="11"/>
      <c r="C1776" s="11"/>
      <c r="D1776" s="11"/>
      <c r="E1776" s="11"/>
      <c r="F1776" s="11"/>
      <c r="G1776" s="11"/>
      <c r="H1776" s="11"/>
      <c r="I1776" s="12"/>
      <c r="J1776" s="12"/>
      <c r="K1776" s="11"/>
      <c r="L1776" s="16"/>
      <c r="M1776" s="16"/>
      <c r="N1776" s="16"/>
      <c r="O1776" s="11"/>
      <c r="P1776" s="11"/>
      <c r="Q1776" s="13"/>
    </row>
    <row r="1777">
      <c r="A1777" s="11"/>
      <c r="B1777" s="11"/>
      <c r="C1777" s="11"/>
      <c r="D1777" s="11"/>
      <c r="E1777" s="11"/>
      <c r="F1777" s="11"/>
      <c r="G1777" s="11"/>
      <c r="H1777" s="11"/>
      <c r="I1777" s="12"/>
      <c r="J1777" s="12"/>
      <c r="K1777" s="11"/>
      <c r="L1777" s="16"/>
      <c r="M1777" s="16"/>
      <c r="N1777" s="16"/>
      <c r="O1777" s="11"/>
      <c r="P1777" s="11"/>
      <c r="Q1777" s="13"/>
    </row>
    <row r="1778">
      <c r="A1778" s="11"/>
      <c r="B1778" s="11"/>
      <c r="C1778" s="11"/>
      <c r="D1778" s="11"/>
      <c r="E1778" s="11"/>
      <c r="F1778" s="11"/>
      <c r="G1778" s="11"/>
      <c r="H1778" s="11"/>
      <c r="I1778" s="12"/>
      <c r="J1778" s="12"/>
      <c r="K1778" s="11"/>
      <c r="L1778" s="16"/>
      <c r="M1778" s="16"/>
      <c r="N1778" s="16"/>
      <c r="O1778" s="11"/>
      <c r="P1778" s="11"/>
      <c r="Q1778" s="13"/>
    </row>
    <row r="1779">
      <c r="A1779" s="11"/>
      <c r="B1779" s="11"/>
      <c r="C1779" s="11"/>
      <c r="D1779" s="11"/>
      <c r="E1779" s="11"/>
      <c r="F1779" s="11"/>
      <c r="G1779" s="11"/>
      <c r="H1779" s="11"/>
      <c r="I1779" s="12"/>
      <c r="J1779" s="12"/>
      <c r="K1779" s="11"/>
      <c r="L1779" s="16"/>
      <c r="M1779" s="16"/>
      <c r="N1779" s="16"/>
      <c r="O1779" s="11"/>
      <c r="P1779" s="11"/>
      <c r="Q1779" s="13"/>
    </row>
    <row r="1780">
      <c r="A1780" s="11"/>
      <c r="B1780" s="11"/>
      <c r="C1780" s="11"/>
      <c r="D1780" s="11"/>
      <c r="E1780" s="11"/>
      <c r="F1780" s="11"/>
      <c r="G1780" s="11"/>
      <c r="H1780" s="11"/>
      <c r="I1780" s="12"/>
      <c r="J1780" s="12"/>
      <c r="K1780" s="11"/>
      <c r="L1780" s="16"/>
      <c r="M1780" s="16"/>
      <c r="N1780" s="16"/>
      <c r="O1780" s="11"/>
      <c r="P1780" s="11"/>
      <c r="Q1780" s="13"/>
    </row>
    <row r="1781">
      <c r="A1781" s="11"/>
      <c r="B1781" s="11"/>
      <c r="C1781" s="11"/>
      <c r="D1781" s="11"/>
      <c r="E1781" s="11"/>
      <c r="F1781" s="11"/>
      <c r="G1781" s="11"/>
      <c r="H1781" s="11"/>
      <c r="I1781" s="12"/>
      <c r="J1781" s="12"/>
      <c r="K1781" s="11"/>
      <c r="L1781" s="16"/>
      <c r="M1781" s="16"/>
      <c r="N1781" s="16"/>
      <c r="O1781" s="11"/>
      <c r="P1781" s="11"/>
      <c r="Q1781" s="13"/>
    </row>
    <row r="1782">
      <c r="A1782" s="11"/>
      <c r="B1782" s="11"/>
      <c r="C1782" s="11"/>
      <c r="D1782" s="11"/>
      <c r="E1782" s="11"/>
      <c r="F1782" s="11"/>
      <c r="G1782" s="11"/>
      <c r="H1782" s="11"/>
      <c r="I1782" s="12"/>
      <c r="J1782" s="12"/>
      <c r="K1782" s="11"/>
      <c r="L1782" s="16"/>
      <c r="M1782" s="16"/>
      <c r="N1782" s="16"/>
      <c r="O1782" s="11"/>
      <c r="P1782" s="11"/>
      <c r="Q1782" s="13"/>
    </row>
    <row r="1783">
      <c r="A1783" s="11"/>
      <c r="B1783" s="11"/>
      <c r="C1783" s="11"/>
      <c r="D1783" s="11"/>
      <c r="E1783" s="11"/>
      <c r="F1783" s="11"/>
      <c r="G1783" s="11"/>
      <c r="H1783" s="11"/>
      <c r="I1783" s="12"/>
      <c r="J1783" s="12"/>
      <c r="K1783" s="11"/>
      <c r="L1783" s="16"/>
      <c r="M1783" s="16"/>
      <c r="N1783" s="16"/>
      <c r="O1783" s="11"/>
      <c r="P1783" s="11"/>
      <c r="Q1783" s="13"/>
    </row>
    <row r="1784">
      <c r="A1784" s="11"/>
      <c r="B1784" s="11"/>
      <c r="C1784" s="11"/>
      <c r="D1784" s="11"/>
      <c r="E1784" s="11"/>
      <c r="F1784" s="11"/>
      <c r="G1784" s="11"/>
      <c r="H1784" s="11"/>
      <c r="I1784" s="12"/>
      <c r="J1784" s="12"/>
      <c r="K1784" s="11"/>
      <c r="L1784" s="16"/>
      <c r="M1784" s="16"/>
      <c r="N1784" s="16"/>
      <c r="O1784" s="11"/>
      <c r="P1784" s="11"/>
      <c r="Q1784" s="13"/>
    </row>
    <row r="1785">
      <c r="A1785" s="11"/>
      <c r="B1785" s="11"/>
      <c r="C1785" s="11"/>
      <c r="D1785" s="11"/>
      <c r="E1785" s="11"/>
      <c r="F1785" s="11"/>
      <c r="G1785" s="11"/>
      <c r="H1785" s="11"/>
      <c r="I1785" s="12"/>
      <c r="J1785" s="12"/>
      <c r="K1785" s="11"/>
      <c r="L1785" s="16"/>
      <c r="M1785" s="16"/>
      <c r="N1785" s="16"/>
      <c r="O1785" s="11"/>
      <c r="P1785" s="11"/>
      <c r="Q1785" s="13"/>
    </row>
    <row r="1786">
      <c r="A1786" s="11"/>
      <c r="B1786" s="11"/>
      <c r="C1786" s="11"/>
      <c r="D1786" s="11"/>
      <c r="E1786" s="11"/>
      <c r="F1786" s="11"/>
      <c r="G1786" s="11"/>
      <c r="H1786" s="11"/>
      <c r="I1786" s="12"/>
      <c r="J1786" s="12"/>
      <c r="K1786" s="11"/>
      <c r="L1786" s="16"/>
      <c r="M1786" s="16"/>
      <c r="N1786" s="16"/>
      <c r="O1786" s="11"/>
      <c r="P1786" s="11"/>
      <c r="Q1786" s="13"/>
    </row>
    <row r="1787">
      <c r="A1787" s="11"/>
      <c r="B1787" s="11"/>
      <c r="C1787" s="11"/>
      <c r="D1787" s="11"/>
      <c r="E1787" s="11"/>
      <c r="F1787" s="11"/>
      <c r="G1787" s="11"/>
      <c r="H1787" s="11"/>
      <c r="I1787" s="12"/>
      <c r="J1787" s="12"/>
      <c r="K1787" s="11"/>
      <c r="L1787" s="16"/>
      <c r="M1787" s="16"/>
      <c r="N1787" s="16"/>
      <c r="O1787" s="11"/>
      <c r="P1787" s="11"/>
      <c r="Q1787" s="13"/>
    </row>
    <row r="1788">
      <c r="A1788" s="11"/>
      <c r="B1788" s="11"/>
      <c r="C1788" s="11"/>
      <c r="D1788" s="11"/>
      <c r="E1788" s="11"/>
      <c r="F1788" s="11"/>
      <c r="G1788" s="11"/>
      <c r="H1788" s="11"/>
      <c r="I1788" s="12"/>
      <c r="J1788" s="12"/>
      <c r="K1788" s="11"/>
      <c r="L1788" s="16"/>
      <c r="M1788" s="16"/>
      <c r="N1788" s="16"/>
      <c r="O1788" s="11"/>
      <c r="P1788" s="11"/>
      <c r="Q1788" s="13"/>
    </row>
    <row r="1789">
      <c r="A1789" s="11"/>
      <c r="B1789" s="11"/>
      <c r="C1789" s="11"/>
      <c r="D1789" s="11"/>
      <c r="E1789" s="11"/>
      <c r="F1789" s="11"/>
      <c r="G1789" s="11"/>
      <c r="H1789" s="11"/>
      <c r="I1789" s="12"/>
      <c r="J1789" s="12"/>
      <c r="K1789" s="11"/>
      <c r="L1789" s="16"/>
      <c r="M1789" s="16"/>
      <c r="N1789" s="16"/>
      <c r="O1789" s="11"/>
      <c r="P1789" s="11"/>
      <c r="Q1789" s="13"/>
    </row>
    <row r="1790">
      <c r="A1790" s="11"/>
      <c r="B1790" s="11"/>
      <c r="C1790" s="11"/>
      <c r="D1790" s="11"/>
      <c r="E1790" s="11"/>
      <c r="F1790" s="11"/>
      <c r="G1790" s="11"/>
      <c r="H1790" s="11"/>
      <c r="I1790" s="12"/>
      <c r="J1790" s="12"/>
      <c r="K1790" s="11"/>
      <c r="L1790" s="16"/>
      <c r="M1790" s="16"/>
      <c r="N1790" s="16"/>
      <c r="O1790" s="11"/>
      <c r="P1790" s="11"/>
      <c r="Q1790" s="13"/>
    </row>
    <row r="1791">
      <c r="A1791" s="11"/>
      <c r="B1791" s="11"/>
      <c r="C1791" s="11"/>
      <c r="D1791" s="11"/>
      <c r="E1791" s="11"/>
      <c r="F1791" s="11"/>
      <c r="G1791" s="11"/>
      <c r="H1791" s="11"/>
      <c r="I1791" s="12"/>
      <c r="J1791" s="12"/>
      <c r="K1791" s="11"/>
      <c r="L1791" s="16"/>
      <c r="M1791" s="16"/>
      <c r="N1791" s="16"/>
      <c r="O1791" s="11"/>
      <c r="P1791" s="11"/>
      <c r="Q1791" s="13"/>
    </row>
    <row r="1792">
      <c r="A1792" s="11"/>
      <c r="B1792" s="11"/>
      <c r="C1792" s="11"/>
      <c r="D1792" s="11"/>
      <c r="E1792" s="11"/>
      <c r="F1792" s="11"/>
      <c r="G1792" s="11"/>
      <c r="H1792" s="11"/>
      <c r="I1792" s="12"/>
      <c r="J1792" s="12"/>
      <c r="K1792" s="11"/>
      <c r="L1792" s="16"/>
      <c r="M1792" s="16"/>
      <c r="N1792" s="16"/>
      <c r="O1792" s="11"/>
      <c r="P1792" s="11"/>
      <c r="Q1792" s="13"/>
    </row>
    <row r="1793">
      <c r="A1793" s="11"/>
      <c r="B1793" s="11"/>
      <c r="C1793" s="11"/>
      <c r="D1793" s="11"/>
      <c r="E1793" s="11"/>
      <c r="F1793" s="11"/>
      <c r="G1793" s="11"/>
      <c r="H1793" s="11"/>
      <c r="I1793" s="12"/>
      <c r="J1793" s="12"/>
      <c r="K1793" s="11"/>
      <c r="L1793" s="16"/>
      <c r="M1793" s="16"/>
      <c r="N1793" s="16"/>
      <c r="O1793" s="11"/>
      <c r="P1793" s="11"/>
      <c r="Q1793" s="13"/>
    </row>
    <row r="1794">
      <c r="A1794" s="11"/>
      <c r="B1794" s="11"/>
      <c r="C1794" s="11"/>
      <c r="D1794" s="11"/>
      <c r="E1794" s="11"/>
      <c r="F1794" s="11"/>
      <c r="G1794" s="11"/>
      <c r="H1794" s="11"/>
      <c r="I1794" s="12"/>
      <c r="J1794" s="12"/>
      <c r="K1794" s="11"/>
      <c r="L1794" s="16"/>
      <c r="M1794" s="16"/>
      <c r="N1794" s="16"/>
      <c r="O1794" s="11"/>
      <c r="P1794" s="11"/>
      <c r="Q1794" s="13"/>
    </row>
    <row r="1795">
      <c r="A1795" s="11"/>
      <c r="B1795" s="11"/>
      <c r="C1795" s="11"/>
      <c r="D1795" s="11"/>
      <c r="E1795" s="11"/>
      <c r="F1795" s="11"/>
      <c r="G1795" s="11"/>
      <c r="H1795" s="11"/>
      <c r="I1795" s="12"/>
      <c r="J1795" s="12"/>
      <c r="K1795" s="11"/>
      <c r="L1795" s="16"/>
      <c r="M1795" s="16"/>
      <c r="N1795" s="16"/>
      <c r="O1795" s="11"/>
      <c r="P1795" s="11"/>
      <c r="Q1795" s="13"/>
    </row>
    <row r="1796">
      <c r="A1796" s="11"/>
      <c r="B1796" s="11"/>
      <c r="C1796" s="11"/>
      <c r="D1796" s="11"/>
      <c r="E1796" s="11"/>
      <c r="F1796" s="11"/>
      <c r="G1796" s="11"/>
      <c r="H1796" s="11"/>
      <c r="I1796" s="12"/>
      <c r="J1796" s="12"/>
      <c r="K1796" s="11"/>
      <c r="L1796" s="16"/>
      <c r="M1796" s="16"/>
      <c r="N1796" s="16"/>
      <c r="O1796" s="11"/>
      <c r="P1796" s="11"/>
      <c r="Q1796" s="13"/>
    </row>
    <row r="1797">
      <c r="A1797" s="11"/>
      <c r="B1797" s="11"/>
      <c r="C1797" s="11"/>
      <c r="D1797" s="11"/>
      <c r="E1797" s="11"/>
      <c r="F1797" s="11"/>
      <c r="G1797" s="11"/>
      <c r="H1797" s="11"/>
      <c r="I1797" s="12"/>
      <c r="J1797" s="12"/>
      <c r="K1797" s="11"/>
      <c r="L1797" s="16"/>
      <c r="M1797" s="16"/>
      <c r="N1797" s="16"/>
      <c r="O1797" s="11"/>
      <c r="P1797" s="11"/>
      <c r="Q1797" s="13"/>
    </row>
    <row r="1798">
      <c r="A1798" s="11"/>
      <c r="B1798" s="11"/>
      <c r="C1798" s="11"/>
      <c r="D1798" s="11"/>
      <c r="E1798" s="11"/>
      <c r="F1798" s="11"/>
      <c r="G1798" s="11"/>
      <c r="H1798" s="11"/>
      <c r="I1798" s="12"/>
      <c r="J1798" s="12"/>
      <c r="K1798" s="11"/>
      <c r="L1798" s="16"/>
      <c r="M1798" s="16"/>
      <c r="N1798" s="16"/>
      <c r="O1798" s="11"/>
      <c r="P1798" s="11"/>
      <c r="Q1798" s="13"/>
    </row>
    <row r="1799">
      <c r="A1799" s="11"/>
      <c r="B1799" s="11"/>
      <c r="C1799" s="11"/>
      <c r="D1799" s="11"/>
      <c r="E1799" s="11"/>
      <c r="F1799" s="11"/>
      <c r="G1799" s="11"/>
      <c r="H1799" s="11"/>
      <c r="I1799" s="12"/>
      <c r="J1799" s="12"/>
      <c r="K1799" s="11"/>
      <c r="L1799" s="16"/>
      <c r="M1799" s="16"/>
      <c r="N1799" s="16"/>
      <c r="O1799" s="11"/>
      <c r="P1799" s="11"/>
      <c r="Q1799" s="13"/>
    </row>
    <row r="1800">
      <c r="A1800" s="11"/>
      <c r="B1800" s="11"/>
      <c r="C1800" s="11"/>
      <c r="D1800" s="11"/>
      <c r="E1800" s="11"/>
      <c r="F1800" s="11"/>
      <c r="G1800" s="11"/>
      <c r="H1800" s="11"/>
      <c r="I1800" s="12"/>
      <c r="J1800" s="12"/>
      <c r="K1800" s="11"/>
      <c r="L1800" s="16"/>
      <c r="M1800" s="16"/>
      <c r="N1800" s="16"/>
      <c r="O1800" s="11"/>
      <c r="P1800" s="11"/>
      <c r="Q1800" s="13"/>
    </row>
    <row r="1801">
      <c r="A1801" s="11"/>
      <c r="B1801" s="11"/>
      <c r="C1801" s="11"/>
      <c r="D1801" s="11"/>
      <c r="E1801" s="11"/>
      <c r="F1801" s="11"/>
      <c r="G1801" s="11"/>
      <c r="H1801" s="11"/>
      <c r="I1801" s="12"/>
      <c r="J1801" s="12"/>
      <c r="K1801" s="11"/>
      <c r="L1801" s="16"/>
      <c r="M1801" s="16"/>
      <c r="N1801" s="16"/>
      <c r="O1801" s="11"/>
      <c r="P1801" s="11"/>
      <c r="Q1801" s="13"/>
    </row>
    <row r="1802">
      <c r="A1802" s="11"/>
      <c r="B1802" s="11"/>
      <c r="C1802" s="11"/>
      <c r="D1802" s="11"/>
      <c r="E1802" s="11"/>
      <c r="F1802" s="11"/>
      <c r="G1802" s="11"/>
      <c r="H1802" s="11"/>
      <c r="I1802" s="12"/>
      <c r="J1802" s="12"/>
      <c r="K1802" s="11"/>
      <c r="L1802" s="16"/>
      <c r="M1802" s="16"/>
      <c r="N1802" s="16"/>
      <c r="O1802" s="11"/>
      <c r="P1802" s="11"/>
      <c r="Q1802" s="13"/>
    </row>
    <row r="1803">
      <c r="A1803" s="11"/>
      <c r="B1803" s="11"/>
      <c r="C1803" s="11"/>
      <c r="D1803" s="11"/>
      <c r="E1803" s="11"/>
      <c r="F1803" s="11"/>
      <c r="G1803" s="11"/>
      <c r="H1803" s="11"/>
      <c r="I1803" s="12"/>
      <c r="J1803" s="12"/>
      <c r="K1803" s="11"/>
      <c r="L1803" s="16"/>
      <c r="M1803" s="16"/>
      <c r="N1803" s="16"/>
      <c r="O1803" s="11"/>
      <c r="P1803" s="11"/>
      <c r="Q1803" s="13"/>
    </row>
    <row r="1804">
      <c r="A1804" s="11"/>
      <c r="B1804" s="11"/>
      <c r="C1804" s="11"/>
      <c r="D1804" s="11"/>
      <c r="E1804" s="11"/>
      <c r="F1804" s="11"/>
      <c r="G1804" s="11"/>
      <c r="H1804" s="11"/>
      <c r="I1804" s="12"/>
      <c r="J1804" s="12"/>
      <c r="K1804" s="11"/>
      <c r="L1804" s="16"/>
      <c r="M1804" s="16"/>
      <c r="N1804" s="16"/>
      <c r="O1804" s="11"/>
      <c r="P1804" s="11"/>
      <c r="Q1804" s="13"/>
    </row>
    <row r="1805">
      <c r="A1805" s="11"/>
      <c r="B1805" s="11"/>
      <c r="C1805" s="11"/>
      <c r="D1805" s="11"/>
      <c r="E1805" s="11"/>
      <c r="F1805" s="11"/>
      <c r="G1805" s="11"/>
      <c r="H1805" s="11"/>
      <c r="I1805" s="12"/>
      <c r="J1805" s="12"/>
      <c r="K1805" s="11"/>
      <c r="L1805" s="16"/>
      <c r="M1805" s="16"/>
      <c r="N1805" s="16"/>
      <c r="O1805" s="11"/>
      <c r="P1805" s="11"/>
      <c r="Q1805" s="13"/>
    </row>
    <row r="1806">
      <c r="A1806" s="11"/>
      <c r="B1806" s="11"/>
      <c r="C1806" s="11"/>
      <c r="D1806" s="11"/>
      <c r="E1806" s="11"/>
      <c r="F1806" s="11"/>
      <c r="G1806" s="11"/>
      <c r="H1806" s="11"/>
      <c r="I1806" s="12"/>
      <c r="J1806" s="12"/>
      <c r="K1806" s="11"/>
      <c r="L1806" s="16"/>
      <c r="M1806" s="16"/>
      <c r="N1806" s="16"/>
      <c r="O1806" s="11"/>
      <c r="P1806" s="11"/>
      <c r="Q1806" s="13"/>
    </row>
    <row r="1807">
      <c r="A1807" s="11"/>
      <c r="B1807" s="11"/>
      <c r="C1807" s="11"/>
      <c r="D1807" s="11"/>
      <c r="E1807" s="11"/>
      <c r="F1807" s="11"/>
      <c r="G1807" s="11"/>
      <c r="H1807" s="11"/>
      <c r="I1807" s="12"/>
      <c r="J1807" s="12"/>
      <c r="K1807" s="11"/>
      <c r="L1807" s="16"/>
      <c r="M1807" s="16"/>
      <c r="N1807" s="16"/>
      <c r="O1807" s="11"/>
      <c r="P1807" s="11"/>
      <c r="Q1807" s="13"/>
    </row>
    <row r="1808">
      <c r="A1808" s="11"/>
      <c r="B1808" s="11"/>
      <c r="C1808" s="11"/>
      <c r="D1808" s="11"/>
      <c r="E1808" s="11"/>
      <c r="F1808" s="11"/>
      <c r="G1808" s="11"/>
      <c r="H1808" s="11"/>
      <c r="I1808" s="12"/>
      <c r="J1808" s="12"/>
      <c r="K1808" s="11"/>
      <c r="L1808" s="16"/>
      <c r="M1808" s="16"/>
      <c r="N1808" s="16"/>
      <c r="O1808" s="11"/>
      <c r="P1808" s="11"/>
      <c r="Q1808" s="13"/>
    </row>
    <row r="1809">
      <c r="A1809" s="11"/>
      <c r="B1809" s="11"/>
      <c r="C1809" s="11"/>
      <c r="D1809" s="11"/>
      <c r="E1809" s="11"/>
      <c r="F1809" s="11"/>
      <c r="G1809" s="11"/>
      <c r="H1809" s="11"/>
      <c r="I1809" s="12"/>
      <c r="J1809" s="12"/>
      <c r="K1809" s="11"/>
      <c r="L1809" s="16"/>
      <c r="M1809" s="16"/>
      <c r="N1809" s="16"/>
      <c r="O1809" s="11"/>
      <c r="P1809" s="11"/>
      <c r="Q1809" s="13"/>
    </row>
    <row r="1810">
      <c r="A1810" s="11"/>
      <c r="B1810" s="11"/>
      <c r="C1810" s="11"/>
      <c r="D1810" s="11"/>
      <c r="E1810" s="11"/>
      <c r="F1810" s="11"/>
      <c r="G1810" s="11"/>
      <c r="H1810" s="11"/>
      <c r="I1810" s="12"/>
      <c r="J1810" s="12"/>
      <c r="K1810" s="11"/>
      <c r="L1810" s="16"/>
      <c r="M1810" s="16"/>
      <c r="N1810" s="16"/>
      <c r="O1810" s="11"/>
      <c r="P1810" s="11"/>
      <c r="Q1810" s="13"/>
    </row>
    <row r="1811">
      <c r="A1811" s="11"/>
      <c r="B1811" s="11"/>
      <c r="C1811" s="11"/>
      <c r="D1811" s="11"/>
      <c r="E1811" s="11"/>
      <c r="F1811" s="11"/>
      <c r="G1811" s="11"/>
      <c r="H1811" s="11"/>
      <c r="I1811" s="12"/>
      <c r="J1811" s="12"/>
      <c r="K1811" s="11"/>
      <c r="L1811" s="16"/>
      <c r="M1811" s="16"/>
      <c r="N1811" s="16"/>
      <c r="O1811" s="11"/>
      <c r="P1811" s="11"/>
      <c r="Q1811" s="13"/>
    </row>
    <row r="1812">
      <c r="A1812" s="11"/>
      <c r="B1812" s="11"/>
      <c r="C1812" s="11"/>
      <c r="D1812" s="11"/>
      <c r="E1812" s="11"/>
      <c r="F1812" s="11"/>
      <c r="G1812" s="11"/>
      <c r="H1812" s="11"/>
      <c r="I1812" s="12"/>
      <c r="J1812" s="12"/>
      <c r="K1812" s="11"/>
      <c r="L1812" s="16"/>
      <c r="M1812" s="16"/>
      <c r="N1812" s="16"/>
      <c r="O1812" s="11"/>
      <c r="P1812" s="11"/>
      <c r="Q1812" s="13"/>
    </row>
    <row r="1813">
      <c r="A1813" s="11"/>
      <c r="B1813" s="11"/>
      <c r="C1813" s="11"/>
      <c r="D1813" s="11"/>
      <c r="E1813" s="11"/>
      <c r="F1813" s="11"/>
      <c r="G1813" s="11"/>
      <c r="H1813" s="11"/>
      <c r="I1813" s="12"/>
      <c r="J1813" s="12"/>
      <c r="K1813" s="11"/>
      <c r="L1813" s="16"/>
      <c r="M1813" s="16"/>
      <c r="N1813" s="16"/>
      <c r="O1813" s="11"/>
      <c r="P1813" s="11"/>
      <c r="Q1813" s="13"/>
    </row>
    <row r="1814">
      <c r="A1814" s="11"/>
      <c r="B1814" s="11"/>
      <c r="C1814" s="11"/>
      <c r="D1814" s="11"/>
      <c r="E1814" s="11"/>
      <c r="F1814" s="11"/>
      <c r="G1814" s="11"/>
      <c r="H1814" s="11"/>
      <c r="I1814" s="12"/>
      <c r="J1814" s="12"/>
      <c r="K1814" s="11"/>
      <c r="L1814" s="16"/>
      <c r="M1814" s="16"/>
      <c r="N1814" s="16"/>
      <c r="O1814" s="11"/>
      <c r="P1814" s="11"/>
      <c r="Q1814" s="13"/>
    </row>
    <row r="1815">
      <c r="A1815" s="11"/>
      <c r="B1815" s="11"/>
      <c r="C1815" s="11"/>
      <c r="D1815" s="11"/>
      <c r="E1815" s="11"/>
      <c r="F1815" s="11"/>
      <c r="G1815" s="11"/>
      <c r="H1815" s="11"/>
      <c r="I1815" s="12"/>
      <c r="J1815" s="12"/>
      <c r="K1815" s="11"/>
      <c r="L1815" s="16"/>
      <c r="M1815" s="16"/>
      <c r="N1815" s="16"/>
      <c r="O1815" s="11"/>
      <c r="P1815" s="11"/>
      <c r="Q1815" s="13"/>
    </row>
    <row r="1816">
      <c r="A1816" s="11"/>
      <c r="B1816" s="11"/>
      <c r="C1816" s="11"/>
      <c r="D1816" s="11"/>
      <c r="E1816" s="11"/>
      <c r="F1816" s="11"/>
      <c r="G1816" s="11"/>
      <c r="H1816" s="11"/>
      <c r="I1816" s="12"/>
      <c r="J1816" s="12"/>
      <c r="K1816" s="11"/>
      <c r="L1816" s="16"/>
      <c r="M1816" s="16"/>
      <c r="N1816" s="16"/>
      <c r="O1816" s="11"/>
      <c r="P1816" s="11"/>
      <c r="Q1816" s="13"/>
    </row>
    <row r="1817">
      <c r="A1817" s="11"/>
      <c r="B1817" s="11"/>
      <c r="C1817" s="11"/>
      <c r="D1817" s="11"/>
      <c r="E1817" s="11"/>
      <c r="F1817" s="11"/>
      <c r="G1817" s="11"/>
      <c r="H1817" s="11"/>
      <c r="I1817" s="12"/>
      <c r="J1817" s="12"/>
      <c r="K1817" s="11"/>
      <c r="L1817" s="16"/>
      <c r="M1817" s="16"/>
      <c r="N1817" s="16"/>
      <c r="O1817" s="11"/>
      <c r="P1817" s="11"/>
      <c r="Q1817" s="13"/>
    </row>
    <row r="1818">
      <c r="A1818" s="11"/>
      <c r="B1818" s="11"/>
      <c r="C1818" s="11"/>
      <c r="D1818" s="11"/>
      <c r="E1818" s="11"/>
      <c r="F1818" s="11"/>
      <c r="G1818" s="11"/>
      <c r="H1818" s="11"/>
      <c r="I1818" s="12"/>
      <c r="J1818" s="12"/>
      <c r="K1818" s="11"/>
      <c r="L1818" s="16"/>
      <c r="M1818" s="16"/>
      <c r="N1818" s="16"/>
      <c r="O1818" s="11"/>
      <c r="P1818" s="11"/>
      <c r="Q1818" s="13"/>
    </row>
    <row r="1819">
      <c r="A1819" s="11"/>
      <c r="B1819" s="11"/>
      <c r="C1819" s="11"/>
      <c r="D1819" s="11"/>
      <c r="E1819" s="11"/>
      <c r="F1819" s="11"/>
      <c r="G1819" s="11"/>
      <c r="H1819" s="11"/>
      <c r="I1819" s="12"/>
      <c r="J1819" s="12"/>
      <c r="K1819" s="11"/>
      <c r="L1819" s="16"/>
      <c r="M1819" s="16"/>
      <c r="N1819" s="16"/>
      <c r="O1819" s="11"/>
      <c r="P1819" s="11"/>
      <c r="Q1819" s="13"/>
    </row>
    <row r="1820">
      <c r="A1820" s="11"/>
      <c r="B1820" s="11"/>
      <c r="C1820" s="11"/>
      <c r="D1820" s="11"/>
      <c r="E1820" s="11"/>
      <c r="F1820" s="11"/>
      <c r="G1820" s="11"/>
      <c r="H1820" s="11"/>
      <c r="I1820" s="12"/>
      <c r="J1820" s="12"/>
      <c r="K1820" s="11"/>
      <c r="L1820" s="16"/>
      <c r="M1820" s="16"/>
      <c r="N1820" s="16"/>
      <c r="O1820" s="11"/>
      <c r="P1820" s="11"/>
      <c r="Q1820" s="13"/>
    </row>
    <row r="1821">
      <c r="A1821" s="11"/>
      <c r="B1821" s="11"/>
      <c r="C1821" s="11"/>
      <c r="D1821" s="11"/>
      <c r="E1821" s="11"/>
      <c r="F1821" s="11"/>
      <c r="G1821" s="11"/>
      <c r="H1821" s="11"/>
      <c r="I1821" s="12"/>
      <c r="J1821" s="12"/>
      <c r="K1821" s="11"/>
      <c r="L1821" s="16"/>
      <c r="M1821" s="16"/>
      <c r="N1821" s="16"/>
      <c r="O1821" s="11"/>
      <c r="P1821" s="11"/>
      <c r="Q1821" s="13"/>
    </row>
    <row r="1822">
      <c r="A1822" s="11"/>
      <c r="B1822" s="11"/>
      <c r="C1822" s="11"/>
      <c r="D1822" s="11"/>
      <c r="E1822" s="11"/>
      <c r="F1822" s="11"/>
      <c r="G1822" s="11"/>
      <c r="H1822" s="11"/>
      <c r="I1822" s="12"/>
      <c r="J1822" s="12"/>
      <c r="K1822" s="11"/>
      <c r="L1822" s="16"/>
      <c r="M1822" s="16"/>
      <c r="N1822" s="16"/>
      <c r="O1822" s="11"/>
      <c r="P1822" s="11"/>
      <c r="Q1822" s="13"/>
    </row>
    <row r="1823">
      <c r="A1823" s="11"/>
      <c r="B1823" s="11"/>
      <c r="C1823" s="11"/>
      <c r="D1823" s="11"/>
      <c r="E1823" s="11"/>
      <c r="F1823" s="11"/>
      <c r="G1823" s="11"/>
      <c r="H1823" s="11"/>
      <c r="I1823" s="12"/>
      <c r="J1823" s="12"/>
      <c r="K1823" s="11"/>
      <c r="L1823" s="16"/>
      <c r="M1823" s="16"/>
      <c r="N1823" s="16"/>
      <c r="O1823" s="11"/>
      <c r="P1823" s="11"/>
      <c r="Q1823" s="13"/>
    </row>
    <row r="1824">
      <c r="A1824" s="11"/>
      <c r="B1824" s="11"/>
      <c r="C1824" s="11"/>
      <c r="D1824" s="11"/>
      <c r="E1824" s="11"/>
      <c r="F1824" s="11"/>
      <c r="G1824" s="11"/>
      <c r="H1824" s="11"/>
      <c r="I1824" s="12"/>
      <c r="J1824" s="12"/>
      <c r="K1824" s="11"/>
      <c r="L1824" s="16"/>
      <c r="M1824" s="16"/>
      <c r="N1824" s="16"/>
      <c r="O1824" s="11"/>
      <c r="P1824" s="11"/>
      <c r="Q1824" s="13"/>
    </row>
    <row r="1825">
      <c r="A1825" s="11"/>
      <c r="B1825" s="11"/>
      <c r="C1825" s="11"/>
      <c r="D1825" s="11"/>
      <c r="E1825" s="11"/>
      <c r="F1825" s="11"/>
      <c r="G1825" s="11"/>
      <c r="H1825" s="11"/>
      <c r="I1825" s="12"/>
      <c r="J1825" s="12"/>
      <c r="K1825" s="11"/>
      <c r="L1825" s="16"/>
      <c r="M1825" s="16"/>
      <c r="N1825" s="16"/>
      <c r="O1825" s="11"/>
      <c r="P1825" s="11"/>
      <c r="Q1825" s="13"/>
    </row>
    <row r="1826">
      <c r="A1826" s="11"/>
      <c r="B1826" s="11"/>
      <c r="C1826" s="11"/>
      <c r="D1826" s="11"/>
      <c r="E1826" s="11"/>
      <c r="F1826" s="11"/>
      <c r="G1826" s="11"/>
      <c r="H1826" s="11"/>
      <c r="I1826" s="12"/>
      <c r="J1826" s="12"/>
      <c r="K1826" s="11"/>
      <c r="L1826" s="16"/>
      <c r="M1826" s="16"/>
      <c r="N1826" s="16"/>
      <c r="O1826" s="11"/>
      <c r="P1826" s="11"/>
      <c r="Q1826" s="13"/>
    </row>
    <row r="1827">
      <c r="A1827" s="11"/>
      <c r="B1827" s="11"/>
      <c r="C1827" s="11"/>
      <c r="D1827" s="11"/>
      <c r="E1827" s="11"/>
      <c r="F1827" s="11"/>
      <c r="G1827" s="11"/>
      <c r="H1827" s="11"/>
      <c r="I1827" s="12"/>
      <c r="J1827" s="12"/>
      <c r="K1827" s="11"/>
      <c r="L1827" s="16"/>
      <c r="M1827" s="16"/>
      <c r="N1827" s="16"/>
      <c r="O1827" s="11"/>
      <c r="P1827" s="11"/>
      <c r="Q1827" s="13"/>
    </row>
    <row r="1828">
      <c r="A1828" s="11"/>
      <c r="B1828" s="11"/>
      <c r="C1828" s="11"/>
      <c r="D1828" s="11"/>
      <c r="E1828" s="11"/>
      <c r="F1828" s="11"/>
      <c r="G1828" s="11"/>
      <c r="H1828" s="11"/>
      <c r="I1828" s="12"/>
      <c r="J1828" s="12"/>
      <c r="K1828" s="11"/>
      <c r="L1828" s="16"/>
      <c r="M1828" s="16"/>
      <c r="N1828" s="16"/>
      <c r="O1828" s="11"/>
      <c r="P1828" s="11"/>
      <c r="Q1828" s="13"/>
    </row>
    <row r="1829">
      <c r="A1829" s="11"/>
      <c r="B1829" s="11"/>
      <c r="C1829" s="11"/>
      <c r="D1829" s="11"/>
      <c r="E1829" s="11"/>
      <c r="F1829" s="11"/>
      <c r="G1829" s="11"/>
      <c r="H1829" s="11"/>
      <c r="I1829" s="12"/>
      <c r="J1829" s="12"/>
      <c r="K1829" s="11"/>
      <c r="L1829" s="16"/>
      <c r="M1829" s="16"/>
      <c r="N1829" s="16"/>
      <c r="O1829" s="11"/>
      <c r="P1829" s="11"/>
      <c r="Q1829" s="13"/>
    </row>
    <row r="1830">
      <c r="A1830" s="11"/>
      <c r="B1830" s="11"/>
      <c r="C1830" s="11"/>
      <c r="D1830" s="11"/>
      <c r="E1830" s="11"/>
      <c r="F1830" s="11"/>
      <c r="G1830" s="11"/>
      <c r="H1830" s="11"/>
      <c r="I1830" s="12"/>
      <c r="J1830" s="12"/>
      <c r="K1830" s="11"/>
      <c r="L1830" s="16"/>
      <c r="M1830" s="16"/>
      <c r="N1830" s="16"/>
      <c r="O1830" s="11"/>
      <c r="P1830" s="11"/>
      <c r="Q1830" s="13"/>
    </row>
    <row r="1831">
      <c r="A1831" s="11"/>
      <c r="B1831" s="11"/>
      <c r="C1831" s="11"/>
      <c r="D1831" s="11"/>
      <c r="E1831" s="11"/>
      <c r="F1831" s="11"/>
      <c r="G1831" s="11"/>
      <c r="H1831" s="11"/>
      <c r="I1831" s="12"/>
      <c r="J1831" s="12"/>
      <c r="K1831" s="11"/>
      <c r="L1831" s="16"/>
      <c r="M1831" s="16"/>
      <c r="N1831" s="16"/>
      <c r="O1831" s="11"/>
      <c r="P1831" s="11"/>
      <c r="Q1831" s="13"/>
    </row>
    <row r="1832">
      <c r="A1832" s="11"/>
      <c r="B1832" s="11"/>
      <c r="C1832" s="11"/>
      <c r="D1832" s="11"/>
      <c r="E1832" s="11"/>
      <c r="F1832" s="11"/>
      <c r="G1832" s="11"/>
      <c r="H1832" s="11"/>
      <c r="I1832" s="12"/>
      <c r="J1832" s="12"/>
      <c r="K1832" s="11"/>
      <c r="L1832" s="16"/>
      <c r="M1832" s="16"/>
      <c r="N1832" s="16"/>
      <c r="O1832" s="11"/>
      <c r="P1832" s="11"/>
      <c r="Q1832" s="13"/>
    </row>
    <row r="1833">
      <c r="A1833" s="11"/>
      <c r="B1833" s="11"/>
      <c r="C1833" s="11"/>
      <c r="D1833" s="11"/>
      <c r="E1833" s="11"/>
      <c r="F1833" s="11"/>
      <c r="G1833" s="11"/>
      <c r="H1833" s="11"/>
      <c r="I1833" s="12"/>
      <c r="J1833" s="12"/>
      <c r="K1833" s="11"/>
      <c r="L1833" s="16"/>
      <c r="M1833" s="16"/>
      <c r="N1833" s="16"/>
      <c r="O1833" s="11"/>
      <c r="P1833" s="11"/>
      <c r="Q1833" s="13"/>
    </row>
    <row r="1834">
      <c r="A1834" s="11"/>
      <c r="B1834" s="11"/>
      <c r="C1834" s="11"/>
      <c r="D1834" s="11"/>
      <c r="E1834" s="11"/>
      <c r="F1834" s="11"/>
      <c r="G1834" s="11"/>
      <c r="H1834" s="11"/>
      <c r="I1834" s="12"/>
      <c r="J1834" s="12"/>
      <c r="K1834" s="11"/>
      <c r="L1834" s="16"/>
      <c r="M1834" s="16"/>
      <c r="N1834" s="16"/>
      <c r="O1834" s="11"/>
      <c r="P1834" s="11"/>
      <c r="Q1834" s="13"/>
    </row>
    <row r="1835">
      <c r="A1835" s="11"/>
      <c r="B1835" s="11"/>
      <c r="C1835" s="11"/>
      <c r="D1835" s="11"/>
      <c r="E1835" s="11"/>
      <c r="F1835" s="11"/>
      <c r="G1835" s="11"/>
      <c r="H1835" s="11"/>
      <c r="I1835" s="12"/>
      <c r="J1835" s="12"/>
      <c r="K1835" s="11"/>
      <c r="L1835" s="16"/>
      <c r="M1835" s="16"/>
      <c r="N1835" s="16"/>
      <c r="O1835" s="11"/>
      <c r="P1835" s="11"/>
      <c r="Q1835" s="13"/>
    </row>
    <row r="1836">
      <c r="A1836" s="11"/>
      <c r="B1836" s="11"/>
      <c r="C1836" s="11"/>
      <c r="D1836" s="11"/>
      <c r="E1836" s="11"/>
      <c r="F1836" s="11"/>
      <c r="G1836" s="11"/>
      <c r="H1836" s="11"/>
      <c r="I1836" s="12"/>
      <c r="J1836" s="12"/>
      <c r="K1836" s="11"/>
      <c r="L1836" s="16"/>
      <c r="M1836" s="16"/>
      <c r="N1836" s="16"/>
      <c r="O1836" s="11"/>
      <c r="P1836" s="11"/>
      <c r="Q1836" s="13"/>
    </row>
    <row r="1837">
      <c r="A1837" s="11"/>
      <c r="B1837" s="11"/>
      <c r="C1837" s="11"/>
      <c r="D1837" s="11"/>
      <c r="E1837" s="11"/>
      <c r="F1837" s="11"/>
      <c r="G1837" s="11"/>
      <c r="H1837" s="11"/>
      <c r="I1837" s="12"/>
      <c r="J1837" s="12"/>
      <c r="K1837" s="11"/>
      <c r="L1837" s="16"/>
      <c r="M1837" s="16"/>
      <c r="N1837" s="16"/>
      <c r="O1837" s="11"/>
      <c r="P1837" s="11"/>
      <c r="Q1837" s="13"/>
    </row>
    <row r="1838">
      <c r="A1838" s="11"/>
      <c r="B1838" s="11"/>
      <c r="C1838" s="11"/>
      <c r="D1838" s="11"/>
      <c r="E1838" s="11"/>
      <c r="F1838" s="11"/>
      <c r="G1838" s="11"/>
      <c r="H1838" s="11"/>
      <c r="I1838" s="12"/>
      <c r="J1838" s="12"/>
      <c r="K1838" s="11"/>
      <c r="L1838" s="16"/>
      <c r="M1838" s="16"/>
      <c r="N1838" s="16"/>
      <c r="O1838" s="11"/>
      <c r="P1838" s="11"/>
      <c r="Q1838" s="13"/>
    </row>
    <row r="1839">
      <c r="A1839" s="11"/>
      <c r="B1839" s="11"/>
      <c r="C1839" s="11"/>
      <c r="D1839" s="11"/>
      <c r="E1839" s="11"/>
      <c r="F1839" s="11"/>
      <c r="G1839" s="11"/>
      <c r="H1839" s="11"/>
      <c r="I1839" s="12"/>
      <c r="J1839" s="12"/>
      <c r="K1839" s="11"/>
      <c r="L1839" s="16"/>
      <c r="M1839" s="16"/>
      <c r="N1839" s="16"/>
      <c r="O1839" s="11"/>
      <c r="P1839" s="11"/>
      <c r="Q1839" s="13"/>
    </row>
    <row r="1840">
      <c r="A1840" s="11"/>
      <c r="B1840" s="11"/>
      <c r="C1840" s="11"/>
      <c r="D1840" s="11"/>
      <c r="E1840" s="11"/>
      <c r="F1840" s="11"/>
      <c r="G1840" s="11"/>
      <c r="H1840" s="11"/>
      <c r="I1840" s="12"/>
      <c r="J1840" s="12"/>
      <c r="K1840" s="11"/>
      <c r="L1840" s="16"/>
      <c r="M1840" s="16"/>
      <c r="N1840" s="16"/>
      <c r="O1840" s="11"/>
      <c r="P1840" s="11"/>
      <c r="Q1840" s="13"/>
    </row>
    <row r="1841">
      <c r="A1841" s="11"/>
      <c r="B1841" s="11"/>
      <c r="C1841" s="11"/>
      <c r="D1841" s="11"/>
      <c r="E1841" s="11"/>
      <c r="F1841" s="11"/>
      <c r="G1841" s="11"/>
      <c r="H1841" s="11"/>
      <c r="I1841" s="12"/>
      <c r="J1841" s="12"/>
      <c r="K1841" s="11"/>
      <c r="L1841" s="16"/>
      <c r="M1841" s="16"/>
      <c r="N1841" s="16"/>
      <c r="O1841" s="11"/>
      <c r="P1841" s="11"/>
      <c r="Q1841" s="13"/>
    </row>
    <row r="1842">
      <c r="A1842" s="11"/>
      <c r="B1842" s="11"/>
      <c r="C1842" s="11"/>
      <c r="D1842" s="11"/>
      <c r="E1842" s="11"/>
      <c r="F1842" s="11"/>
      <c r="G1842" s="11"/>
      <c r="H1842" s="11"/>
      <c r="I1842" s="12"/>
      <c r="J1842" s="12"/>
      <c r="K1842" s="11"/>
      <c r="L1842" s="16"/>
      <c r="M1842" s="16"/>
      <c r="N1842" s="16"/>
      <c r="O1842" s="11"/>
      <c r="P1842" s="11"/>
      <c r="Q1842" s="13"/>
    </row>
    <row r="1843">
      <c r="A1843" s="11"/>
      <c r="B1843" s="11"/>
      <c r="C1843" s="11"/>
      <c r="D1843" s="11"/>
      <c r="E1843" s="11"/>
      <c r="F1843" s="11"/>
      <c r="G1843" s="11"/>
      <c r="H1843" s="11"/>
      <c r="I1843" s="12"/>
      <c r="J1843" s="12"/>
      <c r="K1843" s="11"/>
      <c r="L1843" s="16"/>
      <c r="M1843" s="16"/>
      <c r="N1843" s="16"/>
      <c r="O1843" s="11"/>
      <c r="P1843" s="11"/>
      <c r="Q1843" s="13"/>
    </row>
    <row r="1844">
      <c r="A1844" s="11"/>
      <c r="B1844" s="11"/>
      <c r="C1844" s="11"/>
      <c r="D1844" s="11"/>
      <c r="E1844" s="11"/>
      <c r="F1844" s="11"/>
      <c r="G1844" s="11"/>
      <c r="H1844" s="11"/>
      <c r="I1844" s="12"/>
      <c r="J1844" s="12"/>
      <c r="K1844" s="11"/>
      <c r="L1844" s="16"/>
      <c r="M1844" s="16"/>
      <c r="N1844" s="16"/>
      <c r="O1844" s="11"/>
      <c r="P1844" s="11"/>
      <c r="Q1844" s="13"/>
    </row>
    <row r="1845">
      <c r="A1845" s="11"/>
      <c r="B1845" s="11"/>
      <c r="C1845" s="11"/>
      <c r="D1845" s="11"/>
      <c r="E1845" s="11"/>
      <c r="F1845" s="11"/>
      <c r="G1845" s="11"/>
      <c r="H1845" s="11"/>
      <c r="I1845" s="12"/>
      <c r="J1845" s="12"/>
      <c r="K1845" s="11"/>
      <c r="L1845" s="16"/>
      <c r="M1845" s="16"/>
      <c r="N1845" s="16"/>
      <c r="O1845" s="11"/>
      <c r="P1845" s="11"/>
      <c r="Q1845" s="13"/>
    </row>
    <row r="1846">
      <c r="A1846" s="11"/>
      <c r="B1846" s="11"/>
      <c r="C1846" s="11"/>
      <c r="D1846" s="11"/>
      <c r="E1846" s="11"/>
      <c r="F1846" s="11"/>
      <c r="G1846" s="11"/>
      <c r="H1846" s="11"/>
      <c r="I1846" s="12"/>
      <c r="J1846" s="12"/>
      <c r="K1846" s="11"/>
      <c r="L1846" s="16"/>
      <c r="M1846" s="16"/>
      <c r="N1846" s="16"/>
      <c r="O1846" s="11"/>
      <c r="P1846" s="11"/>
      <c r="Q1846" s="13"/>
    </row>
    <row r="1847">
      <c r="A1847" s="11"/>
      <c r="B1847" s="11"/>
      <c r="C1847" s="11"/>
      <c r="D1847" s="11"/>
      <c r="E1847" s="11"/>
      <c r="F1847" s="11"/>
      <c r="G1847" s="11"/>
      <c r="H1847" s="11"/>
      <c r="I1847" s="12"/>
      <c r="J1847" s="12"/>
      <c r="K1847" s="11"/>
      <c r="L1847" s="16"/>
      <c r="M1847" s="16"/>
      <c r="N1847" s="16"/>
      <c r="O1847" s="11"/>
      <c r="P1847" s="11"/>
      <c r="Q1847" s="13"/>
    </row>
    <row r="1848">
      <c r="A1848" s="11"/>
      <c r="B1848" s="11"/>
      <c r="C1848" s="11"/>
      <c r="D1848" s="11"/>
      <c r="E1848" s="11"/>
      <c r="F1848" s="11"/>
      <c r="G1848" s="11"/>
      <c r="H1848" s="11"/>
      <c r="I1848" s="12"/>
      <c r="J1848" s="12"/>
      <c r="K1848" s="11"/>
      <c r="L1848" s="16"/>
      <c r="M1848" s="16"/>
      <c r="N1848" s="16"/>
      <c r="O1848" s="11"/>
      <c r="P1848" s="11"/>
      <c r="Q1848" s="13"/>
    </row>
    <row r="1849">
      <c r="A1849" s="11"/>
      <c r="B1849" s="11"/>
      <c r="C1849" s="11"/>
      <c r="D1849" s="11"/>
      <c r="E1849" s="11"/>
      <c r="F1849" s="11"/>
      <c r="G1849" s="11"/>
      <c r="H1849" s="11"/>
      <c r="I1849" s="12"/>
      <c r="J1849" s="12"/>
      <c r="K1849" s="11"/>
      <c r="L1849" s="16"/>
      <c r="M1849" s="16"/>
      <c r="N1849" s="16"/>
      <c r="O1849" s="11"/>
      <c r="P1849" s="11"/>
      <c r="Q1849" s="13"/>
    </row>
    <row r="1850">
      <c r="A1850" s="11"/>
      <c r="B1850" s="11"/>
      <c r="C1850" s="11"/>
      <c r="D1850" s="11"/>
      <c r="E1850" s="11"/>
      <c r="F1850" s="11"/>
      <c r="G1850" s="11"/>
      <c r="H1850" s="11"/>
      <c r="I1850" s="12"/>
      <c r="J1850" s="12"/>
      <c r="K1850" s="11"/>
      <c r="L1850" s="16"/>
      <c r="M1850" s="16"/>
      <c r="N1850" s="16"/>
      <c r="O1850" s="11"/>
      <c r="P1850" s="11"/>
      <c r="Q1850" s="13"/>
    </row>
    <row r="1851">
      <c r="A1851" s="11"/>
      <c r="B1851" s="11"/>
      <c r="C1851" s="11"/>
      <c r="D1851" s="11"/>
      <c r="E1851" s="11"/>
      <c r="F1851" s="11"/>
      <c r="G1851" s="11"/>
      <c r="H1851" s="11"/>
      <c r="I1851" s="12"/>
      <c r="J1851" s="12"/>
      <c r="K1851" s="11"/>
      <c r="L1851" s="16"/>
      <c r="M1851" s="16"/>
      <c r="N1851" s="16"/>
      <c r="O1851" s="11"/>
      <c r="P1851" s="11"/>
      <c r="Q1851" s="13"/>
    </row>
    <row r="1852">
      <c r="A1852" s="11"/>
      <c r="B1852" s="11"/>
      <c r="C1852" s="11"/>
      <c r="D1852" s="11"/>
      <c r="E1852" s="11"/>
      <c r="F1852" s="11"/>
      <c r="G1852" s="11"/>
      <c r="H1852" s="11"/>
      <c r="I1852" s="12"/>
      <c r="J1852" s="12"/>
      <c r="K1852" s="11"/>
      <c r="L1852" s="16"/>
      <c r="M1852" s="16"/>
      <c r="N1852" s="16"/>
      <c r="O1852" s="11"/>
      <c r="P1852" s="11"/>
      <c r="Q1852" s="13"/>
    </row>
    <row r="1853">
      <c r="A1853" s="11"/>
      <c r="B1853" s="11"/>
      <c r="C1853" s="11"/>
      <c r="D1853" s="11"/>
      <c r="E1853" s="11"/>
      <c r="F1853" s="11"/>
      <c r="G1853" s="11"/>
      <c r="H1853" s="11"/>
      <c r="I1853" s="12"/>
      <c r="J1853" s="12"/>
      <c r="K1853" s="11"/>
      <c r="L1853" s="16"/>
      <c r="M1853" s="16"/>
      <c r="N1853" s="16"/>
      <c r="O1853" s="11"/>
      <c r="P1853" s="11"/>
      <c r="Q1853" s="13"/>
    </row>
    <row r="1854">
      <c r="A1854" s="11"/>
      <c r="B1854" s="11"/>
      <c r="C1854" s="11"/>
      <c r="D1854" s="11"/>
      <c r="E1854" s="11"/>
      <c r="F1854" s="11"/>
      <c r="G1854" s="11"/>
      <c r="H1854" s="11"/>
      <c r="I1854" s="12"/>
      <c r="J1854" s="12"/>
      <c r="K1854" s="11"/>
      <c r="L1854" s="16"/>
      <c r="M1854" s="16"/>
      <c r="N1854" s="16"/>
      <c r="O1854" s="11"/>
      <c r="P1854" s="11"/>
      <c r="Q1854" s="13"/>
    </row>
    <row r="1855">
      <c r="A1855" s="11"/>
      <c r="B1855" s="11"/>
      <c r="C1855" s="11"/>
      <c r="D1855" s="11"/>
      <c r="E1855" s="11"/>
      <c r="F1855" s="11"/>
      <c r="G1855" s="11"/>
      <c r="H1855" s="11"/>
      <c r="I1855" s="12"/>
      <c r="J1855" s="12"/>
      <c r="K1855" s="11"/>
      <c r="L1855" s="16"/>
      <c r="M1855" s="16"/>
      <c r="N1855" s="16"/>
      <c r="O1855" s="11"/>
      <c r="P1855" s="11"/>
      <c r="Q1855" s="13"/>
    </row>
    <row r="1856">
      <c r="A1856" s="11"/>
      <c r="B1856" s="11"/>
      <c r="C1856" s="11"/>
      <c r="D1856" s="11"/>
      <c r="E1856" s="11"/>
      <c r="F1856" s="11"/>
      <c r="G1856" s="11"/>
      <c r="H1856" s="11"/>
      <c r="I1856" s="12"/>
      <c r="J1856" s="12"/>
      <c r="K1856" s="11"/>
      <c r="L1856" s="16"/>
      <c r="M1856" s="16"/>
      <c r="N1856" s="16"/>
      <c r="O1856" s="11"/>
      <c r="P1856" s="11"/>
      <c r="Q1856" s="13"/>
    </row>
    <row r="1857">
      <c r="A1857" s="11"/>
      <c r="B1857" s="11"/>
      <c r="C1857" s="11"/>
      <c r="D1857" s="11"/>
      <c r="E1857" s="11"/>
      <c r="F1857" s="11"/>
      <c r="G1857" s="11"/>
      <c r="H1857" s="11"/>
      <c r="I1857" s="12"/>
      <c r="J1857" s="12"/>
      <c r="K1857" s="11"/>
      <c r="L1857" s="16"/>
      <c r="M1857" s="16"/>
      <c r="N1857" s="16"/>
      <c r="O1857" s="11"/>
      <c r="P1857" s="11"/>
      <c r="Q1857" s="13"/>
    </row>
    <row r="1858">
      <c r="A1858" s="11"/>
      <c r="B1858" s="11"/>
      <c r="C1858" s="11"/>
      <c r="D1858" s="11"/>
      <c r="E1858" s="11"/>
      <c r="F1858" s="11"/>
      <c r="G1858" s="11"/>
      <c r="H1858" s="11"/>
      <c r="I1858" s="12"/>
      <c r="J1858" s="12"/>
      <c r="K1858" s="11"/>
      <c r="L1858" s="16"/>
      <c r="M1858" s="16"/>
      <c r="N1858" s="16"/>
      <c r="O1858" s="11"/>
      <c r="P1858" s="11"/>
      <c r="Q1858" s="13"/>
    </row>
    <row r="1859">
      <c r="A1859" s="11"/>
      <c r="B1859" s="11"/>
      <c r="C1859" s="11"/>
      <c r="D1859" s="11"/>
      <c r="E1859" s="11"/>
      <c r="F1859" s="11"/>
      <c r="G1859" s="11"/>
      <c r="H1859" s="11"/>
      <c r="I1859" s="12"/>
      <c r="J1859" s="12"/>
      <c r="K1859" s="11"/>
      <c r="L1859" s="16"/>
      <c r="M1859" s="16"/>
      <c r="N1859" s="16"/>
      <c r="O1859" s="11"/>
      <c r="P1859" s="11"/>
      <c r="Q1859" s="13"/>
    </row>
    <row r="1860">
      <c r="A1860" s="11"/>
      <c r="B1860" s="11"/>
      <c r="C1860" s="11"/>
      <c r="D1860" s="11"/>
      <c r="E1860" s="11"/>
      <c r="F1860" s="11"/>
      <c r="G1860" s="11"/>
      <c r="H1860" s="11"/>
      <c r="I1860" s="12"/>
      <c r="J1860" s="12"/>
      <c r="K1860" s="11"/>
      <c r="L1860" s="16"/>
      <c r="M1860" s="16"/>
      <c r="N1860" s="16"/>
      <c r="O1860" s="11"/>
      <c r="P1860" s="11"/>
      <c r="Q1860" s="13"/>
    </row>
    <row r="1861">
      <c r="A1861" s="11"/>
      <c r="B1861" s="11"/>
      <c r="C1861" s="11"/>
      <c r="D1861" s="11"/>
      <c r="E1861" s="11"/>
      <c r="F1861" s="11"/>
      <c r="G1861" s="11"/>
      <c r="H1861" s="11"/>
      <c r="I1861" s="12"/>
      <c r="J1861" s="12"/>
      <c r="K1861" s="11"/>
      <c r="L1861" s="16"/>
      <c r="M1861" s="16"/>
      <c r="N1861" s="16"/>
      <c r="O1861" s="11"/>
      <c r="P1861" s="11"/>
      <c r="Q1861" s="13"/>
    </row>
    <row r="1862">
      <c r="A1862" s="11"/>
      <c r="B1862" s="11"/>
      <c r="C1862" s="11"/>
      <c r="D1862" s="11"/>
      <c r="E1862" s="11"/>
      <c r="F1862" s="11"/>
      <c r="G1862" s="11"/>
      <c r="H1862" s="11"/>
      <c r="I1862" s="12"/>
      <c r="J1862" s="12"/>
      <c r="K1862" s="11"/>
      <c r="L1862" s="16"/>
      <c r="M1862" s="16"/>
      <c r="N1862" s="16"/>
      <c r="O1862" s="11"/>
      <c r="P1862" s="11"/>
      <c r="Q1862" s="13"/>
    </row>
    <row r="1863">
      <c r="A1863" s="11"/>
      <c r="B1863" s="11"/>
      <c r="C1863" s="11"/>
      <c r="D1863" s="11"/>
      <c r="E1863" s="11"/>
      <c r="F1863" s="11"/>
      <c r="G1863" s="11"/>
      <c r="H1863" s="11"/>
      <c r="I1863" s="12"/>
      <c r="J1863" s="12"/>
      <c r="K1863" s="11"/>
      <c r="L1863" s="16"/>
      <c r="M1863" s="16"/>
      <c r="N1863" s="16"/>
      <c r="O1863" s="11"/>
      <c r="P1863" s="11"/>
      <c r="Q1863" s="13"/>
    </row>
    <row r="1864">
      <c r="A1864" s="11"/>
      <c r="B1864" s="11"/>
      <c r="C1864" s="11"/>
      <c r="D1864" s="11"/>
      <c r="E1864" s="11"/>
      <c r="F1864" s="11"/>
      <c r="G1864" s="11"/>
      <c r="H1864" s="11"/>
      <c r="I1864" s="12"/>
      <c r="J1864" s="12"/>
      <c r="K1864" s="11"/>
      <c r="L1864" s="16"/>
      <c r="M1864" s="16"/>
      <c r="N1864" s="16"/>
      <c r="O1864" s="11"/>
      <c r="P1864" s="11"/>
      <c r="Q1864" s="13"/>
    </row>
    <row r="1865">
      <c r="A1865" s="11"/>
      <c r="B1865" s="11"/>
      <c r="C1865" s="11"/>
      <c r="D1865" s="11"/>
      <c r="E1865" s="11"/>
      <c r="F1865" s="11"/>
      <c r="G1865" s="11"/>
      <c r="H1865" s="11"/>
      <c r="I1865" s="12"/>
      <c r="J1865" s="12"/>
      <c r="K1865" s="11"/>
      <c r="L1865" s="16"/>
      <c r="M1865" s="16"/>
      <c r="N1865" s="16"/>
      <c r="O1865" s="11"/>
      <c r="P1865" s="11"/>
      <c r="Q1865" s="13"/>
    </row>
    <row r="1866">
      <c r="A1866" s="11"/>
      <c r="B1866" s="11"/>
      <c r="C1866" s="11"/>
      <c r="D1866" s="11"/>
      <c r="E1866" s="11"/>
      <c r="F1866" s="11"/>
      <c r="G1866" s="11"/>
      <c r="H1866" s="11"/>
      <c r="I1866" s="12"/>
      <c r="J1866" s="12"/>
      <c r="K1866" s="11"/>
      <c r="L1866" s="16"/>
      <c r="M1866" s="16"/>
      <c r="N1866" s="16"/>
      <c r="O1866" s="11"/>
      <c r="P1866" s="11"/>
      <c r="Q1866" s="13"/>
    </row>
    <row r="1867">
      <c r="A1867" s="11"/>
      <c r="B1867" s="11"/>
      <c r="C1867" s="11"/>
      <c r="D1867" s="11"/>
      <c r="E1867" s="11"/>
      <c r="F1867" s="11"/>
      <c r="G1867" s="11"/>
      <c r="H1867" s="11"/>
      <c r="I1867" s="12"/>
      <c r="J1867" s="12"/>
      <c r="K1867" s="11"/>
      <c r="L1867" s="16"/>
      <c r="M1867" s="16"/>
      <c r="N1867" s="16"/>
      <c r="O1867" s="11"/>
      <c r="P1867" s="11"/>
      <c r="Q1867" s="13"/>
    </row>
    <row r="1868">
      <c r="A1868" s="11"/>
      <c r="B1868" s="11"/>
      <c r="C1868" s="11"/>
      <c r="D1868" s="11"/>
      <c r="E1868" s="11"/>
      <c r="F1868" s="11"/>
      <c r="G1868" s="11"/>
      <c r="H1868" s="11"/>
      <c r="I1868" s="12"/>
      <c r="J1868" s="12"/>
      <c r="K1868" s="11"/>
      <c r="L1868" s="16"/>
      <c r="M1868" s="16"/>
      <c r="N1868" s="16"/>
      <c r="O1868" s="11"/>
      <c r="P1868" s="11"/>
      <c r="Q1868" s="13"/>
    </row>
    <row r="1869">
      <c r="A1869" s="11"/>
      <c r="B1869" s="11"/>
      <c r="C1869" s="11"/>
      <c r="D1869" s="11"/>
      <c r="E1869" s="11"/>
      <c r="F1869" s="11"/>
      <c r="G1869" s="11"/>
      <c r="H1869" s="11"/>
      <c r="I1869" s="12"/>
      <c r="J1869" s="12"/>
      <c r="K1869" s="11"/>
      <c r="L1869" s="16"/>
      <c r="M1869" s="16"/>
      <c r="N1869" s="16"/>
      <c r="O1869" s="11"/>
      <c r="P1869" s="11"/>
      <c r="Q1869" s="13"/>
    </row>
    <row r="1870">
      <c r="A1870" s="11"/>
      <c r="B1870" s="11"/>
      <c r="C1870" s="11"/>
      <c r="D1870" s="11"/>
      <c r="E1870" s="11"/>
      <c r="F1870" s="11"/>
      <c r="G1870" s="11"/>
      <c r="H1870" s="11"/>
      <c r="I1870" s="12"/>
      <c r="J1870" s="12"/>
      <c r="K1870" s="11"/>
      <c r="L1870" s="16"/>
      <c r="M1870" s="16"/>
      <c r="N1870" s="16"/>
      <c r="O1870" s="11"/>
      <c r="P1870" s="11"/>
      <c r="Q1870" s="13"/>
    </row>
    <row r="1871">
      <c r="A1871" s="11"/>
      <c r="B1871" s="11"/>
      <c r="C1871" s="11"/>
      <c r="D1871" s="11"/>
      <c r="E1871" s="11"/>
      <c r="F1871" s="11"/>
      <c r="G1871" s="11"/>
      <c r="H1871" s="11"/>
      <c r="I1871" s="12"/>
      <c r="J1871" s="12"/>
      <c r="K1871" s="11"/>
      <c r="L1871" s="16"/>
      <c r="M1871" s="16"/>
      <c r="N1871" s="16"/>
      <c r="O1871" s="11"/>
      <c r="P1871" s="11"/>
      <c r="Q1871" s="13"/>
    </row>
    <row r="1872">
      <c r="A1872" s="11"/>
      <c r="B1872" s="11"/>
      <c r="C1872" s="11"/>
      <c r="D1872" s="11"/>
      <c r="E1872" s="11"/>
      <c r="F1872" s="11"/>
      <c r="G1872" s="11"/>
      <c r="H1872" s="11"/>
      <c r="I1872" s="12"/>
      <c r="J1872" s="12"/>
      <c r="K1872" s="11"/>
      <c r="L1872" s="16"/>
      <c r="M1872" s="16"/>
      <c r="N1872" s="16"/>
      <c r="O1872" s="11"/>
      <c r="P1872" s="11"/>
      <c r="Q1872" s="13"/>
    </row>
    <row r="1873">
      <c r="A1873" s="11"/>
      <c r="B1873" s="11"/>
      <c r="C1873" s="11"/>
      <c r="D1873" s="11"/>
      <c r="E1873" s="11"/>
      <c r="F1873" s="11"/>
      <c r="G1873" s="11"/>
      <c r="H1873" s="11"/>
      <c r="I1873" s="12"/>
      <c r="J1873" s="12"/>
      <c r="K1873" s="11"/>
      <c r="L1873" s="16"/>
      <c r="M1873" s="16"/>
      <c r="N1873" s="16"/>
      <c r="O1873" s="11"/>
      <c r="P1873" s="11"/>
      <c r="Q1873" s="13"/>
    </row>
    <row r="1874">
      <c r="A1874" s="11"/>
      <c r="B1874" s="11"/>
      <c r="C1874" s="11"/>
      <c r="D1874" s="11"/>
      <c r="E1874" s="11"/>
      <c r="F1874" s="11"/>
      <c r="G1874" s="11"/>
      <c r="H1874" s="11"/>
      <c r="I1874" s="12"/>
      <c r="J1874" s="12"/>
      <c r="K1874" s="11"/>
      <c r="L1874" s="16"/>
      <c r="M1874" s="16"/>
      <c r="N1874" s="16"/>
      <c r="O1874" s="11"/>
      <c r="P1874" s="11"/>
      <c r="Q1874" s="13"/>
    </row>
    <row r="1875">
      <c r="A1875" s="11"/>
      <c r="B1875" s="11"/>
      <c r="C1875" s="11"/>
      <c r="D1875" s="11"/>
      <c r="E1875" s="11"/>
      <c r="F1875" s="11"/>
      <c r="G1875" s="11"/>
      <c r="H1875" s="11"/>
      <c r="I1875" s="12"/>
      <c r="J1875" s="12"/>
      <c r="K1875" s="11"/>
      <c r="L1875" s="16"/>
      <c r="M1875" s="16"/>
      <c r="N1875" s="16"/>
      <c r="O1875" s="11"/>
      <c r="P1875" s="11"/>
      <c r="Q1875" s="13"/>
    </row>
    <row r="1876">
      <c r="A1876" s="11"/>
      <c r="B1876" s="11"/>
      <c r="C1876" s="11"/>
      <c r="D1876" s="11"/>
      <c r="E1876" s="11"/>
      <c r="F1876" s="11"/>
      <c r="G1876" s="11"/>
      <c r="H1876" s="11"/>
      <c r="I1876" s="12"/>
      <c r="J1876" s="12"/>
      <c r="K1876" s="11"/>
      <c r="L1876" s="16"/>
      <c r="M1876" s="16"/>
      <c r="N1876" s="16"/>
      <c r="O1876" s="11"/>
      <c r="P1876" s="11"/>
      <c r="Q1876" s="13"/>
    </row>
    <row r="1877">
      <c r="A1877" s="11"/>
      <c r="B1877" s="11"/>
      <c r="C1877" s="11"/>
      <c r="D1877" s="11"/>
      <c r="E1877" s="11"/>
      <c r="F1877" s="11"/>
      <c r="G1877" s="11"/>
      <c r="H1877" s="11"/>
      <c r="I1877" s="12"/>
      <c r="J1877" s="12"/>
      <c r="K1877" s="11"/>
      <c r="L1877" s="16"/>
      <c r="M1877" s="16"/>
      <c r="N1877" s="16"/>
      <c r="O1877" s="11"/>
      <c r="P1877" s="11"/>
      <c r="Q1877" s="13"/>
    </row>
    <row r="1878">
      <c r="A1878" s="11"/>
      <c r="B1878" s="11"/>
      <c r="C1878" s="11"/>
      <c r="D1878" s="11"/>
      <c r="E1878" s="11"/>
      <c r="F1878" s="11"/>
      <c r="G1878" s="11"/>
      <c r="H1878" s="11"/>
      <c r="I1878" s="12"/>
      <c r="J1878" s="12"/>
      <c r="K1878" s="11"/>
      <c r="L1878" s="16"/>
      <c r="M1878" s="16"/>
      <c r="N1878" s="16"/>
      <c r="O1878" s="11"/>
      <c r="P1878" s="11"/>
      <c r="Q1878" s="13"/>
    </row>
    <row r="1879">
      <c r="A1879" s="11"/>
      <c r="B1879" s="11"/>
      <c r="C1879" s="11"/>
      <c r="D1879" s="11"/>
      <c r="E1879" s="11"/>
      <c r="F1879" s="11"/>
      <c r="G1879" s="11"/>
      <c r="H1879" s="11"/>
      <c r="I1879" s="12"/>
      <c r="J1879" s="12"/>
      <c r="K1879" s="11"/>
      <c r="L1879" s="16"/>
      <c r="M1879" s="16"/>
      <c r="N1879" s="16"/>
      <c r="O1879" s="11"/>
      <c r="P1879" s="11"/>
      <c r="Q1879" s="13"/>
    </row>
    <row r="1880">
      <c r="A1880" s="11"/>
      <c r="B1880" s="11"/>
      <c r="C1880" s="11"/>
      <c r="D1880" s="11"/>
      <c r="E1880" s="11"/>
      <c r="F1880" s="11"/>
      <c r="G1880" s="11"/>
      <c r="H1880" s="11"/>
      <c r="I1880" s="12"/>
      <c r="J1880" s="12"/>
      <c r="K1880" s="11"/>
      <c r="L1880" s="16"/>
      <c r="M1880" s="16"/>
      <c r="N1880" s="16"/>
      <c r="O1880" s="11"/>
      <c r="P1880" s="11"/>
      <c r="Q1880" s="13"/>
    </row>
    <row r="1881">
      <c r="A1881" s="11"/>
      <c r="B1881" s="11"/>
      <c r="C1881" s="11"/>
      <c r="D1881" s="11"/>
      <c r="E1881" s="11"/>
      <c r="F1881" s="11"/>
      <c r="G1881" s="11"/>
      <c r="H1881" s="11"/>
      <c r="I1881" s="12"/>
      <c r="J1881" s="12"/>
      <c r="K1881" s="11"/>
      <c r="L1881" s="16"/>
      <c r="M1881" s="16"/>
      <c r="N1881" s="16"/>
      <c r="O1881" s="11"/>
      <c r="P1881" s="11"/>
      <c r="Q1881" s="13"/>
    </row>
    <row r="1882">
      <c r="A1882" s="11"/>
      <c r="B1882" s="11"/>
      <c r="C1882" s="11"/>
      <c r="D1882" s="11"/>
      <c r="E1882" s="11"/>
      <c r="F1882" s="11"/>
      <c r="G1882" s="11"/>
      <c r="H1882" s="11"/>
      <c r="I1882" s="12"/>
      <c r="J1882" s="12"/>
      <c r="K1882" s="11"/>
      <c r="L1882" s="16"/>
      <c r="M1882" s="16"/>
      <c r="N1882" s="16"/>
      <c r="O1882" s="11"/>
      <c r="P1882" s="11"/>
      <c r="Q1882" s="13"/>
    </row>
    <row r="1883">
      <c r="A1883" s="11"/>
      <c r="B1883" s="11"/>
      <c r="C1883" s="11"/>
      <c r="D1883" s="11"/>
      <c r="E1883" s="11"/>
      <c r="F1883" s="11"/>
      <c r="G1883" s="11"/>
      <c r="H1883" s="11"/>
      <c r="I1883" s="12"/>
      <c r="J1883" s="12"/>
      <c r="K1883" s="11"/>
      <c r="L1883" s="16"/>
      <c r="M1883" s="16"/>
      <c r="N1883" s="16"/>
      <c r="O1883" s="11"/>
      <c r="P1883" s="11"/>
      <c r="Q1883" s="13"/>
    </row>
    <row r="1884">
      <c r="A1884" s="11"/>
      <c r="B1884" s="11"/>
      <c r="C1884" s="11"/>
      <c r="D1884" s="11"/>
      <c r="E1884" s="11"/>
      <c r="F1884" s="11"/>
      <c r="G1884" s="11"/>
      <c r="H1884" s="11"/>
      <c r="I1884" s="12"/>
      <c r="J1884" s="12"/>
      <c r="K1884" s="11"/>
      <c r="L1884" s="16"/>
      <c r="M1884" s="16"/>
      <c r="N1884" s="16"/>
      <c r="O1884" s="11"/>
      <c r="P1884" s="11"/>
      <c r="Q1884" s="13"/>
    </row>
    <row r="1885">
      <c r="A1885" s="11"/>
      <c r="B1885" s="11"/>
      <c r="C1885" s="11"/>
      <c r="D1885" s="11"/>
      <c r="E1885" s="11"/>
      <c r="F1885" s="11"/>
      <c r="G1885" s="11"/>
      <c r="H1885" s="11"/>
      <c r="I1885" s="12"/>
      <c r="J1885" s="12"/>
      <c r="K1885" s="11"/>
      <c r="L1885" s="16"/>
      <c r="M1885" s="16"/>
      <c r="N1885" s="16"/>
      <c r="O1885" s="11"/>
      <c r="P1885" s="11"/>
      <c r="Q1885" s="13"/>
    </row>
    <row r="1886">
      <c r="A1886" s="11"/>
      <c r="B1886" s="11"/>
      <c r="C1886" s="11"/>
      <c r="D1886" s="11"/>
      <c r="E1886" s="11"/>
      <c r="F1886" s="11"/>
      <c r="G1886" s="11"/>
      <c r="H1886" s="11"/>
      <c r="I1886" s="12"/>
      <c r="J1886" s="12"/>
      <c r="K1886" s="11"/>
      <c r="L1886" s="16"/>
      <c r="M1886" s="16"/>
      <c r="N1886" s="16"/>
      <c r="O1886" s="11"/>
      <c r="P1886" s="11"/>
      <c r="Q1886" s="13"/>
    </row>
    <row r="1887">
      <c r="A1887" s="11"/>
      <c r="B1887" s="11"/>
      <c r="C1887" s="11"/>
      <c r="D1887" s="11"/>
      <c r="E1887" s="11"/>
      <c r="F1887" s="11"/>
      <c r="G1887" s="11"/>
      <c r="H1887" s="11"/>
      <c r="I1887" s="12"/>
      <c r="J1887" s="12"/>
      <c r="K1887" s="11"/>
      <c r="L1887" s="16"/>
      <c r="M1887" s="16"/>
      <c r="N1887" s="16"/>
      <c r="O1887" s="11"/>
      <c r="P1887" s="11"/>
      <c r="Q1887" s="13"/>
    </row>
    <row r="1888">
      <c r="A1888" s="11"/>
      <c r="B1888" s="11"/>
      <c r="C1888" s="11"/>
      <c r="D1888" s="11"/>
      <c r="E1888" s="11"/>
      <c r="F1888" s="11"/>
      <c r="G1888" s="11"/>
      <c r="H1888" s="11"/>
      <c r="I1888" s="12"/>
      <c r="J1888" s="12"/>
      <c r="K1888" s="11"/>
      <c r="L1888" s="16"/>
      <c r="M1888" s="16"/>
      <c r="N1888" s="16"/>
      <c r="O1888" s="11"/>
      <c r="P1888" s="11"/>
      <c r="Q1888" s="13"/>
    </row>
    <row r="1889">
      <c r="A1889" s="11"/>
      <c r="B1889" s="11"/>
      <c r="C1889" s="11"/>
      <c r="D1889" s="11"/>
      <c r="E1889" s="11"/>
      <c r="F1889" s="11"/>
      <c r="G1889" s="11"/>
      <c r="H1889" s="11"/>
      <c r="I1889" s="12"/>
      <c r="J1889" s="12"/>
      <c r="K1889" s="11"/>
      <c r="L1889" s="16"/>
      <c r="M1889" s="16"/>
      <c r="N1889" s="16"/>
      <c r="O1889" s="11"/>
      <c r="P1889" s="11"/>
      <c r="Q1889" s="13"/>
    </row>
    <row r="1890">
      <c r="A1890" s="11"/>
      <c r="B1890" s="11"/>
      <c r="C1890" s="11"/>
      <c r="D1890" s="11"/>
      <c r="E1890" s="11"/>
      <c r="F1890" s="11"/>
      <c r="G1890" s="11"/>
      <c r="H1890" s="11"/>
      <c r="I1890" s="12"/>
      <c r="J1890" s="12"/>
      <c r="K1890" s="11"/>
      <c r="L1890" s="16"/>
      <c r="M1890" s="16"/>
      <c r="N1890" s="16"/>
      <c r="O1890" s="11"/>
      <c r="P1890" s="11"/>
      <c r="Q1890" s="13"/>
    </row>
    <row r="1891">
      <c r="A1891" s="11"/>
      <c r="B1891" s="11"/>
      <c r="C1891" s="11"/>
      <c r="D1891" s="11"/>
      <c r="E1891" s="11"/>
      <c r="F1891" s="11"/>
      <c r="G1891" s="11"/>
      <c r="H1891" s="11"/>
      <c r="I1891" s="12"/>
      <c r="J1891" s="12"/>
      <c r="K1891" s="11"/>
      <c r="L1891" s="16"/>
      <c r="M1891" s="16"/>
      <c r="N1891" s="16"/>
      <c r="O1891" s="11"/>
      <c r="P1891" s="11"/>
      <c r="Q1891" s="13"/>
    </row>
    <row r="1892">
      <c r="A1892" s="11"/>
      <c r="B1892" s="11"/>
      <c r="C1892" s="11"/>
      <c r="D1892" s="11"/>
      <c r="E1892" s="11"/>
      <c r="F1892" s="11"/>
      <c r="G1892" s="11"/>
      <c r="H1892" s="11"/>
      <c r="I1892" s="12"/>
      <c r="J1892" s="12"/>
      <c r="K1892" s="11"/>
      <c r="L1892" s="16"/>
      <c r="M1892" s="16"/>
      <c r="N1892" s="16"/>
      <c r="O1892" s="11"/>
      <c r="P1892" s="11"/>
      <c r="Q1892" s="13"/>
    </row>
    <row r="1893">
      <c r="A1893" s="11"/>
      <c r="B1893" s="11"/>
      <c r="C1893" s="11"/>
      <c r="D1893" s="11"/>
      <c r="E1893" s="11"/>
      <c r="F1893" s="11"/>
      <c r="G1893" s="11"/>
      <c r="H1893" s="11"/>
      <c r="I1893" s="12"/>
      <c r="J1893" s="12"/>
      <c r="K1893" s="11"/>
      <c r="L1893" s="16"/>
      <c r="M1893" s="16"/>
      <c r="N1893" s="16"/>
      <c r="O1893" s="11"/>
      <c r="P1893" s="11"/>
      <c r="Q1893" s="13"/>
    </row>
    <row r="1894">
      <c r="A1894" s="11"/>
      <c r="B1894" s="11"/>
      <c r="C1894" s="11"/>
      <c r="D1894" s="11"/>
      <c r="E1894" s="11"/>
      <c r="F1894" s="11"/>
      <c r="G1894" s="11"/>
      <c r="H1894" s="11"/>
      <c r="I1894" s="12"/>
      <c r="J1894" s="12"/>
      <c r="K1894" s="11"/>
      <c r="L1894" s="16"/>
      <c r="M1894" s="16"/>
      <c r="N1894" s="16"/>
      <c r="O1894" s="11"/>
      <c r="P1894" s="11"/>
      <c r="Q1894" s="13"/>
    </row>
    <row r="1895">
      <c r="A1895" s="11"/>
      <c r="B1895" s="11"/>
      <c r="C1895" s="11"/>
      <c r="D1895" s="11"/>
      <c r="E1895" s="11"/>
      <c r="F1895" s="11"/>
      <c r="G1895" s="11"/>
      <c r="H1895" s="11"/>
      <c r="I1895" s="12"/>
      <c r="J1895" s="12"/>
      <c r="K1895" s="11"/>
      <c r="L1895" s="16"/>
      <c r="M1895" s="16"/>
      <c r="N1895" s="16"/>
      <c r="O1895" s="11"/>
      <c r="P1895" s="11"/>
      <c r="Q1895" s="13"/>
    </row>
    <row r="1896">
      <c r="A1896" s="11"/>
      <c r="B1896" s="11"/>
      <c r="C1896" s="11"/>
      <c r="D1896" s="11"/>
      <c r="E1896" s="11"/>
      <c r="F1896" s="11"/>
      <c r="G1896" s="11"/>
      <c r="H1896" s="11"/>
      <c r="I1896" s="12"/>
      <c r="J1896" s="12"/>
      <c r="K1896" s="11"/>
      <c r="L1896" s="16"/>
      <c r="M1896" s="16"/>
      <c r="N1896" s="16"/>
      <c r="O1896" s="11"/>
      <c r="P1896" s="11"/>
      <c r="Q1896" s="13"/>
    </row>
    <row r="1897">
      <c r="A1897" s="11"/>
      <c r="B1897" s="11"/>
      <c r="C1897" s="11"/>
      <c r="D1897" s="11"/>
      <c r="E1897" s="11"/>
      <c r="F1897" s="11"/>
      <c r="G1897" s="11"/>
      <c r="H1897" s="11"/>
      <c r="I1897" s="12"/>
      <c r="J1897" s="12"/>
      <c r="K1897" s="11"/>
      <c r="L1897" s="16"/>
      <c r="M1897" s="16"/>
      <c r="N1897" s="16"/>
      <c r="O1897" s="11"/>
      <c r="P1897" s="11"/>
      <c r="Q1897" s="13"/>
    </row>
    <row r="1898">
      <c r="A1898" s="11"/>
      <c r="B1898" s="11"/>
      <c r="C1898" s="11"/>
      <c r="D1898" s="11"/>
      <c r="E1898" s="11"/>
      <c r="F1898" s="11"/>
      <c r="G1898" s="11"/>
      <c r="H1898" s="11"/>
      <c r="I1898" s="12"/>
      <c r="J1898" s="12"/>
      <c r="K1898" s="11"/>
      <c r="L1898" s="16"/>
      <c r="M1898" s="16"/>
      <c r="N1898" s="16"/>
      <c r="O1898" s="11"/>
      <c r="P1898" s="11"/>
      <c r="Q1898" s="13"/>
    </row>
    <row r="1899">
      <c r="A1899" s="11"/>
      <c r="B1899" s="11"/>
      <c r="C1899" s="11"/>
      <c r="D1899" s="11"/>
      <c r="E1899" s="11"/>
      <c r="F1899" s="11"/>
      <c r="G1899" s="11"/>
      <c r="H1899" s="11"/>
      <c r="I1899" s="12"/>
      <c r="J1899" s="12"/>
      <c r="K1899" s="11"/>
      <c r="L1899" s="16"/>
      <c r="M1899" s="16"/>
      <c r="N1899" s="16"/>
      <c r="O1899" s="11"/>
      <c r="P1899" s="11"/>
      <c r="Q1899" s="13"/>
    </row>
    <row r="1900">
      <c r="A1900" s="11"/>
      <c r="B1900" s="11"/>
      <c r="C1900" s="11"/>
      <c r="D1900" s="11"/>
      <c r="E1900" s="11"/>
      <c r="F1900" s="11"/>
      <c r="G1900" s="11"/>
      <c r="H1900" s="11"/>
      <c r="I1900" s="12"/>
      <c r="J1900" s="12"/>
      <c r="K1900" s="11"/>
      <c r="L1900" s="16"/>
      <c r="M1900" s="16"/>
      <c r="N1900" s="16"/>
      <c r="O1900" s="11"/>
      <c r="P1900" s="11"/>
      <c r="Q1900" s="13"/>
    </row>
    <row r="1901">
      <c r="A1901" s="11"/>
      <c r="B1901" s="11"/>
      <c r="C1901" s="11"/>
      <c r="D1901" s="11"/>
      <c r="E1901" s="11"/>
      <c r="F1901" s="11"/>
      <c r="G1901" s="11"/>
      <c r="H1901" s="11"/>
      <c r="I1901" s="12"/>
      <c r="J1901" s="12"/>
      <c r="K1901" s="11"/>
      <c r="L1901" s="16"/>
      <c r="M1901" s="16"/>
      <c r="N1901" s="16"/>
      <c r="O1901" s="11"/>
      <c r="P1901" s="11"/>
      <c r="Q1901" s="13"/>
    </row>
    <row r="1902">
      <c r="A1902" s="11"/>
      <c r="B1902" s="11"/>
      <c r="C1902" s="11"/>
      <c r="D1902" s="11"/>
      <c r="E1902" s="11"/>
      <c r="F1902" s="11"/>
      <c r="G1902" s="11"/>
      <c r="H1902" s="11"/>
      <c r="I1902" s="12"/>
      <c r="J1902" s="12"/>
      <c r="K1902" s="11"/>
      <c r="L1902" s="16"/>
      <c r="M1902" s="16"/>
      <c r="N1902" s="16"/>
      <c r="O1902" s="11"/>
      <c r="P1902" s="11"/>
      <c r="Q1902" s="13"/>
    </row>
    <row r="1903">
      <c r="A1903" s="11"/>
      <c r="B1903" s="11"/>
      <c r="C1903" s="11"/>
      <c r="D1903" s="11"/>
      <c r="E1903" s="11"/>
      <c r="F1903" s="11"/>
      <c r="G1903" s="11"/>
      <c r="H1903" s="11"/>
      <c r="I1903" s="12"/>
      <c r="J1903" s="12"/>
      <c r="K1903" s="11"/>
      <c r="L1903" s="16"/>
      <c r="M1903" s="16"/>
      <c r="N1903" s="16"/>
      <c r="O1903" s="11"/>
      <c r="P1903" s="11"/>
      <c r="Q1903" s="13"/>
    </row>
    <row r="1904">
      <c r="A1904" s="11"/>
      <c r="B1904" s="11"/>
      <c r="C1904" s="11"/>
      <c r="D1904" s="11"/>
      <c r="E1904" s="11"/>
      <c r="F1904" s="11"/>
      <c r="G1904" s="11"/>
      <c r="H1904" s="11"/>
      <c r="I1904" s="12"/>
      <c r="J1904" s="12"/>
      <c r="K1904" s="11"/>
      <c r="L1904" s="16"/>
      <c r="M1904" s="16"/>
      <c r="N1904" s="16"/>
      <c r="O1904" s="11"/>
      <c r="P1904" s="11"/>
      <c r="Q1904" s="13"/>
    </row>
    <row r="1905">
      <c r="A1905" s="11"/>
      <c r="B1905" s="11"/>
      <c r="C1905" s="11"/>
      <c r="D1905" s="11"/>
      <c r="E1905" s="11"/>
      <c r="F1905" s="11"/>
      <c r="G1905" s="11"/>
      <c r="H1905" s="11"/>
      <c r="I1905" s="12"/>
      <c r="J1905" s="12"/>
      <c r="K1905" s="11"/>
      <c r="L1905" s="16"/>
      <c r="M1905" s="16"/>
      <c r="N1905" s="16"/>
      <c r="O1905" s="11"/>
      <c r="P1905" s="11"/>
      <c r="Q1905" s="13"/>
    </row>
    <row r="1906">
      <c r="A1906" s="11"/>
      <c r="B1906" s="11"/>
      <c r="C1906" s="11"/>
      <c r="D1906" s="11"/>
      <c r="E1906" s="11"/>
      <c r="F1906" s="11"/>
      <c r="G1906" s="11"/>
      <c r="H1906" s="11"/>
      <c r="I1906" s="12"/>
      <c r="J1906" s="12"/>
      <c r="K1906" s="11"/>
      <c r="L1906" s="16"/>
      <c r="M1906" s="16"/>
      <c r="N1906" s="16"/>
      <c r="O1906" s="11"/>
      <c r="P1906" s="11"/>
      <c r="Q1906" s="13"/>
    </row>
    <row r="1907">
      <c r="A1907" s="11"/>
      <c r="B1907" s="11"/>
      <c r="C1907" s="11"/>
      <c r="D1907" s="11"/>
      <c r="E1907" s="11"/>
      <c r="F1907" s="11"/>
      <c r="G1907" s="11"/>
      <c r="H1907" s="11"/>
      <c r="I1907" s="12"/>
      <c r="J1907" s="12"/>
      <c r="K1907" s="11"/>
      <c r="L1907" s="16"/>
      <c r="M1907" s="16"/>
      <c r="N1907" s="16"/>
      <c r="O1907" s="11"/>
      <c r="P1907" s="11"/>
      <c r="Q1907" s="13"/>
    </row>
    <row r="1908">
      <c r="A1908" s="11"/>
      <c r="B1908" s="11"/>
      <c r="C1908" s="11"/>
      <c r="D1908" s="11"/>
      <c r="E1908" s="11"/>
      <c r="F1908" s="11"/>
      <c r="G1908" s="11"/>
      <c r="H1908" s="11"/>
      <c r="I1908" s="12"/>
      <c r="J1908" s="12"/>
      <c r="K1908" s="11"/>
      <c r="L1908" s="16"/>
      <c r="M1908" s="16"/>
      <c r="N1908" s="16"/>
      <c r="O1908" s="11"/>
      <c r="P1908" s="11"/>
      <c r="Q1908" s="13"/>
    </row>
    <row r="1909">
      <c r="A1909" s="11"/>
      <c r="B1909" s="11"/>
      <c r="C1909" s="11"/>
      <c r="D1909" s="11"/>
      <c r="E1909" s="11"/>
      <c r="F1909" s="11"/>
      <c r="G1909" s="11"/>
      <c r="H1909" s="11"/>
      <c r="I1909" s="12"/>
      <c r="J1909" s="12"/>
      <c r="K1909" s="11"/>
      <c r="L1909" s="16"/>
      <c r="M1909" s="16"/>
      <c r="N1909" s="16"/>
      <c r="O1909" s="11"/>
      <c r="P1909" s="11"/>
      <c r="Q1909" s="13"/>
    </row>
    <row r="1910">
      <c r="A1910" s="11"/>
      <c r="B1910" s="11"/>
      <c r="C1910" s="11"/>
      <c r="D1910" s="11"/>
      <c r="E1910" s="11"/>
      <c r="F1910" s="11"/>
      <c r="G1910" s="11"/>
      <c r="H1910" s="11"/>
      <c r="I1910" s="12"/>
      <c r="J1910" s="12"/>
      <c r="K1910" s="11"/>
      <c r="L1910" s="16"/>
      <c r="M1910" s="16"/>
      <c r="N1910" s="16"/>
      <c r="O1910" s="11"/>
      <c r="P1910" s="11"/>
      <c r="Q1910" s="13"/>
    </row>
    <row r="1911">
      <c r="A1911" s="11"/>
      <c r="B1911" s="11"/>
      <c r="C1911" s="11"/>
      <c r="D1911" s="11"/>
      <c r="E1911" s="11"/>
      <c r="F1911" s="11"/>
      <c r="G1911" s="11"/>
      <c r="H1911" s="11"/>
      <c r="I1911" s="12"/>
      <c r="J1911" s="12"/>
      <c r="K1911" s="11"/>
      <c r="L1911" s="16"/>
      <c r="M1911" s="16"/>
      <c r="N1911" s="16"/>
      <c r="O1911" s="11"/>
      <c r="P1911" s="11"/>
      <c r="Q1911" s="13"/>
    </row>
    <row r="1912">
      <c r="A1912" s="11"/>
      <c r="B1912" s="11"/>
      <c r="C1912" s="11"/>
      <c r="D1912" s="11"/>
      <c r="E1912" s="11"/>
      <c r="F1912" s="11"/>
      <c r="G1912" s="11"/>
      <c r="H1912" s="11"/>
      <c r="I1912" s="12"/>
      <c r="J1912" s="12"/>
      <c r="K1912" s="11"/>
      <c r="L1912" s="16"/>
      <c r="M1912" s="16"/>
      <c r="N1912" s="16"/>
      <c r="O1912" s="11"/>
      <c r="P1912" s="11"/>
      <c r="Q1912" s="13"/>
    </row>
    <row r="1913">
      <c r="A1913" s="11"/>
      <c r="B1913" s="11"/>
      <c r="C1913" s="11"/>
      <c r="D1913" s="11"/>
      <c r="E1913" s="11"/>
      <c r="F1913" s="11"/>
      <c r="G1913" s="11"/>
      <c r="H1913" s="11"/>
      <c r="I1913" s="12"/>
      <c r="J1913" s="12"/>
      <c r="K1913" s="11"/>
      <c r="L1913" s="16"/>
      <c r="M1913" s="16"/>
      <c r="N1913" s="16"/>
      <c r="O1913" s="11"/>
      <c r="P1913" s="11"/>
      <c r="Q1913" s="13"/>
    </row>
    <row r="1914">
      <c r="A1914" s="11"/>
      <c r="B1914" s="11"/>
      <c r="C1914" s="11"/>
      <c r="D1914" s="11"/>
      <c r="E1914" s="11"/>
      <c r="F1914" s="11"/>
      <c r="G1914" s="11"/>
      <c r="H1914" s="11"/>
      <c r="I1914" s="12"/>
      <c r="J1914" s="12"/>
      <c r="K1914" s="11"/>
      <c r="L1914" s="16"/>
      <c r="M1914" s="16"/>
      <c r="N1914" s="16"/>
      <c r="O1914" s="11"/>
      <c r="P1914" s="11"/>
      <c r="Q1914" s="13"/>
    </row>
    <row r="1915">
      <c r="A1915" s="11"/>
      <c r="B1915" s="11"/>
      <c r="C1915" s="11"/>
      <c r="D1915" s="11"/>
      <c r="E1915" s="11"/>
      <c r="F1915" s="11"/>
      <c r="G1915" s="11"/>
      <c r="H1915" s="11"/>
      <c r="I1915" s="12"/>
      <c r="J1915" s="12"/>
      <c r="K1915" s="11"/>
      <c r="L1915" s="16"/>
      <c r="M1915" s="16"/>
      <c r="N1915" s="16"/>
      <c r="O1915" s="11"/>
      <c r="P1915" s="11"/>
      <c r="Q1915" s="13"/>
    </row>
    <row r="1916">
      <c r="A1916" s="11"/>
      <c r="B1916" s="11"/>
      <c r="C1916" s="11"/>
      <c r="D1916" s="11"/>
      <c r="E1916" s="11"/>
      <c r="F1916" s="11"/>
      <c r="G1916" s="11"/>
      <c r="H1916" s="11"/>
      <c r="I1916" s="12"/>
      <c r="J1916" s="12"/>
      <c r="K1916" s="11"/>
      <c r="L1916" s="16"/>
      <c r="M1916" s="16"/>
      <c r="N1916" s="16"/>
      <c r="O1916" s="11"/>
      <c r="P1916" s="11"/>
      <c r="Q1916" s="13"/>
    </row>
    <row r="1917">
      <c r="A1917" s="11"/>
      <c r="B1917" s="11"/>
      <c r="C1917" s="11"/>
      <c r="D1917" s="11"/>
      <c r="E1917" s="11"/>
      <c r="F1917" s="11"/>
      <c r="G1917" s="11"/>
      <c r="H1917" s="11"/>
      <c r="I1917" s="12"/>
      <c r="J1917" s="12"/>
      <c r="K1917" s="11"/>
      <c r="L1917" s="16"/>
      <c r="M1917" s="16"/>
      <c r="N1917" s="16"/>
      <c r="O1917" s="11"/>
      <c r="P1917" s="11"/>
      <c r="Q1917" s="13"/>
    </row>
    <row r="1918">
      <c r="A1918" s="11"/>
      <c r="B1918" s="11"/>
      <c r="C1918" s="11"/>
      <c r="D1918" s="11"/>
      <c r="E1918" s="11"/>
      <c r="F1918" s="11"/>
      <c r="G1918" s="11"/>
      <c r="H1918" s="11"/>
      <c r="I1918" s="12"/>
      <c r="J1918" s="12"/>
      <c r="K1918" s="11"/>
      <c r="L1918" s="16"/>
      <c r="M1918" s="16"/>
      <c r="N1918" s="16"/>
      <c r="O1918" s="11"/>
      <c r="P1918" s="11"/>
      <c r="Q1918" s="13"/>
    </row>
    <row r="1919">
      <c r="A1919" s="11"/>
      <c r="B1919" s="11"/>
      <c r="C1919" s="11"/>
      <c r="D1919" s="11"/>
      <c r="E1919" s="11"/>
      <c r="F1919" s="11"/>
      <c r="G1919" s="11"/>
      <c r="H1919" s="11"/>
      <c r="I1919" s="12"/>
      <c r="J1919" s="12"/>
      <c r="K1919" s="11"/>
      <c r="L1919" s="16"/>
      <c r="M1919" s="16"/>
      <c r="N1919" s="16"/>
      <c r="O1919" s="11"/>
      <c r="P1919" s="11"/>
      <c r="Q1919" s="13"/>
    </row>
    <row r="1920">
      <c r="A1920" s="11"/>
      <c r="B1920" s="11"/>
      <c r="C1920" s="11"/>
      <c r="D1920" s="11"/>
      <c r="E1920" s="11"/>
      <c r="F1920" s="11"/>
      <c r="G1920" s="11"/>
      <c r="H1920" s="11"/>
      <c r="I1920" s="12"/>
      <c r="J1920" s="12"/>
      <c r="K1920" s="11"/>
      <c r="L1920" s="16"/>
      <c r="M1920" s="16"/>
      <c r="N1920" s="16"/>
      <c r="O1920" s="11"/>
      <c r="P1920" s="11"/>
      <c r="Q1920" s="13"/>
    </row>
    <row r="1921">
      <c r="A1921" s="11"/>
      <c r="B1921" s="11"/>
      <c r="C1921" s="11"/>
      <c r="D1921" s="11"/>
      <c r="E1921" s="11"/>
      <c r="F1921" s="11"/>
      <c r="G1921" s="11"/>
      <c r="H1921" s="11"/>
      <c r="I1921" s="12"/>
      <c r="J1921" s="12"/>
      <c r="K1921" s="11"/>
      <c r="L1921" s="16"/>
      <c r="M1921" s="16"/>
      <c r="N1921" s="16"/>
      <c r="O1921" s="11"/>
      <c r="P1921" s="11"/>
      <c r="Q1921" s="13"/>
    </row>
    <row r="1922">
      <c r="A1922" s="11"/>
      <c r="B1922" s="11"/>
      <c r="C1922" s="11"/>
      <c r="D1922" s="11"/>
      <c r="E1922" s="11"/>
      <c r="F1922" s="11"/>
      <c r="G1922" s="11"/>
      <c r="H1922" s="11"/>
      <c r="I1922" s="12"/>
      <c r="J1922" s="12"/>
      <c r="K1922" s="11"/>
      <c r="L1922" s="16"/>
      <c r="M1922" s="16"/>
      <c r="N1922" s="16"/>
      <c r="O1922" s="11"/>
      <c r="P1922" s="11"/>
      <c r="Q1922" s="13"/>
    </row>
    <row r="1923">
      <c r="A1923" s="11"/>
      <c r="B1923" s="11"/>
      <c r="C1923" s="11"/>
      <c r="D1923" s="11"/>
      <c r="E1923" s="11"/>
      <c r="F1923" s="11"/>
      <c r="G1923" s="11"/>
      <c r="H1923" s="11"/>
      <c r="I1923" s="12"/>
      <c r="J1923" s="12"/>
      <c r="K1923" s="11"/>
      <c r="L1923" s="16"/>
      <c r="M1923" s="16"/>
      <c r="N1923" s="16"/>
      <c r="O1923" s="11"/>
      <c r="P1923" s="11"/>
      <c r="Q1923" s="13"/>
    </row>
    <row r="1924">
      <c r="A1924" s="11"/>
      <c r="B1924" s="11"/>
      <c r="C1924" s="11"/>
      <c r="D1924" s="11"/>
      <c r="E1924" s="11"/>
      <c r="F1924" s="11"/>
      <c r="G1924" s="11"/>
      <c r="H1924" s="11"/>
      <c r="I1924" s="12"/>
      <c r="J1924" s="12"/>
      <c r="K1924" s="11"/>
      <c r="L1924" s="16"/>
      <c r="M1924" s="16"/>
      <c r="N1924" s="16"/>
      <c r="O1924" s="11"/>
      <c r="P1924" s="11"/>
      <c r="Q1924" s="13"/>
    </row>
    <row r="1925">
      <c r="A1925" s="11"/>
      <c r="B1925" s="11"/>
      <c r="C1925" s="11"/>
      <c r="D1925" s="11"/>
      <c r="E1925" s="11"/>
      <c r="F1925" s="11"/>
      <c r="G1925" s="11"/>
      <c r="H1925" s="11"/>
      <c r="I1925" s="12"/>
      <c r="J1925" s="12"/>
      <c r="K1925" s="11"/>
      <c r="L1925" s="16"/>
      <c r="M1925" s="16"/>
      <c r="N1925" s="16"/>
      <c r="O1925" s="11"/>
      <c r="P1925" s="11"/>
      <c r="Q1925" s="13"/>
    </row>
    <row r="1926">
      <c r="A1926" s="11"/>
      <c r="B1926" s="11"/>
      <c r="C1926" s="11"/>
      <c r="D1926" s="11"/>
      <c r="E1926" s="11"/>
      <c r="F1926" s="11"/>
      <c r="G1926" s="11"/>
      <c r="H1926" s="11"/>
      <c r="I1926" s="12"/>
      <c r="J1926" s="12"/>
      <c r="K1926" s="11"/>
      <c r="L1926" s="16"/>
      <c r="M1926" s="16"/>
      <c r="N1926" s="16"/>
      <c r="O1926" s="11"/>
      <c r="P1926" s="11"/>
      <c r="Q1926" s="13"/>
    </row>
    <row r="1927">
      <c r="A1927" s="11"/>
      <c r="B1927" s="11"/>
      <c r="C1927" s="11"/>
      <c r="D1927" s="11"/>
      <c r="E1927" s="11"/>
      <c r="F1927" s="11"/>
      <c r="G1927" s="11"/>
      <c r="H1927" s="11"/>
      <c r="I1927" s="12"/>
      <c r="J1927" s="12"/>
      <c r="K1927" s="11"/>
      <c r="L1927" s="16"/>
      <c r="M1927" s="16"/>
      <c r="N1927" s="16"/>
      <c r="O1927" s="11"/>
      <c r="P1927" s="11"/>
      <c r="Q1927" s="13"/>
    </row>
    <row r="1928">
      <c r="A1928" s="11"/>
      <c r="B1928" s="11"/>
      <c r="C1928" s="11"/>
      <c r="D1928" s="11"/>
      <c r="E1928" s="11"/>
      <c r="F1928" s="11"/>
      <c r="G1928" s="11"/>
      <c r="H1928" s="11"/>
      <c r="I1928" s="12"/>
      <c r="J1928" s="12"/>
      <c r="K1928" s="11"/>
      <c r="L1928" s="16"/>
      <c r="M1928" s="16"/>
      <c r="N1928" s="16"/>
      <c r="O1928" s="11"/>
      <c r="P1928" s="11"/>
      <c r="Q1928" s="13"/>
    </row>
    <row r="1929">
      <c r="A1929" s="11"/>
      <c r="B1929" s="11"/>
      <c r="C1929" s="11"/>
      <c r="D1929" s="11"/>
      <c r="E1929" s="11"/>
      <c r="F1929" s="11"/>
      <c r="G1929" s="11"/>
      <c r="H1929" s="11"/>
      <c r="I1929" s="12"/>
      <c r="J1929" s="12"/>
      <c r="K1929" s="11"/>
      <c r="L1929" s="16"/>
      <c r="M1929" s="16"/>
      <c r="N1929" s="16"/>
      <c r="O1929" s="11"/>
      <c r="P1929" s="11"/>
      <c r="Q1929" s="13"/>
    </row>
    <row r="1930">
      <c r="A1930" s="11"/>
      <c r="B1930" s="11"/>
      <c r="C1930" s="11"/>
      <c r="D1930" s="11"/>
      <c r="E1930" s="11"/>
      <c r="F1930" s="11"/>
      <c r="G1930" s="11"/>
      <c r="H1930" s="11"/>
      <c r="I1930" s="12"/>
      <c r="J1930" s="12"/>
      <c r="K1930" s="11"/>
      <c r="L1930" s="16"/>
      <c r="M1930" s="16"/>
      <c r="N1930" s="16"/>
      <c r="O1930" s="11"/>
      <c r="P1930" s="11"/>
      <c r="Q1930" s="13"/>
    </row>
    <row r="1931">
      <c r="A1931" s="11"/>
      <c r="B1931" s="11"/>
      <c r="C1931" s="11"/>
      <c r="D1931" s="11"/>
      <c r="E1931" s="11"/>
      <c r="F1931" s="11"/>
      <c r="G1931" s="11"/>
      <c r="H1931" s="11"/>
      <c r="I1931" s="12"/>
      <c r="J1931" s="12"/>
      <c r="K1931" s="11"/>
      <c r="L1931" s="16"/>
      <c r="M1931" s="16"/>
      <c r="N1931" s="16"/>
      <c r="O1931" s="11"/>
      <c r="P1931" s="11"/>
      <c r="Q1931" s="13"/>
    </row>
    <row r="1932">
      <c r="A1932" s="11"/>
      <c r="B1932" s="11"/>
      <c r="C1932" s="11"/>
      <c r="D1932" s="11"/>
      <c r="E1932" s="11"/>
      <c r="F1932" s="11"/>
      <c r="G1932" s="11"/>
      <c r="H1932" s="11"/>
      <c r="I1932" s="12"/>
      <c r="J1932" s="12"/>
      <c r="K1932" s="11"/>
      <c r="L1932" s="16"/>
      <c r="M1932" s="16"/>
      <c r="N1932" s="16"/>
      <c r="O1932" s="11"/>
      <c r="P1932" s="11"/>
      <c r="Q1932" s="13"/>
    </row>
    <row r="1933">
      <c r="A1933" s="11"/>
      <c r="B1933" s="11"/>
      <c r="C1933" s="11"/>
      <c r="D1933" s="11"/>
      <c r="E1933" s="11"/>
      <c r="F1933" s="11"/>
      <c r="G1933" s="11"/>
      <c r="H1933" s="11"/>
      <c r="I1933" s="12"/>
      <c r="J1933" s="12"/>
      <c r="K1933" s="11"/>
      <c r="L1933" s="16"/>
      <c r="M1933" s="16"/>
      <c r="N1933" s="16"/>
      <c r="O1933" s="11"/>
      <c r="P1933" s="11"/>
      <c r="Q1933" s="13"/>
    </row>
    <row r="1934">
      <c r="A1934" s="11"/>
      <c r="B1934" s="11"/>
      <c r="C1934" s="11"/>
      <c r="D1934" s="11"/>
      <c r="E1934" s="11"/>
      <c r="F1934" s="11"/>
      <c r="G1934" s="11"/>
      <c r="H1934" s="11"/>
      <c r="I1934" s="12"/>
      <c r="J1934" s="12"/>
      <c r="K1934" s="11"/>
      <c r="L1934" s="16"/>
      <c r="M1934" s="16"/>
      <c r="N1934" s="16"/>
      <c r="O1934" s="11"/>
      <c r="P1934" s="11"/>
      <c r="Q1934" s="13"/>
    </row>
    <row r="1935">
      <c r="A1935" s="11"/>
      <c r="B1935" s="11"/>
      <c r="C1935" s="11"/>
      <c r="D1935" s="11"/>
      <c r="E1935" s="11"/>
      <c r="F1935" s="11"/>
      <c r="G1935" s="11"/>
      <c r="H1935" s="11"/>
      <c r="I1935" s="12"/>
      <c r="J1935" s="12"/>
      <c r="K1935" s="11"/>
      <c r="L1935" s="16"/>
      <c r="M1935" s="16"/>
      <c r="N1935" s="16"/>
      <c r="O1935" s="11"/>
      <c r="P1935" s="11"/>
      <c r="Q1935" s="13"/>
    </row>
    <row r="1936">
      <c r="A1936" s="11"/>
      <c r="B1936" s="11"/>
      <c r="C1936" s="11"/>
      <c r="D1936" s="11"/>
      <c r="E1936" s="11"/>
      <c r="F1936" s="11"/>
      <c r="G1936" s="11"/>
      <c r="H1936" s="11"/>
      <c r="I1936" s="12"/>
      <c r="J1936" s="12"/>
      <c r="K1936" s="11"/>
      <c r="L1936" s="16"/>
      <c r="M1936" s="16"/>
      <c r="N1936" s="16"/>
      <c r="O1936" s="11"/>
      <c r="P1936" s="11"/>
      <c r="Q1936" s="13"/>
    </row>
    <row r="1937">
      <c r="A1937" s="11"/>
      <c r="B1937" s="11"/>
      <c r="C1937" s="11"/>
      <c r="D1937" s="11"/>
      <c r="E1937" s="11"/>
      <c r="F1937" s="11"/>
      <c r="G1937" s="11"/>
      <c r="H1937" s="11"/>
      <c r="I1937" s="12"/>
      <c r="J1937" s="12"/>
      <c r="K1937" s="11"/>
      <c r="L1937" s="16"/>
      <c r="M1937" s="16"/>
      <c r="N1937" s="16"/>
      <c r="O1937" s="11"/>
      <c r="P1937" s="11"/>
      <c r="Q1937" s="13"/>
    </row>
    <row r="1938">
      <c r="A1938" s="11"/>
      <c r="B1938" s="11"/>
      <c r="C1938" s="11"/>
      <c r="D1938" s="11"/>
      <c r="E1938" s="11"/>
      <c r="F1938" s="11"/>
      <c r="G1938" s="11"/>
      <c r="H1938" s="11"/>
      <c r="I1938" s="12"/>
      <c r="J1938" s="12"/>
      <c r="K1938" s="11"/>
      <c r="L1938" s="16"/>
      <c r="M1938" s="16"/>
      <c r="N1938" s="16"/>
      <c r="O1938" s="11"/>
      <c r="P1938" s="11"/>
      <c r="Q1938" s="13"/>
    </row>
    <row r="1939">
      <c r="A1939" s="11"/>
      <c r="B1939" s="11"/>
      <c r="C1939" s="11"/>
      <c r="D1939" s="11"/>
      <c r="E1939" s="11"/>
      <c r="F1939" s="11"/>
      <c r="G1939" s="11"/>
      <c r="H1939" s="11"/>
      <c r="I1939" s="12"/>
      <c r="J1939" s="12"/>
      <c r="K1939" s="11"/>
      <c r="L1939" s="16"/>
      <c r="M1939" s="16"/>
      <c r="N1939" s="16"/>
      <c r="O1939" s="11"/>
      <c r="P1939" s="11"/>
      <c r="Q1939" s="13"/>
    </row>
    <row r="1940">
      <c r="A1940" s="11"/>
      <c r="B1940" s="11"/>
      <c r="C1940" s="11"/>
      <c r="D1940" s="11"/>
      <c r="E1940" s="11"/>
      <c r="F1940" s="11"/>
      <c r="G1940" s="11"/>
      <c r="H1940" s="11"/>
      <c r="I1940" s="12"/>
      <c r="J1940" s="12"/>
      <c r="K1940" s="11"/>
      <c r="L1940" s="16"/>
      <c r="M1940" s="16"/>
      <c r="N1940" s="16"/>
      <c r="O1940" s="11"/>
      <c r="P1940" s="11"/>
      <c r="Q1940" s="13"/>
    </row>
    <row r="1941">
      <c r="A1941" s="11"/>
      <c r="B1941" s="11"/>
      <c r="C1941" s="11"/>
      <c r="D1941" s="11"/>
      <c r="E1941" s="11"/>
      <c r="F1941" s="11"/>
      <c r="G1941" s="11"/>
      <c r="H1941" s="11"/>
      <c r="I1941" s="12"/>
      <c r="J1941" s="12"/>
      <c r="K1941" s="11"/>
      <c r="L1941" s="16"/>
      <c r="M1941" s="16"/>
      <c r="N1941" s="16"/>
      <c r="O1941" s="11"/>
      <c r="P1941" s="11"/>
      <c r="Q1941" s="13"/>
    </row>
    <row r="1942">
      <c r="A1942" s="11"/>
      <c r="B1942" s="11"/>
      <c r="C1942" s="11"/>
      <c r="D1942" s="11"/>
      <c r="E1942" s="11"/>
      <c r="F1942" s="11"/>
      <c r="G1942" s="11"/>
      <c r="H1942" s="11"/>
      <c r="I1942" s="12"/>
      <c r="J1942" s="12"/>
      <c r="K1942" s="11"/>
      <c r="L1942" s="16"/>
      <c r="M1942" s="16"/>
      <c r="N1942" s="16"/>
      <c r="O1942" s="11"/>
      <c r="P1942" s="11"/>
      <c r="Q1942" s="13"/>
    </row>
    <row r="1943">
      <c r="A1943" s="11"/>
      <c r="B1943" s="11"/>
      <c r="C1943" s="11"/>
      <c r="D1943" s="11"/>
      <c r="E1943" s="11"/>
      <c r="F1943" s="11"/>
      <c r="G1943" s="11"/>
      <c r="H1943" s="11"/>
      <c r="I1943" s="12"/>
      <c r="J1943" s="12"/>
      <c r="K1943" s="11"/>
      <c r="L1943" s="16"/>
      <c r="M1943" s="16"/>
      <c r="N1943" s="16"/>
      <c r="O1943" s="11"/>
      <c r="P1943" s="11"/>
      <c r="Q1943" s="13"/>
    </row>
    <row r="1944">
      <c r="A1944" s="11"/>
      <c r="B1944" s="11"/>
      <c r="C1944" s="11"/>
      <c r="D1944" s="11"/>
      <c r="E1944" s="11"/>
      <c r="F1944" s="11"/>
      <c r="G1944" s="11"/>
      <c r="H1944" s="11"/>
      <c r="I1944" s="12"/>
      <c r="J1944" s="12"/>
      <c r="K1944" s="11"/>
      <c r="L1944" s="16"/>
      <c r="M1944" s="16"/>
      <c r="N1944" s="16"/>
      <c r="O1944" s="11"/>
      <c r="P1944" s="11"/>
      <c r="Q1944" s="13"/>
    </row>
    <row r="1945">
      <c r="A1945" s="11"/>
      <c r="B1945" s="11"/>
      <c r="C1945" s="11"/>
      <c r="D1945" s="11"/>
      <c r="E1945" s="11"/>
      <c r="F1945" s="11"/>
      <c r="G1945" s="11"/>
      <c r="H1945" s="11"/>
      <c r="I1945" s="12"/>
      <c r="J1945" s="12"/>
      <c r="K1945" s="11"/>
      <c r="L1945" s="16"/>
      <c r="M1945" s="16"/>
      <c r="N1945" s="16"/>
      <c r="O1945" s="11"/>
      <c r="P1945" s="11"/>
      <c r="Q1945" s="13"/>
    </row>
    <row r="1946">
      <c r="A1946" s="11"/>
      <c r="B1946" s="11"/>
      <c r="C1946" s="11"/>
      <c r="D1946" s="11"/>
      <c r="E1946" s="11"/>
      <c r="F1946" s="11"/>
      <c r="G1946" s="11"/>
      <c r="H1946" s="11"/>
      <c r="I1946" s="12"/>
      <c r="J1946" s="12"/>
      <c r="K1946" s="11"/>
      <c r="L1946" s="16"/>
      <c r="M1946" s="16"/>
      <c r="N1946" s="16"/>
      <c r="O1946" s="11"/>
      <c r="P1946" s="11"/>
      <c r="Q1946" s="13"/>
    </row>
    <row r="1947">
      <c r="A1947" s="11"/>
      <c r="B1947" s="11"/>
      <c r="C1947" s="11"/>
      <c r="D1947" s="11"/>
      <c r="E1947" s="11"/>
      <c r="F1947" s="11"/>
      <c r="G1947" s="11"/>
      <c r="H1947" s="11"/>
      <c r="I1947" s="12"/>
      <c r="J1947" s="12"/>
      <c r="K1947" s="11"/>
      <c r="L1947" s="16"/>
      <c r="M1947" s="16"/>
      <c r="N1947" s="16"/>
      <c r="O1947" s="11"/>
      <c r="P1947" s="11"/>
      <c r="Q1947" s="13"/>
    </row>
    <row r="1948">
      <c r="A1948" s="11"/>
      <c r="B1948" s="11"/>
      <c r="C1948" s="11"/>
      <c r="D1948" s="11"/>
      <c r="E1948" s="11"/>
      <c r="F1948" s="11"/>
      <c r="G1948" s="11"/>
      <c r="H1948" s="11"/>
      <c r="I1948" s="12"/>
      <c r="J1948" s="12"/>
      <c r="K1948" s="11"/>
      <c r="L1948" s="16"/>
      <c r="M1948" s="16"/>
      <c r="N1948" s="16"/>
      <c r="O1948" s="11"/>
      <c r="P1948" s="11"/>
      <c r="Q1948" s="13"/>
    </row>
    <row r="1949">
      <c r="A1949" s="11"/>
      <c r="B1949" s="11"/>
      <c r="C1949" s="11"/>
      <c r="D1949" s="11"/>
      <c r="E1949" s="11"/>
      <c r="F1949" s="11"/>
      <c r="G1949" s="11"/>
      <c r="H1949" s="11"/>
      <c r="I1949" s="12"/>
      <c r="J1949" s="12"/>
      <c r="K1949" s="11"/>
      <c r="L1949" s="16"/>
      <c r="M1949" s="16"/>
      <c r="N1949" s="16"/>
      <c r="O1949" s="11"/>
      <c r="P1949" s="11"/>
      <c r="Q1949" s="13"/>
    </row>
    <row r="1950">
      <c r="A1950" s="11"/>
      <c r="B1950" s="11"/>
      <c r="C1950" s="11"/>
      <c r="D1950" s="11"/>
      <c r="E1950" s="11"/>
      <c r="F1950" s="11"/>
      <c r="G1950" s="11"/>
      <c r="H1950" s="11"/>
      <c r="I1950" s="12"/>
      <c r="J1950" s="12"/>
      <c r="K1950" s="11"/>
      <c r="L1950" s="16"/>
      <c r="M1950" s="16"/>
      <c r="N1950" s="16"/>
      <c r="O1950" s="11"/>
      <c r="P1950" s="11"/>
      <c r="Q1950" s="13"/>
    </row>
    <row r="1951">
      <c r="A1951" s="11"/>
      <c r="B1951" s="11"/>
      <c r="C1951" s="11"/>
      <c r="D1951" s="11"/>
      <c r="E1951" s="11"/>
      <c r="F1951" s="11"/>
      <c r="G1951" s="11"/>
      <c r="H1951" s="11"/>
      <c r="I1951" s="12"/>
      <c r="J1951" s="12"/>
      <c r="K1951" s="11"/>
      <c r="L1951" s="16"/>
      <c r="M1951" s="16"/>
      <c r="N1951" s="16"/>
      <c r="O1951" s="11"/>
      <c r="P1951" s="11"/>
      <c r="Q1951" s="13"/>
    </row>
    <row r="1952">
      <c r="A1952" s="11"/>
      <c r="B1952" s="11"/>
      <c r="C1952" s="11"/>
      <c r="D1952" s="11"/>
      <c r="E1952" s="11"/>
      <c r="F1952" s="11"/>
      <c r="G1952" s="11"/>
      <c r="H1952" s="11"/>
      <c r="I1952" s="12"/>
      <c r="J1952" s="12"/>
      <c r="K1952" s="11"/>
      <c r="L1952" s="16"/>
      <c r="M1952" s="16"/>
      <c r="N1952" s="16"/>
      <c r="O1952" s="11"/>
      <c r="P1952" s="11"/>
      <c r="Q1952" s="13"/>
    </row>
    <row r="1953">
      <c r="A1953" s="11"/>
      <c r="B1953" s="11"/>
      <c r="C1953" s="11"/>
      <c r="D1953" s="11"/>
      <c r="E1953" s="11"/>
      <c r="F1953" s="11"/>
      <c r="G1953" s="11"/>
      <c r="H1953" s="11"/>
      <c r="I1953" s="12"/>
      <c r="J1953" s="12"/>
      <c r="K1953" s="11"/>
      <c r="L1953" s="16"/>
      <c r="M1953" s="16"/>
      <c r="N1953" s="16"/>
      <c r="O1953" s="11"/>
      <c r="P1953" s="11"/>
      <c r="Q1953" s="13"/>
    </row>
    <row r="1954">
      <c r="A1954" s="11"/>
      <c r="B1954" s="11"/>
      <c r="C1954" s="11"/>
      <c r="D1954" s="11"/>
      <c r="E1954" s="11"/>
      <c r="F1954" s="11"/>
      <c r="G1954" s="11"/>
      <c r="H1954" s="11"/>
      <c r="I1954" s="12"/>
      <c r="J1954" s="12"/>
      <c r="K1954" s="11"/>
      <c r="L1954" s="16"/>
      <c r="M1954" s="16"/>
      <c r="N1954" s="16"/>
      <c r="O1954" s="11"/>
      <c r="P1954" s="11"/>
      <c r="Q1954" s="13"/>
    </row>
    <row r="1955">
      <c r="A1955" s="11"/>
      <c r="B1955" s="11"/>
      <c r="C1955" s="11"/>
      <c r="D1955" s="11"/>
      <c r="E1955" s="11"/>
      <c r="F1955" s="11"/>
      <c r="G1955" s="11"/>
      <c r="H1955" s="11"/>
      <c r="I1955" s="12"/>
      <c r="J1955" s="12"/>
      <c r="K1955" s="11"/>
      <c r="L1955" s="16"/>
      <c r="M1955" s="16"/>
      <c r="N1955" s="16"/>
      <c r="O1955" s="11"/>
      <c r="P1955" s="11"/>
      <c r="Q1955" s="13"/>
    </row>
    <row r="1956">
      <c r="A1956" s="11"/>
      <c r="B1956" s="11"/>
      <c r="C1956" s="11"/>
      <c r="D1956" s="11"/>
      <c r="E1956" s="11"/>
      <c r="F1956" s="11"/>
      <c r="G1956" s="11"/>
      <c r="H1956" s="11"/>
      <c r="I1956" s="12"/>
      <c r="J1956" s="12"/>
      <c r="K1956" s="11"/>
      <c r="L1956" s="16"/>
      <c r="M1956" s="16"/>
      <c r="N1956" s="16"/>
      <c r="O1956" s="11"/>
      <c r="P1956" s="11"/>
      <c r="Q1956" s="13"/>
    </row>
    <row r="1957">
      <c r="A1957" s="11"/>
      <c r="B1957" s="11"/>
      <c r="C1957" s="11"/>
      <c r="D1957" s="11"/>
      <c r="E1957" s="11"/>
      <c r="F1957" s="11"/>
      <c r="G1957" s="11"/>
      <c r="H1957" s="11"/>
      <c r="I1957" s="12"/>
      <c r="J1957" s="12"/>
      <c r="K1957" s="11"/>
      <c r="L1957" s="16"/>
      <c r="M1957" s="16"/>
      <c r="N1957" s="16"/>
      <c r="O1957" s="11"/>
      <c r="P1957" s="11"/>
      <c r="Q1957" s="13"/>
    </row>
    <row r="1958">
      <c r="A1958" s="11"/>
      <c r="B1958" s="11"/>
      <c r="C1958" s="11"/>
      <c r="D1958" s="11"/>
      <c r="E1958" s="11"/>
      <c r="F1958" s="11"/>
      <c r="G1958" s="11"/>
      <c r="H1958" s="11"/>
      <c r="I1958" s="12"/>
      <c r="J1958" s="12"/>
      <c r="K1958" s="11"/>
      <c r="L1958" s="16"/>
      <c r="M1958" s="16"/>
      <c r="N1958" s="16"/>
      <c r="O1958" s="11"/>
      <c r="P1958" s="11"/>
      <c r="Q1958" s="13"/>
    </row>
    <row r="1959">
      <c r="A1959" s="11"/>
      <c r="B1959" s="11"/>
      <c r="C1959" s="11"/>
      <c r="D1959" s="11"/>
      <c r="E1959" s="11"/>
      <c r="F1959" s="11"/>
      <c r="G1959" s="11"/>
      <c r="H1959" s="11"/>
      <c r="I1959" s="12"/>
      <c r="J1959" s="12"/>
      <c r="K1959" s="11"/>
      <c r="L1959" s="16"/>
      <c r="M1959" s="16"/>
      <c r="N1959" s="16"/>
      <c r="O1959" s="11"/>
      <c r="P1959" s="11"/>
      <c r="Q1959" s="13"/>
    </row>
    <row r="1960">
      <c r="A1960" s="11"/>
      <c r="B1960" s="11"/>
      <c r="C1960" s="11"/>
      <c r="D1960" s="11"/>
      <c r="E1960" s="11"/>
      <c r="F1960" s="11"/>
      <c r="G1960" s="11"/>
      <c r="H1960" s="11"/>
      <c r="I1960" s="12"/>
      <c r="J1960" s="12"/>
      <c r="K1960" s="11"/>
      <c r="L1960" s="16"/>
      <c r="M1960" s="16"/>
      <c r="N1960" s="16"/>
      <c r="O1960" s="11"/>
      <c r="P1960" s="11"/>
      <c r="Q1960" s="13"/>
    </row>
    <row r="1961">
      <c r="A1961" s="11"/>
      <c r="B1961" s="11"/>
      <c r="C1961" s="11"/>
      <c r="D1961" s="11"/>
      <c r="E1961" s="11"/>
      <c r="F1961" s="11"/>
      <c r="G1961" s="11"/>
      <c r="H1961" s="11"/>
      <c r="I1961" s="12"/>
      <c r="J1961" s="12"/>
      <c r="K1961" s="11"/>
      <c r="L1961" s="16"/>
      <c r="M1961" s="16"/>
      <c r="N1961" s="16"/>
      <c r="O1961" s="11"/>
      <c r="P1961" s="11"/>
      <c r="Q1961" s="13"/>
    </row>
    <row r="1962">
      <c r="A1962" s="11"/>
      <c r="B1962" s="11"/>
      <c r="C1962" s="11"/>
      <c r="D1962" s="11"/>
      <c r="E1962" s="11"/>
      <c r="F1962" s="11"/>
      <c r="G1962" s="11"/>
      <c r="H1962" s="11"/>
      <c r="I1962" s="12"/>
      <c r="J1962" s="12"/>
      <c r="K1962" s="11"/>
      <c r="L1962" s="16"/>
      <c r="M1962" s="16"/>
      <c r="N1962" s="16"/>
      <c r="O1962" s="11"/>
      <c r="P1962" s="11"/>
      <c r="Q1962" s="13"/>
    </row>
    <row r="1963">
      <c r="A1963" s="11"/>
      <c r="B1963" s="11"/>
      <c r="C1963" s="11"/>
      <c r="D1963" s="11"/>
      <c r="E1963" s="11"/>
      <c r="F1963" s="11"/>
      <c r="G1963" s="11"/>
      <c r="H1963" s="11"/>
      <c r="I1963" s="12"/>
      <c r="J1963" s="12"/>
      <c r="K1963" s="11"/>
      <c r="L1963" s="16"/>
      <c r="M1963" s="16"/>
      <c r="N1963" s="16"/>
      <c r="O1963" s="11"/>
      <c r="P1963" s="11"/>
      <c r="Q1963" s="13"/>
    </row>
    <row r="1964">
      <c r="A1964" s="11"/>
      <c r="B1964" s="11"/>
      <c r="C1964" s="11"/>
      <c r="D1964" s="11"/>
      <c r="E1964" s="11"/>
      <c r="F1964" s="11"/>
      <c r="G1964" s="11"/>
      <c r="H1964" s="11"/>
      <c r="I1964" s="12"/>
      <c r="J1964" s="12"/>
      <c r="K1964" s="11"/>
      <c r="L1964" s="16"/>
      <c r="M1964" s="16"/>
      <c r="N1964" s="16"/>
      <c r="O1964" s="11"/>
      <c r="P1964" s="11"/>
      <c r="Q1964" s="13"/>
    </row>
    <row r="1965">
      <c r="A1965" s="11"/>
      <c r="B1965" s="11"/>
      <c r="C1965" s="11"/>
      <c r="D1965" s="11"/>
      <c r="E1965" s="11"/>
      <c r="F1965" s="11"/>
      <c r="G1965" s="11"/>
      <c r="H1965" s="11"/>
      <c r="I1965" s="12"/>
      <c r="J1965" s="12"/>
      <c r="K1965" s="11"/>
      <c r="L1965" s="16"/>
      <c r="M1965" s="16"/>
      <c r="N1965" s="16"/>
      <c r="O1965" s="11"/>
      <c r="P1965" s="11"/>
      <c r="Q1965" s="13"/>
    </row>
    <row r="1966">
      <c r="A1966" s="11"/>
      <c r="B1966" s="11"/>
      <c r="C1966" s="11"/>
      <c r="D1966" s="11"/>
      <c r="E1966" s="11"/>
      <c r="F1966" s="11"/>
      <c r="G1966" s="11"/>
      <c r="H1966" s="11"/>
      <c r="I1966" s="12"/>
      <c r="J1966" s="12"/>
      <c r="K1966" s="11"/>
      <c r="L1966" s="16"/>
      <c r="M1966" s="16"/>
      <c r="N1966" s="16"/>
      <c r="O1966" s="11"/>
      <c r="P1966" s="11"/>
      <c r="Q1966" s="13"/>
    </row>
    <row r="1967">
      <c r="A1967" s="11"/>
      <c r="B1967" s="11"/>
      <c r="C1967" s="11"/>
      <c r="D1967" s="11"/>
      <c r="E1967" s="11"/>
      <c r="F1967" s="11"/>
      <c r="G1967" s="11"/>
      <c r="H1967" s="11"/>
      <c r="I1967" s="12"/>
      <c r="J1967" s="12"/>
      <c r="K1967" s="11"/>
      <c r="L1967" s="16"/>
      <c r="M1967" s="16"/>
      <c r="N1967" s="16"/>
      <c r="O1967" s="11"/>
      <c r="P1967" s="11"/>
      <c r="Q1967" s="13"/>
    </row>
    <row r="1968">
      <c r="A1968" s="11"/>
      <c r="B1968" s="11"/>
      <c r="C1968" s="11"/>
      <c r="D1968" s="11"/>
      <c r="E1968" s="11"/>
      <c r="F1968" s="11"/>
      <c r="G1968" s="11"/>
      <c r="H1968" s="11"/>
      <c r="I1968" s="12"/>
      <c r="J1968" s="12"/>
      <c r="K1968" s="11"/>
      <c r="L1968" s="16"/>
      <c r="M1968" s="16"/>
      <c r="N1968" s="16"/>
      <c r="O1968" s="11"/>
      <c r="P1968" s="11"/>
      <c r="Q1968" s="13"/>
    </row>
    <row r="1969">
      <c r="A1969" s="11"/>
      <c r="B1969" s="11"/>
      <c r="C1969" s="11"/>
      <c r="D1969" s="11"/>
      <c r="E1969" s="11"/>
      <c r="F1969" s="11"/>
      <c r="G1969" s="11"/>
      <c r="H1969" s="11"/>
      <c r="I1969" s="12"/>
      <c r="J1969" s="12"/>
      <c r="K1969" s="11"/>
      <c r="L1969" s="16"/>
      <c r="M1969" s="16"/>
      <c r="N1969" s="16"/>
      <c r="O1969" s="11"/>
      <c r="P1969" s="11"/>
      <c r="Q1969" s="13"/>
    </row>
    <row r="1970">
      <c r="A1970" s="11"/>
      <c r="B1970" s="11"/>
      <c r="C1970" s="11"/>
      <c r="D1970" s="11"/>
      <c r="E1970" s="11"/>
      <c r="F1970" s="11"/>
      <c r="G1970" s="11"/>
      <c r="H1970" s="11"/>
      <c r="I1970" s="12"/>
      <c r="J1970" s="12"/>
      <c r="K1970" s="11"/>
      <c r="L1970" s="16"/>
      <c r="M1970" s="16"/>
      <c r="N1970" s="16"/>
      <c r="O1970" s="11"/>
      <c r="P1970" s="11"/>
      <c r="Q1970" s="13"/>
    </row>
    <row r="1971">
      <c r="A1971" s="11"/>
      <c r="B1971" s="11"/>
      <c r="C1971" s="11"/>
      <c r="D1971" s="11"/>
      <c r="E1971" s="11"/>
      <c r="F1971" s="11"/>
      <c r="G1971" s="11"/>
      <c r="H1971" s="11"/>
      <c r="I1971" s="12"/>
      <c r="J1971" s="12"/>
      <c r="K1971" s="11"/>
      <c r="L1971" s="16"/>
      <c r="M1971" s="16"/>
      <c r="N1971" s="16"/>
      <c r="O1971" s="11"/>
      <c r="P1971" s="11"/>
      <c r="Q1971" s="13"/>
    </row>
    <row r="1972">
      <c r="A1972" s="11"/>
      <c r="B1972" s="11"/>
      <c r="C1972" s="11"/>
      <c r="D1972" s="11"/>
      <c r="E1972" s="11"/>
      <c r="F1972" s="11"/>
      <c r="G1972" s="11"/>
      <c r="H1972" s="11"/>
      <c r="I1972" s="12"/>
      <c r="J1972" s="12"/>
      <c r="K1972" s="11"/>
      <c r="L1972" s="16"/>
      <c r="M1972" s="16"/>
      <c r="N1972" s="16"/>
      <c r="O1972" s="11"/>
      <c r="P1972" s="11"/>
      <c r="Q1972" s="13"/>
    </row>
    <row r="1973">
      <c r="A1973" s="11"/>
      <c r="B1973" s="11"/>
      <c r="C1973" s="11"/>
      <c r="D1973" s="11"/>
      <c r="E1973" s="11"/>
      <c r="F1973" s="11"/>
      <c r="G1973" s="11"/>
      <c r="H1973" s="11"/>
      <c r="I1973" s="12"/>
      <c r="J1973" s="12"/>
      <c r="K1973" s="11"/>
      <c r="L1973" s="16"/>
      <c r="M1973" s="16"/>
      <c r="N1973" s="16"/>
      <c r="O1973" s="11"/>
      <c r="P1973" s="11"/>
      <c r="Q1973" s="13"/>
    </row>
    <row r="1974">
      <c r="A1974" s="11"/>
      <c r="B1974" s="11"/>
      <c r="C1974" s="11"/>
      <c r="D1974" s="11"/>
      <c r="E1974" s="11"/>
      <c r="F1974" s="11"/>
      <c r="G1974" s="11"/>
      <c r="H1974" s="11"/>
      <c r="I1974" s="12"/>
      <c r="J1974" s="12"/>
      <c r="K1974" s="11"/>
      <c r="L1974" s="16"/>
      <c r="M1974" s="16"/>
      <c r="N1974" s="16"/>
      <c r="O1974" s="11"/>
      <c r="P1974" s="11"/>
      <c r="Q1974" s="13"/>
    </row>
    <row r="1975">
      <c r="A1975" s="11"/>
      <c r="B1975" s="11"/>
      <c r="C1975" s="11"/>
      <c r="D1975" s="11"/>
      <c r="E1975" s="11"/>
      <c r="F1975" s="11"/>
      <c r="G1975" s="11"/>
      <c r="H1975" s="11"/>
      <c r="I1975" s="12"/>
      <c r="J1975" s="12"/>
      <c r="K1975" s="11"/>
      <c r="L1975" s="16"/>
      <c r="M1975" s="16"/>
      <c r="N1975" s="16"/>
      <c r="O1975" s="11"/>
      <c r="P1975" s="11"/>
      <c r="Q1975" s="13"/>
    </row>
    <row r="1976">
      <c r="A1976" s="11"/>
      <c r="B1976" s="11"/>
      <c r="C1976" s="11"/>
      <c r="D1976" s="11"/>
      <c r="E1976" s="11"/>
      <c r="F1976" s="11"/>
      <c r="G1976" s="11"/>
      <c r="H1976" s="11"/>
      <c r="I1976" s="12"/>
      <c r="J1976" s="12"/>
      <c r="K1976" s="11"/>
      <c r="L1976" s="16"/>
      <c r="M1976" s="16"/>
      <c r="N1976" s="16"/>
      <c r="O1976" s="11"/>
      <c r="P1976" s="11"/>
      <c r="Q1976" s="13"/>
    </row>
    <row r="1977">
      <c r="A1977" s="11"/>
      <c r="B1977" s="11"/>
      <c r="C1977" s="11"/>
      <c r="D1977" s="11"/>
      <c r="E1977" s="11"/>
      <c r="F1977" s="11"/>
      <c r="G1977" s="11"/>
      <c r="H1977" s="11"/>
      <c r="I1977" s="12"/>
      <c r="J1977" s="12"/>
      <c r="K1977" s="11"/>
      <c r="L1977" s="16"/>
      <c r="M1977" s="16"/>
      <c r="N1977" s="16"/>
      <c r="O1977" s="11"/>
      <c r="P1977" s="11"/>
      <c r="Q1977" s="13"/>
    </row>
    <row r="1978">
      <c r="A1978" s="11"/>
      <c r="B1978" s="11"/>
      <c r="C1978" s="11"/>
      <c r="D1978" s="11"/>
      <c r="E1978" s="11"/>
      <c r="F1978" s="11"/>
      <c r="G1978" s="11"/>
      <c r="H1978" s="11"/>
      <c r="I1978" s="12"/>
      <c r="J1978" s="12"/>
      <c r="K1978" s="11"/>
      <c r="L1978" s="16"/>
      <c r="M1978" s="16"/>
      <c r="N1978" s="16"/>
      <c r="O1978" s="11"/>
      <c r="P1978" s="11"/>
      <c r="Q1978" s="13"/>
    </row>
    <row r="1979">
      <c r="A1979" s="11"/>
      <c r="B1979" s="11"/>
      <c r="C1979" s="11"/>
      <c r="D1979" s="11"/>
      <c r="E1979" s="11"/>
      <c r="F1979" s="11"/>
      <c r="G1979" s="11"/>
      <c r="H1979" s="11"/>
      <c r="I1979" s="12"/>
      <c r="J1979" s="12"/>
      <c r="K1979" s="11"/>
      <c r="L1979" s="16"/>
      <c r="M1979" s="16"/>
      <c r="N1979" s="16"/>
      <c r="O1979" s="11"/>
      <c r="P1979" s="11"/>
      <c r="Q1979" s="13"/>
    </row>
    <row r="1980">
      <c r="A1980" s="11"/>
      <c r="B1980" s="11"/>
      <c r="C1980" s="11"/>
      <c r="D1980" s="11"/>
      <c r="E1980" s="11"/>
      <c r="F1980" s="11"/>
      <c r="G1980" s="11"/>
      <c r="H1980" s="11"/>
      <c r="I1980" s="12"/>
      <c r="J1980" s="12"/>
      <c r="K1980" s="11"/>
      <c r="L1980" s="16"/>
      <c r="M1980" s="16"/>
      <c r="N1980" s="16"/>
      <c r="O1980" s="11"/>
      <c r="P1980" s="11"/>
      <c r="Q1980" s="13"/>
    </row>
    <row r="1981">
      <c r="A1981" s="11"/>
      <c r="B1981" s="11"/>
      <c r="C1981" s="11"/>
      <c r="D1981" s="11"/>
      <c r="E1981" s="11"/>
      <c r="F1981" s="11"/>
      <c r="G1981" s="11"/>
      <c r="H1981" s="11"/>
      <c r="I1981" s="12"/>
      <c r="J1981" s="12"/>
      <c r="K1981" s="11"/>
      <c r="L1981" s="16"/>
      <c r="M1981" s="16"/>
      <c r="N1981" s="16"/>
      <c r="O1981" s="11"/>
      <c r="P1981" s="11"/>
      <c r="Q1981" s="13"/>
    </row>
    <row r="1982">
      <c r="A1982" s="11"/>
      <c r="B1982" s="11"/>
      <c r="C1982" s="11"/>
      <c r="D1982" s="11"/>
      <c r="E1982" s="11"/>
      <c r="F1982" s="11"/>
      <c r="G1982" s="11"/>
      <c r="H1982" s="11"/>
      <c r="I1982" s="12"/>
      <c r="J1982" s="12"/>
      <c r="K1982" s="11"/>
      <c r="L1982" s="16"/>
      <c r="M1982" s="16"/>
      <c r="N1982" s="16"/>
      <c r="O1982" s="11"/>
      <c r="P1982" s="11"/>
      <c r="Q1982" s="13"/>
    </row>
    <row r="1983">
      <c r="A1983" s="11"/>
      <c r="B1983" s="11"/>
      <c r="C1983" s="11"/>
      <c r="D1983" s="11"/>
      <c r="E1983" s="11"/>
      <c r="F1983" s="11"/>
      <c r="G1983" s="11"/>
      <c r="H1983" s="11"/>
      <c r="I1983" s="12"/>
      <c r="J1983" s="12"/>
      <c r="K1983" s="11"/>
      <c r="L1983" s="16"/>
      <c r="M1983" s="16"/>
      <c r="N1983" s="16"/>
      <c r="O1983" s="11"/>
      <c r="P1983" s="11"/>
      <c r="Q1983" s="13"/>
    </row>
    <row r="1984">
      <c r="A1984" s="11"/>
      <c r="B1984" s="11"/>
      <c r="C1984" s="11"/>
      <c r="D1984" s="11"/>
      <c r="E1984" s="11"/>
      <c r="F1984" s="11"/>
      <c r="G1984" s="11"/>
      <c r="H1984" s="11"/>
      <c r="I1984" s="12"/>
      <c r="J1984" s="12"/>
      <c r="K1984" s="11"/>
      <c r="L1984" s="16"/>
      <c r="M1984" s="16"/>
      <c r="N1984" s="16"/>
      <c r="O1984" s="11"/>
      <c r="P1984" s="11"/>
      <c r="Q1984" s="13"/>
    </row>
    <row r="1985">
      <c r="A1985" s="11"/>
      <c r="B1985" s="11"/>
      <c r="C1985" s="11"/>
      <c r="D1985" s="11"/>
      <c r="E1985" s="11"/>
      <c r="F1985" s="11"/>
      <c r="G1985" s="11"/>
      <c r="H1985" s="11"/>
      <c r="I1985" s="12"/>
      <c r="J1985" s="12"/>
      <c r="K1985" s="11"/>
      <c r="L1985" s="16"/>
      <c r="M1985" s="16"/>
      <c r="N1985" s="16"/>
      <c r="O1985" s="11"/>
      <c r="P1985" s="11"/>
      <c r="Q1985" s="13"/>
    </row>
    <row r="1986">
      <c r="A1986" s="11"/>
      <c r="B1986" s="11"/>
      <c r="C1986" s="11"/>
      <c r="D1986" s="11"/>
      <c r="E1986" s="11"/>
      <c r="F1986" s="11"/>
      <c r="G1986" s="11"/>
      <c r="H1986" s="11"/>
      <c r="I1986" s="12"/>
      <c r="J1986" s="12"/>
      <c r="K1986" s="11"/>
      <c r="L1986" s="16"/>
      <c r="M1986" s="16"/>
      <c r="N1986" s="16"/>
      <c r="O1986" s="11"/>
      <c r="P1986" s="11"/>
      <c r="Q1986" s="13"/>
    </row>
    <row r="1987">
      <c r="A1987" s="11"/>
      <c r="B1987" s="11"/>
      <c r="C1987" s="11"/>
      <c r="D1987" s="11"/>
      <c r="E1987" s="11"/>
      <c r="F1987" s="11"/>
      <c r="G1987" s="11"/>
      <c r="H1987" s="11"/>
      <c r="I1987" s="12"/>
      <c r="J1987" s="12"/>
      <c r="K1987" s="11"/>
      <c r="L1987" s="16"/>
      <c r="M1987" s="16"/>
      <c r="N1987" s="16"/>
      <c r="O1987" s="11"/>
      <c r="P1987" s="11"/>
      <c r="Q1987" s="13"/>
    </row>
    <row r="1988">
      <c r="A1988" s="11"/>
      <c r="B1988" s="11"/>
      <c r="C1988" s="11"/>
      <c r="D1988" s="11"/>
      <c r="E1988" s="11"/>
      <c r="F1988" s="11"/>
      <c r="G1988" s="11"/>
      <c r="H1988" s="11"/>
      <c r="I1988" s="12"/>
      <c r="J1988" s="12"/>
      <c r="K1988" s="11"/>
      <c r="L1988" s="16"/>
      <c r="M1988" s="16"/>
      <c r="N1988" s="16"/>
      <c r="O1988" s="11"/>
      <c r="P1988" s="11"/>
      <c r="Q1988" s="13"/>
    </row>
    <row r="1989">
      <c r="A1989" s="11"/>
      <c r="B1989" s="11"/>
      <c r="C1989" s="11"/>
      <c r="D1989" s="11"/>
      <c r="E1989" s="11"/>
      <c r="F1989" s="11"/>
      <c r="G1989" s="11"/>
      <c r="H1989" s="11"/>
      <c r="I1989" s="12"/>
      <c r="J1989" s="12"/>
      <c r="K1989" s="11"/>
      <c r="L1989" s="16"/>
      <c r="M1989" s="16"/>
      <c r="N1989" s="16"/>
      <c r="O1989" s="11"/>
      <c r="P1989" s="11"/>
      <c r="Q1989" s="13"/>
    </row>
    <row r="1990">
      <c r="A1990" s="11"/>
      <c r="B1990" s="11"/>
      <c r="C1990" s="11"/>
      <c r="D1990" s="11"/>
      <c r="E1990" s="11"/>
      <c r="F1990" s="11"/>
      <c r="G1990" s="11"/>
      <c r="H1990" s="11"/>
      <c r="I1990" s="12"/>
      <c r="J1990" s="12"/>
      <c r="K1990" s="11"/>
      <c r="L1990" s="16"/>
      <c r="M1990" s="16"/>
      <c r="N1990" s="16"/>
      <c r="O1990" s="11"/>
      <c r="P1990" s="11"/>
      <c r="Q1990" s="13"/>
    </row>
    <row r="1991">
      <c r="A1991" s="11"/>
      <c r="B1991" s="11"/>
      <c r="C1991" s="11"/>
      <c r="D1991" s="11"/>
      <c r="E1991" s="11"/>
      <c r="F1991" s="11"/>
      <c r="G1991" s="11"/>
      <c r="H1991" s="11"/>
      <c r="I1991" s="12"/>
      <c r="J1991" s="12"/>
      <c r="K1991" s="11"/>
      <c r="L1991" s="16"/>
      <c r="M1991" s="16"/>
      <c r="N1991" s="16"/>
      <c r="O1991" s="11"/>
      <c r="P1991" s="11"/>
      <c r="Q1991" s="13"/>
    </row>
    <row r="1992">
      <c r="A1992" s="11"/>
      <c r="B1992" s="11"/>
      <c r="C1992" s="11"/>
      <c r="D1992" s="11"/>
      <c r="E1992" s="11"/>
      <c r="F1992" s="11"/>
      <c r="G1992" s="11"/>
      <c r="H1992" s="11"/>
      <c r="I1992" s="12"/>
      <c r="J1992" s="12"/>
      <c r="K1992" s="11"/>
      <c r="L1992" s="16"/>
      <c r="M1992" s="16"/>
      <c r="N1992" s="16"/>
      <c r="O1992" s="11"/>
      <c r="P1992" s="11"/>
      <c r="Q1992" s="13"/>
    </row>
    <row r="1993">
      <c r="A1993" s="11"/>
      <c r="B1993" s="11"/>
      <c r="C1993" s="11"/>
      <c r="D1993" s="11"/>
      <c r="E1993" s="11"/>
      <c r="F1993" s="11"/>
      <c r="G1993" s="11"/>
      <c r="H1993" s="11"/>
      <c r="I1993" s="12"/>
      <c r="J1993" s="12"/>
      <c r="K1993" s="11"/>
      <c r="L1993" s="16"/>
      <c r="M1993" s="16"/>
      <c r="N1993" s="16"/>
      <c r="O1993" s="11"/>
      <c r="P1993" s="11"/>
      <c r="Q1993" s="13"/>
    </row>
    <row r="1994">
      <c r="A1994" s="11"/>
      <c r="B1994" s="11"/>
      <c r="C1994" s="11"/>
      <c r="D1994" s="11"/>
      <c r="E1994" s="11"/>
      <c r="F1994" s="11"/>
      <c r="G1994" s="11"/>
      <c r="H1994" s="11"/>
      <c r="I1994" s="12"/>
      <c r="J1994" s="12"/>
      <c r="K1994" s="11"/>
      <c r="L1994" s="16"/>
      <c r="M1994" s="16"/>
      <c r="N1994" s="16"/>
      <c r="O1994" s="11"/>
      <c r="P1994" s="11"/>
      <c r="Q1994" s="13"/>
    </row>
    <row r="1995">
      <c r="A1995" s="11"/>
      <c r="B1995" s="11"/>
      <c r="C1995" s="11"/>
      <c r="D1995" s="11"/>
      <c r="E1995" s="11"/>
      <c r="F1995" s="11"/>
      <c r="G1995" s="11"/>
      <c r="H1995" s="11"/>
      <c r="I1995" s="12"/>
      <c r="J1995" s="12"/>
      <c r="K1995" s="11"/>
      <c r="L1995" s="16"/>
      <c r="M1995" s="16"/>
      <c r="N1995" s="16"/>
      <c r="O1995" s="11"/>
      <c r="P1995" s="11"/>
      <c r="Q1995" s="13"/>
    </row>
    <row r="1996">
      <c r="A1996" s="11"/>
      <c r="B1996" s="11"/>
      <c r="C1996" s="11"/>
      <c r="D1996" s="11"/>
      <c r="E1996" s="11"/>
      <c r="F1996" s="11"/>
      <c r="G1996" s="11"/>
      <c r="H1996" s="11"/>
      <c r="I1996" s="12"/>
      <c r="J1996" s="12"/>
      <c r="K1996" s="11"/>
      <c r="L1996" s="16"/>
      <c r="M1996" s="16"/>
      <c r="N1996" s="16"/>
      <c r="O1996" s="11"/>
      <c r="P1996" s="11"/>
      <c r="Q1996" s="13"/>
    </row>
    <row r="1997">
      <c r="A1997" s="11"/>
      <c r="B1997" s="11"/>
      <c r="C1997" s="11"/>
      <c r="D1997" s="11"/>
      <c r="E1997" s="11"/>
      <c r="F1997" s="11"/>
      <c r="G1997" s="11"/>
      <c r="H1997" s="11"/>
      <c r="I1997" s="12"/>
      <c r="J1997" s="12"/>
      <c r="K1997" s="11"/>
      <c r="L1997" s="16"/>
      <c r="M1997" s="16"/>
      <c r="N1997" s="16"/>
      <c r="O1997" s="11"/>
      <c r="P1997" s="11"/>
      <c r="Q1997" s="13"/>
    </row>
    <row r="1998">
      <c r="A1998" s="11"/>
      <c r="B1998" s="11"/>
      <c r="C1998" s="11"/>
      <c r="D1998" s="11"/>
      <c r="E1998" s="11"/>
      <c r="F1998" s="11"/>
      <c r="G1998" s="11"/>
      <c r="H1998" s="11"/>
      <c r="I1998" s="12"/>
      <c r="J1998" s="12"/>
      <c r="K1998" s="11"/>
      <c r="L1998" s="16"/>
      <c r="M1998" s="16"/>
      <c r="N1998" s="16"/>
      <c r="O1998" s="11"/>
      <c r="P1998" s="11"/>
      <c r="Q1998" s="13"/>
    </row>
    <row r="1999">
      <c r="A1999" s="11"/>
      <c r="B1999" s="11"/>
      <c r="C1999" s="11"/>
      <c r="D1999" s="11"/>
      <c r="E1999" s="11"/>
      <c r="F1999" s="11"/>
      <c r="G1999" s="11"/>
      <c r="H1999" s="11"/>
      <c r="I1999" s="12"/>
      <c r="J1999" s="12"/>
      <c r="K1999" s="11"/>
      <c r="L1999" s="16"/>
      <c r="M1999" s="16"/>
      <c r="N1999" s="16"/>
      <c r="O1999" s="11"/>
      <c r="P1999" s="11"/>
      <c r="Q1999" s="13"/>
    </row>
    <row r="2000">
      <c r="A2000" s="11"/>
      <c r="B2000" s="11"/>
      <c r="C2000" s="11"/>
      <c r="D2000" s="11"/>
      <c r="E2000" s="11"/>
      <c r="F2000" s="11"/>
      <c r="G2000" s="11"/>
      <c r="H2000" s="11"/>
      <c r="I2000" s="12"/>
      <c r="J2000" s="12"/>
      <c r="K2000" s="11"/>
      <c r="L2000" s="16"/>
      <c r="M2000" s="16"/>
      <c r="N2000" s="16"/>
      <c r="O2000" s="11"/>
      <c r="P2000" s="11"/>
      <c r="Q2000" s="13"/>
    </row>
    <row r="2001">
      <c r="A2001" s="11"/>
      <c r="B2001" s="11"/>
      <c r="C2001" s="11"/>
      <c r="D2001" s="11"/>
      <c r="E2001" s="11"/>
      <c r="F2001" s="11"/>
      <c r="G2001" s="11"/>
      <c r="H2001" s="11"/>
      <c r="I2001" s="12"/>
      <c r="J2001" s="12"/>
      <c r="K2001" s="11"/>
      <c r="L2001" s="16"/>
      <c r="M2001" s="16"/>
      <c r="N2001" s="16"/>
      <c r="O2001" s="11"/>
      <c r="P2001" s="11"/>
      <c r="Q2001" s="13"/>
    </row>
    <row r="2002">
      <c r="A2002" s="11"/>
      <c r="B2002" s="11"/>
      <c r="C2002" s="11"/>
      <c r="D2002" s="11"/>
      <c r="E2002" s="11"/>
      <c r="F2002" s="11"/>
      <c r="G2002" s="11"/>
      <c r="H2002" s="11"/>
      <c r="I2002" s="12"/>
      <c r="J2002" s="12"/>
      <c r="K2002" s="11"/>
      <c r="L2002" s="16"/>
      <c r="M2002" s="16"/>
      <c r="N2002" s="16"/>
      <c r="O2002" s="11"/>
      <c r="P2002" s="11"/>
      <c r="Q2002" s="13"/>
    </row>
    <row r="2003">
      <c r="A2003" s="11"/>
      <c r="B2003" s="11"/>
      <c r="C2003" s="11"/>
      <c r="D2003" s="11"/>
      <c r="E2003" s="11"/>
      <c r="F2003" s="11"/>
      <c r="G2003" s="11"/>
      <c r="H2003" s="11"/>
      <c r="I2003" s="12"/>
      <c r="J2003" s="12"/>
      <c r="K2003" s="11"/>
      <c r="L2003" s="16"/>
      <c r="M2003" s="16"/>
      <c r="N2003" s="16"/>
      <c r="O2003" s="11"/>
      <c r="P2003" s="11"/>
      <c r="Q2003" s="13"/>
    </row>
    <row r="2004">
      <c r="A2004" s="11"/>
      <c r="B2004" s="11"/>
      <c r="C2004" s="11"/>
      <c r="D2004" s="11"/>
      <c r="E2004" s="11"/>
      <c r="F2004" s="11"/>
      <c r="G2004" s="11"/>
      <c r="H2004" s="11"/>
      <c r="I2004" s="12"/>
      <c r="J2004" s="12"/>
      <c r="K2004" s="11"/>
      <c r="L2004" s="16"/>
      <c r="M2004" s="16"/>
      <c r="N2004" s="16"/>
      <c r="O2004" s="11"/>
      <c r="P2004" s="11"/>
      <c r="Q2004" s="13"/>
    </row>
    <row r="2005">
      <c r="A2005" s="11"/>
      <c r="B2005" s="11"/>
      <c r="C2005" s="11"/>
      <c r="D2005" s="11"/>
      <c r="E2005" s="11"/>
      <c r="F2005" s="11"/>
      <c r="G2005" s="11"/>
      <c r="H2005" s="11"/>
      <c r="I2005" s="12"/>
      <c r="J2005" s="12"/>
      <c r="K2005" s="11"/>
      <c r="L2005" s="16"/>
      <c r="M2005" s="16"/>
      <c r="N2005" s="16"/>
      <c r="O2005" s="11"/>
      <c r="P2005" s="11"/>
      <c r="Q2005" s="13"/>
    </row>
    <row r="2006">
      <c r="A2006" s="11"/>
      <c r="B2006" s="11"/>
      <c r="C2006" s="11"/>
      <c r="D2006" s="11"/>
      <c r="E2006" s="11"/>
      <c r="F2006" s="11"/>
      <c r="G2006" s="11"/>
      <c r="H2006" s="11"/>
      <c r="I2006" s="12"/>
      <c r="J2006" s="12"/>
      <c r="K2006" s="11"/>
      <c r="L2006" s="16"/>
      <c r="M2006" s="16"/>
      <c r="N2006" s="16"/>
      <c r="O2006" s="11"/>
      <c r="P2006" s="11"/>
      <c r="Q2006" s="13"/>
    </row>
    <row r="2007">
      <c r="A2007" s="11"/>
      <c r="B2007" s="11"/>
      <c r="C2007" s="11"/>
      <c r="D2007" s="11"/>
      <c r="E2007" s="11"/>
      <c r="F2007" s="11"/>
      <c r="G2007" s="11"/>
      <c r="H2007" s="11"/>
      <c r="I2007" s="12"/>
      <c r="J2007" s="12"/>
      <c r="K2007" s="11"/>
      <c r="L2007" s="16"/>
      <c r="M2007" s="16"/>
      <c r="N2007" s="16"/>
      <c r="O2007" s="11"/>
      <c r="P2007" s="11"/>
      <c r="Q2007" s="13"/>
    </row>
    <row r="2008">
      <c r="A2008" s="11"/>
      <c r="B2008" s="11"/>
      <c r="C2008" s="11"/>
      <c r="D2008" s="11"/>
      <c r="E2008" s="11"/>
      <c r="F2008" s="11"/>
      <c r="G2008" s="11"/>
      <c r="H2008" s="11"/>
      <c r="I2008" s="12"/>
      <c r="J2008" s="12"/>
      <c r="K2008" s="11"/>
      <c r="L2008" s="16"/>
      <c r="M2008" s="16"/>
      <c r="N2008" s="16"/>
      <c r="O2008" s="11"/>
      <c r="P2008" s="11"/>
      <c r="Q2008" s="13"/>
    </row>
    <row r="2009">
      <c r="A2009" s="11"/>
      <c r="B2009" s="11"/>
      <c r="C2009" s="11"/>
      <c r="D2009" s="11"/>
      <c r="E2009" s="11"/>
      <c r="F2009" s="11"/>
      <c r="G2009" s="11"/>
      <c r="H2009" s="11"/>
      <c r="I2009" s="12"/>
      <c r="J2009" s="12"/>
      <c r="K2009" s="11"/>
      <c r="L2009" s="16"/>
      <c r="M2009" s="16"/>
      <c r="N2009" s="16"/>
      <c r="O2009" s="11"/>
      <c r="P2009" s="11"/>
      <c r="Q2009" s="13"/>
    </row>
    <row r="2010">
      <c r="A2010" s="11"/>
      <c r="B2010" s="11"/>
      <c r="C2010" s="11"/>
      <c r="D2010" s="11"/>
      <c r="E2010" s="11"/>
      <c r="F2010" s="11"/>
      <c r="G2010" s="11"/>
      <c r="H2010" s="11"/>
      <c r="I2010" s="12"/>
      <c r="J2010" s="12"/>
      <c r="K2010" s="11"/>
      <c r="L2010" s="16"/>
      <c r="M2010" s="16"/>
      <c r="N2010" s="16"/>
      <c r="O2010" s="11"/>
      <c r="P2010" s="11"/>
      <c r="Q2010" s="13"/>
    </row>
    <row r="2011">
      <c r="A2011" s="11"/>
      <c r="B2011" s="11"/>
      <c r="C2011" s="11"/>
      <c r="D2011" s="11"/>
      <c r="E2011" s="11"/>
      <c r="F2011" s="11"/>
      <c r="G2011" s="11"/>
      <c r="H2011" s="11"/>
      <c r="I2011" s="12"/>
      <c r="J2011" s="12"/>
      <c r="K2011" s="11"/>
      <c r="L2011" s="16"/>
      <c r="M2011" s="16"/>
      <c r="N2011" s="16"/>
      <c r="O2011" s="11"/>
      <c r="P2011" s="11"/>
      <c r="Q2011" s="13"/>
    </row>
    <row r="2012">
      <c r="A2012" s="11"/>
      <c r="B2012" s="11"/>
      <c r="C2012" s="11"/>
      <c r="D2012" s="11"/>
      <c r="E2012" s="11"/>
      <c r="F2012" s="11"/>
      <c r="G2012" s="11"/>
      <c r="H2012" s="11"/>
      <c r="I2012" s="12"/>
      <c r="J2012" s="12"/>
      <c r="K2012" s="11"/>
      <c r="L2012" s="16"/>
      <c r="M2012" s="16"/>
      <c r="N2012" s="16"/>
      <c r="O2012" s="11"/>
      <c r="P2012" s="11"/>
      <c r="Q2012" s="13"/>
    </row>
    <row r="2013">
      <c r="A2013" s="11"/>
      <c r="B2013" s="11"/>
      <c r="C2013" s="11"/>
      <c r="D2013" s="11"/>
      <c r="E2013" s="11"/>
      <c r="F2013" s="11"/>
      <c r="G2013" s="11"/>
      <c r="H2013" s="11"/>
      <c r="I2013" s="12"/>
      <c r="J2013" s="12"/>
      <c r="K2013" s="11"/>
      <c r="L2013" s="16"/>
      <c r="M2013" s="16"/>
      <c r="N2013" s="16"/>
      <c r="O2013" s="11"/>
      <c r="P2013" s="11"/>
      <c r="Q2013" s="13"/>
    </row>
    <row r="2014">
      <c r="A2014" s="11"/>
      <c r="B2014" s="11"/>
      <c r="C2014" s="11"/>
      <c r="D2014" s="11"/>
      <c r="E2014" s="11"/>
      <c r="F2014" s="11"/>
      <c r="G2014" s="11"/>
      <c r="H2014" s="11"/>
      <c r="I2014" s="12"/>
      <c r="J2014" s="12"/>
      <c r="K2014" s="11"/>
      <c r="L2014" s="16"/>
      <c r="M2014" s="16"/>
      <c r="N2014" s="16"/>
      <c r="O2014" s="11"/>
      <c r="P2014" s="11"/>
      <c r="Q2014" s="13"/>
    </row>
    <row r="2015">
      <c r="A2015" s="11"/>
      <c r="B2015" s="11"/>
      <c r="C2015" s="11"/>
      <c r="D2015" s="11"/>
      <c r="E2015" s="11"/>
      <c r="F2015" s="11"/>
      <c r="G2015" s="11"/>
      <c r="H2015" s="11"/>
      <c r="I2015" s="12"/>
      <c r="J2015" s="12"/>
      <c r="K2015" s="11"/>
      <c r="L2015" s="16"/>
      <c r="M2015" s="16"/>
      <c r="N2015" s="16"/>
      <c r="O2015" s="11"/>
      <c r="P2015" s="11"/>
      <c r="Q2015" s="13"/>
    </row>
    <row r="2016">
      <c r="A2016" s="11"/>
      <c r="B2016" s="11"/>
      <c r="C2016" s="11"/>
      <c r="D2016" s="11"/>
      <c r="E2016" s="11"/>
      <c r="F2016" s="11"/>
      <c r="G2016" s="11"/>
      <c r="H2016" s="11"/>
      <c r="I2016" s="12"/>
      <c r="J2016" s="12"/>
      <c r="K2016" s="11"/>
      <c r="L2016" s="16"/>
      <c r="M2016" s="16"/>
      <c r="N2016" s="16"/>
      <c r="O2016" s="11"/>
      <c r="P2016" s="11"/>
      <c r="Q2016" s="13"/>
    </row>
    <row r="2017">
      <c r="A2017" s="11"/>
      <c r="B2017" s="11"/>
      <c r="C2017" s="11"/>
      <c r="D2017" s="11"/>
      <c r="E2017" s="11"/>
      <c r="F2017" s="11"/>
      <c r="G2017" s="11"/>
      <c r="H2017" s="11"/>
      <c r="I2017" s="12"/>
      <c r="J2017" s="12"/>
      <c r="K2017" s="11"/>
      <c r="L2017" s="16"/>
      <c r="M2017" s="16"/>
      <c r="N2017" s="16"/>
      <c r="O2017" s="11"/>
      <c r="P2017" s="11"/>
      <c r="Q2017" s="13"/>
    </row>
    <row r="2018">
      <c r="A2018" s="11"/>
      <c r="B2018" s="11"/>
      <c r="C2018" s="11"/>
      <c r="D2018" s="11"/>
      <c r="E2018" s="11"/>
      <c r="F2018" s="11"/>
      <c r="G2018" s="11"/>
      <c r="H2018" s="11"/>
      <c r="I2018" s="12"/>
      <c r="J2018" s="12"/>
      <c r="K2018" s="11"/>
      <c r="L2018" s="16"/>
      <c r="M2018" s="16"/>
      <c r="N2018" s="16"/>
      <c r="O2018" s="11"/>
      <c r="P2018" s="11"/>
      <c r="Q2018" s="13"/>
    </row>
    <row r="2019">
      <c r="A2019" s="11"/>
      <c r="B2019" s="11"/>
      <c r="C2019" s="11"/>
      <c r="D2019" s="11"/>
      <c r="E2019" s="11"/>
      <c r="F2019" s="11"/>
      <c r="G2019" s="11"/>
      <c r="H2019" s="11"/>
      <c r="I2019" s="12"/>
      <c r="J2019" s="12"/>
      <c r="K2019" s="11"/>
      <c r="L2019" s="16"/>
      <c r="M2019" s="16"/>
      <c r="N2019" s="16"/>
      <c r="O2019" s="11"/>
      <c r="P2019" s="11"/>
      <c r="Q2019" s="13"/>
    </row>
    <row r="2020">
      <c r="A2020" s="11"/>
      <c r="B2020" s="11"/>
      <c r="C2020" s="11"/>
      <c r="D2020" s="11"/>
      <c r="E2020" s="11"/>
      <c r="F2020" s="11"/>
      <c r="G2020" s="11"/>
      <c r="H2020" s="11"/>
      <c r="I2020" s="12"/>
      <c r="J2020" s="12"/>
      <c r="K2020" s="11"/>
      <c r="L2020" s="16"/>
      <c r="M2020" s="16"/>
      <c r="N2020" s="16"/>
      <c r="O2020" s="11"/>
      <c r="P2020" s="11"/>
      <c r="Q2020" s="13"/>
    </row>
    <row r="2021">
      <c r="A2021" s="11"/>
      <c r="B2021" s="11"/>
      <c r="C2021" s="11"/>
      <c r="D2021" s="11"/>
      <c r="E2021" s="11"/>
      <c r="F2021" s="11"/>
      <c r="G2021" s="11"/>
      <c r="H2021" s="11"/>
      <c r="I2021" s="12"/>
      <c r="J2021" s="12"/>
      <c r="K2021" s="11"/>
      <c r="L2021" s="16"/>
      <c r="M2021" s="16"/>
      <c r="N2021" s="16"/>
      <c r="O2021" s="11"/>
      <c r="P2021" s="11"/>
      <c r="Q2021" s="13"/>
    </row>
    <row r="2022">
      <c r="A2022" s="11"/>
      <c r="B2022" s="11"/>
      <c r="C2022" s="11"/>
      <c r="D2022" s="11"/>
      <c r="E2022" s="11"/>
      <c r="F2022" s="11"/>
      <c r="G2022" s="11"/>
      <c r="H2022" s="11"/>
      <c r="I2022" s="12"/>
      <c r="J2022" s="12"/>
      <c r="K2022" s="11"/>
      <c r="L2022" s="16"/>
      <c r="M2022" s="16"/>
      <c r="N2022" s="16"/>
      <c r="O2022" s="11"/>
      <c r="P2022" s="11"/>
      <c r="Q2022" s="13"/>
    </row>
  </sheetData>
  <autoFilter ref="$A$1:$U$985">
    <filterColumn colId="0">
      <filters>
        <filter val="SA - DMM - Jamiah (2)"/>
      </filters>
    </filterColumn>
  </autoFil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19</v>
      </c>
      <c r="B1" s="17" t="s">
        <v>20</v>
      </c>
      <c r="C1" s="17" t="s">
        <v>21</v>
      </c>
      <c r="D1" s="17" t="s">
        <v>22</v>
      </c>
      <c r="E1" s="17" t="s">
        <v>3</v>
      </c>
      <c r="F1" s="17" t="s">
        <v>23</v>
      </c>
      <c r="G1" s="17" t="s">
        <v>24</v>
      </c>
      <c r="H1" s="17" t="s">
        <v>25</v>
      </c>
      <c r="I1" s="17" t="s">
        <v>2982</v>
      </c>
      <c r="J1" s="17" t="s">
        <v>27</v>
      </c>
      <c r="K1" s="17" t="s">
        <v>28</v>
      </c>
      <c r="L1" s="17" t="s">
        <v>29</v>
      </c>
      <c r="M1" s="17" t="s">
        <v>30</v>
      </c>
      <c r="N1" s="17" t="s">
        <v>31</v>
      </c>
      <c r="O1" s="17" t="s">
        <v>2983</v>
      </c>
      <c r="P1" s="17" t="s">
        <v>2984</v>
      </c>
    </row>
    <row r="2">
      <c r="A2" s="18" t="s">
        <v>2985</v>
      </c>
      <c r="B2" s="18" t="s">
        <v>133</v>
      </c>
      <c r="C2" s="18" t="s">
        <v>2986</v>
      </c>
      <c r="D2" s="18" t="s">
        <v>2987</v>
      </c>
      <c r="F2" s="18">
        <v>14.28</v>
      </c>
      <c r="G2" s="18" t="s">
        <v>56</v>
      </c>
      <c r="H2" s="19">
        <v>3086.0</v>
      </c>
      <c r="I2" s="19">
        <v>3200.0</v>
      </c>
      <c r="J2" s="19">
        <v>3750.0</v>
      </c>
      <c r="N2" s="18" t="s">
        <v>117</v>
      </c>
      <c r="O2" s="18" t="s">
        <v>2988</v>
      </c>
      <c r="P2" s="18" t="s">
        <v>2989</v>
      </c>
    </row>
    <row r="3">
      <c r="A3" s="18" t="s">
        <v>36</v>
      </c>
      <c r="B3" s="18" t="s">
        <v>37</v>
      </c>
      <c r="C3" s="18" t="s">
        <v>38</v>
      </c>
      <c r="D3" s="18" t="s">
        <v>39</v>
      </c>
      <c r="F3" s="18"/>
      <c r="G3" s="18" t="s">
        <v>40</v>
      </c>
      <c r="H3" s="19">
        <v>1666.66</v>
      </c>
      <c r="I3" s="19">
        <v>1666.66</v>
      </c>
      <c r="J3" s="19"/>
      <c r="N3" s="18" t="s">
        <v>41</v>
      </c>
      <c r="O3" s="18"/>
      <c r="P3" s="18"/>
    </row>
    <row r="4">
      <c r="A4" s="18" t="s">
        <v>45</v>
      </c>
      <c r="B4" s="18" t="s">
        <v>45</v>
      </c>
      <c r="C4" s="18" t="s">
        <v>2990</v>
      </c>
      <c r="D4" s="18" t="s">
        <v>2991</v>
      </c>
      <c r="F4" s="18">
        <v>11.16</v>
      </c>
      <c r="G4" s="18" t="s">
        <v>45</v>
      </c>
      <c r="H4" s="19">
        <v>2885.0</v>
      </c>
      <c r="I4" s="19">
        <v>3000.0</v>
      </c>
      <c r="J4" s="19">
        <v>3500.0</v>
      </c>
      <c r="K4" s="18"/>
      <c r="L4" s="18"/>
      <c r="M4" s="18"/>
      <c r="N4" s="18" t="s">
        <v>57</v>
      </c>
      <c r="O4" s="18" t="s">
        <v>2992</v>
      </c>
      <c r="P4" s="18" t="s">
        <v>400</v>
      </c>
    </row>
    <row r="5">
      <c r="A5" s="18" t="s">
        <v>2985</v>
      </c>
      <c r="B5" s="18" t="s">
        <v>45</v>
      </c>
      <c r="C5" s="18" t="s">
        <v>2993</v>
      </c>
      <c r="D5" s="18" t="s">
        <v>2994</v>
      </c>
      <c r="F5" s="18">
        <v>10.11</v>
      </c>
      <c r="G5" s="18" t="s">
        <v>400</v>
      </c>
      <c r="H5" s="19">
        <v>1998.75</v>
      </c>
      <c r="I5" s="19">
        <v>2100.0</v>
      </c>
      <c r="J5" s="19">
        <v>2400.0</v>
      </c>
      <c r="N5" s="18" t="s">
        <v>117</v>
      </c>
      <c r="O5" s="18" t="s">
        <v>2992</v>
      </c>
      <c r="P5" s="18" t="s">
        <v>400</v>
      </c>
    </row>
    <row r="6">
      <c r="A6" s="18" t="s">
        <v>45</v>
      </c>
      <c r="B6" s="18" t="s">
        <v>50</v>
      </c>
      <c r="C6" s="18" t="s">
        <v>51</v>
      </c>
      <c r="D6" s="18" t="s">
        <v>52</v>
      </c>
      <c r="F6" s="18">
        <v>9.12</v>
      </c>
      <c r="G6" s="18" t="s">
        <v>40</v>
      </c>
      <c r="H6" s="19">
        <v>3551.0</v>
      </c>
      <c r="I6" s="19">
        <v>3700.0</v>
      </c>
      <c r="J6" s="19">
        <v>4350.0</v>
      </c>
      <c r="K6" s="18"/>
      <c r="L6" s="18"/>
      <c r="M6" s="18"/>
      <c r="N6" s="18" t="s">
        <v>41</v>
      </c>
      <c r="O6" s="18" t="s">
        <v>2992</v>
      </c>
      <c r="P6" s="18" t="s">
        <v>400</v>
      </c>
    </row>
    <row r="7">
      <c r="A7" s="18" t="s">
        <v>45</v>
      </c>
      <c r="B7" s="18" t="s">
        <v>45</v>
      </c>
      <c r="C7" s="18" t="s">
        <v>2995</v>
      </c>
      <c r="D7" s="18" t="s">
        <v>2996</v>
      </c>
      <c r="F7" s="18">
        <v>11.0</v>
      </c>
      <c r="G7" s="18" t="s">
        <v>45</v>
      </c>
      <c r="H7" s="19">
        <v>3580.0</v>
      </c>
      <c r="I7" s="19">
        <v>3600.0</v>
      </c>
      <c r="J7" s="19">
        <v>4350.0</v>
      </c>
      <c r="N7" s="18" t="s">
        <v>151</v>
      </c>
      <c r="O7" s="18" t="s">
        <v>2992</v>
      </c>
      <c r="P7" s="18" t="s">
        <v>400</v>
      </c>
    </row>
    <row r="8">
      <c r="A8" s="18" t="s">
        <v>45</v>
      </c>
      <c r="B8" s="18" t="s">
        <v>45</v>
      </c>
      <c r="C8" s="18" t="s">
        <v>2997</v>
      </c>
      <c r="D8" s="18" t="s">
        <v>2998</v>
      </c>
      <c r="F8" s="18">
        <v>8.11</v>
      </c>
      <c r="G8" s="18" t="s">
        <v>45</v>
      </c>
      <c r="H8" s="19">
        <v>2600.0</v>
      </c>
      <c r="I8" s="19">
        <v>2500.0</v>
      </c>
      <c r="J8" s="19">
        <v>3000.0</v>
      </c>
      <c r="N8" s="18" t="s">
        <v>57</v>
      </c>
      <c r="O8" s="18" t="s">
        <v>2992</v>
      </c>
      <c r="P8" s="18" t="s">
        <v>400</v>
      </c>
    </row>
    <row r="9">
      <c r="A9" s="18" t="s">
        <v>2985</v>
      </c>
      <c r="B9" s="18" t="s">
        <v>133</v>
      </c>
      <c r="C9" s="18" t="s">
        <v>2999</v>
      </c>
      <c r="D9" s="18" t="s">
        <v>3000</v>
      </c>
      <c r="F9" s="18">
        <v>12.33</v>
      </c>
      <c r="G9" s="18" t="s">
        <v>56</v>
      </c>
      <c r="H9" s="19">
        <v>4650.0</v>
      </c>
      <c r="I9" s="19">
        <v>4800.0</v>
      </c>
      <c r="J9" s="19">
        <v>5400.0</v>
      </c>
      <c r="N9" s="18" t="s">
        <v>41</v>
      </c>
      <c r="O9" s="18" t="s">
        <v>2988</v>
      </c>
      <c r="P9" s="18" t="s">
        <v>2989</v>
      </c>
    </row>
    <row r="10">
      <c r="A10" s="18" t="s">
        <v>45</v>
      </c>
      <c r="B10" s="18" t="s">
        <v>45</v>
      </c>
      <c r="C10" s="18" t="s">
        <v>3001</v>
      </c>
      <c r="D10" s="18" t="s">
        <v>3002</v>
      </c>
      <c r="F10" s="18">
        <v>12.8</v>
      </c>
      <c r="G10" s="18" t="s">
        <v>40</v>
      </c>
      <c r="H10" s="19">
        <v>3100.0</v>
      </c>
      <c r="I10" s="19">
        <v>3200.0</v>
      </c>
      <c r="J10" s="19">
        <v>3750.0</v>
      </c>
      <c r="N10" s="18" t="s">
        <v>57</v>
      </c>
      <c r="O10" s="18" t="s">
        <v>2992</v>
      </c>
      <c r="P10" s="18" t="s">
        <v>400</v>
      </c>
    </row>
    <row r="11">
      <c r="A11" s="18"/>
      <c r="B11" s="18"/>
      <c r="C11" s="18"/>
      <c r="D11" s="18"/>
      <c r="F11" s="18"/>
      <c r="G11" s="18"/>
      <c r="H11" s="19"/>
      <c r="I11" s="19"/>
      <c r="J11" s="19"/>
      <c r="N11" s="18"/>
      <c r="O11" s="18"/>
      <c r="P11" s="18"/>
    </row>
    <row r="12">
      <c r="A12" s="18"/>
      <c r="B12" s="18"/>
      <c r="C12" s="18"/>
      <c r="D12" s="18"/>
      <c r="F12" s="18"/>
      <c r="G12" s="18"/>
      <c r="H12" s="19"/>
      <c r="I12" s="19"/>
      <c r="J12" s="19"/>
      <c r="N12" s="18"/>
      <c r="O12" s="18"/>
      <c r="P12" s="18"/>
    </row>
    <row r="13">
      <c r="A13" s="18"/>
      <c r="B13" s="18"/>
      <c r="C13" s="18"/>
      <c r="D13" s="18"/>
      <c r="F13" s="18"/>
      <c r="G13" s="18"/>
      <c r="H13" s="19"/>
      <c r="I13" s="19"/>
      <c r="J13" s="19"/>
      <c r="N13" s="18"/>
      <c r="O13" s="18"/>
      <c r="P13" s="18"/>
    </row>
    <row r="14">
      <c r="A14" s="18"/>
      <c r="B14" s="18"/>
      <c r="C14" s="18"/>
      <c r="D14" s="18"/>
      <c r="F14" s="18"/>
      <c r="G14" s="18"/>
      <c r="H14" s="19"/>
      <c r="I14" s="19"/>
      <c r="J14" s="19"/>
      <c r="K14" s="18"/>
      <c r="L14" s="18"/>
      <c r="M14" s="18"/>
      <c r="N14" s="18"/>
      <c r="O14" s="18"/>
      <c r="P14" s="18"/>
    </row>
    <row r="15">
      <c r="A15" s="18"/>
      <c r="B15" s="18"/>
      <c r="C15" s="18"/>
      <c r="D15" s="18"/>
      <c r="F15" s="18"/>
      <c r="G15" s="18"/>
      <c r="H15" s="19"/>
      <c r="I15" s="19"/>
      <c r="J15" s="19"/>
      <c r="N15" s="18"/>
      <c r="O15" s="18"/>
      <c r="P15" s="18"/>
    </row>
    <row r="16">
      <c r="A16" s="18"/>
      <c r="B16" s="18"/>
      <c r="C16" s="18"/>
      <c r="D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</row>
    <row r="17">
      <c r="A17" s="18"/>
      <c r="B17" s="18"/>
      <c r="C17" s="18"/>
      <c r="D17" s="18"/>
      <c r="F17" s="18"/>
      <c r="G17" s="18"/>
      <c r="H17" s="19"/>
      <c r="I17" s="19"/>
      <c r="J17" s="19"/>
      <c r="K17" s="18"/>
      <c r="L17" s="18"/>
      <c r="M17" s="18"/>
      <c r="N17" s="18"/>
      <c r="O17" s="18"/>
      <c r="P17" s="18"/>
    </row>
    <row r="18">
      <c r="A18" s="18"/>
      <c r="B18" s="18"/>
      <c r="C18" s="18"/>
      <c r="D18" s="18"/>
      <c r="F18" s="18"/>
      <c r="G18" s="18"/>
      <c r="H18" s="19"/>
      <c r="I18" s="19"/>
      <c r="J18" s="19"/>
      <c r="K18" s="18"/>
      <c r="L18" s="18"/>
      <c r="M18" s="18"/>
      <c r="N18" s="18"/>
      <c r="O18" s="18"/>
      <c r="P18" s="18"/>
    </row>
    <row r="19">
      <c r="A19" s="18"/>
      <c r="B19" s="18"/>
      <c r="C19" s="18"/>
      <c r="D19" s="18"/>
      <c r="F19" s="18"/>
      <c r="G19" s="18"/>
      <c r="H19" s="19"/>
      <c r="I19" s="19"/>
      <c r="J19" s="19"/>
      <c r="K19" s="18"/>
      <c r="L19" s="18"/>
      <c r="M19" s="18"/>
      <c r="N19" s="18"/>
      <c r="O19" s="18"/>
      <c r="P19" s="18"/>
    </row>
    <row r="20">
      <c r="A20" s="18"/>
      <c r="B20" s="18"/>
      <c r="C20" s="18"/>
      <c r="D20" s="18"/>
      <c r="F20" s="18"/>
      <c r="G20" s="18"/>
      <c r="H20" s="19"/>
      <c r="I20" s="19"/>
      <c r="J20" s="19"/>
      <c r="K20" s="18"/>
      <c r="L20" s="18"/>
      <c r="M20" s="18"/>
      <c r="N20" s="18"/>
      <c r="O20" s="18"/>
      <c r="P20" s="18"/>
    </row>
    <row r="21">
      <c r="A21" s="18"/>
      <c r="B21" s="18"/>
      <c r="C21" s="18"/>
      <c r="D21" s="18"/>
      <c r="F21" s="18"/>
      <c r="G21" s="18"/>
      <c r="H21" s="19"/>
      <c r="I21" s="19"/>
      <c r="J21" s="19"/>
      <c r="K21" s="18"/>
      <c r="L21" s="18"/>
      <c r="M21" s="18"/>
      <c r="N21" s="18"/>
      <c r="O21" s="18"/>
      <c r="P21" s="18"/>
    </row>
    <row r="22">
      <c r="A22" s="18"/>
      <c r="B22" s="18"/>
      <c r="C22" s="18"/>
      <c r="D22" s="18"/>
      <c r="F22" s="18"/>
      <c r="G22" s="18"/>
      <c r="H22" s="19"/>
      <c r="I22" s="19"/>
      <c r="J22" s="19"/>
      <c r="N22" s="18"/>
      <c r="O22" s="18"/>
      <c r="P22" s="18"/>
    </row>
    <row r="23">
      <c r="A23" s="18"/>
      <c r="B23" s="18"/>
      <c r="C23" s="18"/>
      <c r="D23" s="18"/>
      <c r="F23" s="18"/>
      <c r="G23" s="18"/>
      <c r="H23" s="19"/>
      <c r="I23" s="19"/>
      <c r="J23" s="19"/>
      <c r="K23" s="18"/>
      <c r="L23" s="18"/>
      <c r="M23" s="18"/>
      <c r="N23" s="18"/>
      <c r="O23" s="18"/>
      <c r="P23" s="18"/>
    </row>
    <row r="24">
      <c r="A24" s="18"/>
      <c r="B24" s="18"/>
      <c r="C24" s="18"/>
      <c r="D24" s="18"/>
      <c r="F24" s="18"/>
      <c r="G24" s="18"/>
      <c r="H24" s="19"/>
      <c r="I24" s="19"/>
      <c r="J24" s="19"/>
      <c r="N24" s="18"/>
      <c r="O24" s="18"/>
      <c r="P24" s="18"/>
    </row>
    <row r="25">
      <c r="A25" s="18"/>
      <c r="B25" s="18"/>
      <c r="C25" s="18"/>
      <c r="D25" s="18"/>
      <c r="F25" s="18"/>
      <c r="G25" s="18"/>
      <c r="H25" s="19"/>
      <c r="I25" s="19"/>
      <c r="J25" s="19"/>
      <c r="K25" s="18"/>
      <c r="L25" s="18"/>
      <c r="M25" s="18"/>
      <c r="N25" s="18"/>
      <c r="O25" s="18"/>
      <c r="P25" s="18"/>
    </row>
    <row r="26">
      <c r="A26" s="18"/>
      <c r="B26" s="18"/>
      <c r="C26" s="18"/>
      <c r="D26" s="18"/>
      <c r="F26" s="18"/>
      <c r="G26" s="18"/>
      <c r="H26" s="19"/>
      <c r="I26" s="19"/>
      <c r="J26" s="19"/>
      <c r="K26" s="18"/>
      <c r="L26" s="18"/>
      <c r="M26" s="18"/>
      <c r="N26" s="18"/>
      <c r="O26" s="18"/>
      <c r="P26" s="18"/>
    </row>
    <row r="27">
      <c r="A27" s="18"/>
      <c r="B27" s="18"/>
      <c r="C27" s="18"/>
      <c r="D27" s="18"/>
      <c r="F27" s="18"/>
      <c r="G27" s="18"/>
      <c r="H27" s="19"/>
      <c r="I27" s="19"/>
      <c r="J27" s="19"/>
      <c r="K27" s="18"/>
      <c r="L27" s="18"/>
      <c r="M27" s="18"/>
      <c r="N27" s="18"/>
      <c r="O27" s="18"/>
      <c r="P27" s="18"/>
    </row>
    <row r="28">
      <c r="A28" s="18"/>
      <c r="B28" s="18"/>
      <c r="C28" s="18"/>
      <c r="D28" s="18"/>
      <c r="F28" s="18"/>
      <c r="G28" s="18"/>
      <c r="H28" s="19"/>
      <c r="I28" s="19"/>
      <c r="J28" s="19"/>
      <c r="N28" s="18"/>
      <c r="O28" s="18"/>
      <c r="P28" s="18"/>
    </row>
    <row r="29">
      <c r="A29" s="18"/>
      <c r="B29" s="18"/>
      <c r="C29" s="18"/>
      <c r="D29" s="18"/>
      <c r="F29" s="18"/>
      <c r="G29" s="18"/>
      <c r="H29" s="19"/>
      <c r="I29" s="19"/>
      <c r="J29" s="19"/>
      <c r="K29" s="18"/>
      <c r="L29" s="18"/>
      <c r="M29" s="18"/>
      <c r="N29" s="18"/>
      <c r="O29" s="18"/>
      <c r="P29" s="18"/>
    </row>
    <row r="30">
      <c r="A30" s="18"/>
      <c r="B30" s="18"/>
      <c r="C30" s="18"/>
      <c r="D30" s="18"/>
      <c r="F30" s="18"/>
      <c r="G30" s="18"/>
      <c r="H30" s="19"/>
      <c r="I30" s="19"/>
      <c r="J30" s="19"/>
      <c r="K30" s="18"/>
      <c r="L30" s="18"/>
      <c r="M30" s="18"/>
      <c r="N30" s="18"/>
      <c r="O30" s="18"/>
      <c r="P30" s="18"/>
    </row>
    <row r="31">
      <c r="A31" s="18"/>
      <c r="B31" s="18"/>
      <c r="C31" s="18"/>
      <c r="D31" s="18"/>
      <c r="F31" s="18"/>
      <c r="G31" s="18"/>
      <c r="H31" s="19"/>
      <c r="I31" s="19"/>
      <c r="J31" s="19"/>
      <c r="K31" s="18"/>
      <c r="L31" s="18"/>
      <c r="M31" s="18"/>
      <c r="N31" s="18"/>
      <c r="O31" s="18"/>
      <c r="P31" s="18"/>
    </row>
    <row r="32">
      <c r="A32" s="18"/>
      <c r="B32" s="18"/>
      <c r="C32" s="18"/>
      <c r="D32" s="18"/>
      <c r="F32" s="18"/>
      <c r="G32" s="18"/>
      <c r="H32" s="19"/>
      <c r="I32" s="19"/>
      <c r="J32" s="19"/>
      <c r="K32" s="18"/>
      <c r="L32" s="18"/>
      <c r="M32" s="18"/>
      <c r="N32" s="18"/>
      <c r="O32" s="18"/>
      <c r="P32" s="18"/>
    </row>
    <row r="33">
      <c r="A33" s="18"/>
      <c r="B33" s="18"/>
      <c r="C33" s="18"/>
      <c r="D33" s="18"/>
      <c r="F33" s="18"/>
      <c r="G33" s="18"/>
      <c r="H33" s="19"/>
      <c r="I33" s="19"/>
      <c r="J33" s="19"/>
      <c r="K33" s="18"/>
      <c r="L33" s="18"/>
      <c r="M33" s="18"/>
      <c r="N33" s="18"/>
      <c r="O33" s="18"/>
      <c r="P33" s="18"/>
    </row>
    <row r="34">
      <c r="A34" s="18"/>
      <c r="B34" s="18"/>
      <c r="C34" s="18"/>
      <c r="D34" s="18"/>
      <c r="F34" s="18"/>
      <c r="G34" s="18"/>
      <c r="H34" s="19"/>
      <c r="I34" s="19"/>
      <c r="J34" s="19"/>
      <c r="K34" s="18"/>
      <c r="L34" s="18"/>
      <c r="M34" s="18"/>
      <c r="N34" s="18"/>
      <c r="O34" s="18"/>
      <c r="P34" s="18"/>
    </row>
    <row r="35">
      <c r="A35" s="18"/>
      <c r="B35" s="18"/>
      <c r="C35" s="18"/>
      <c r="D35" s="18"/>
      <c r="F35" s="18"/>
      <c r="G35" s="18"/>
      <c r="H35" s="19"/>
      <c r="I35" s="19"/>
      <c r="J35" s="19"/>
      <c r="N35" s="18"/>
      <c r="O35" s="18"/>
      <c r="P35" s="18"/>
    </row>
    <row r="36">
      <c r="A36" s="18"/>
      <c r="B36" s="18"/>
      <c r="C36" s="18"/>
      <c r="D36" s="18"/>
      <c r="F36" s="18"/>
      <c r="G36" s="18"/>
      <c r="H36" s="19"/>
      <c r="I36" s="19"/>
      <c r="J36" s="19"/>
      <c r="N36" s="18"/>
      <c r="O36" s="18"/>
      <c r="P36" s="18"/>
    </row>
    <row r="37">
      <c r="A37" s="18"/>
      <c r="B37" s="18"/>
      <c r="C37" s="18"/>
      <c r="D37" s="18"/>
      <c r="F37" s="18"/>
      <c r="G37" s="18"/>
      <c r="H37" s="19"/>
      <c r="I37" s="19"/>
      <c r="J37" s="19"/>
      <c r="N37" s="18"/>
      <c r="O37" s="18"/>
      <c r="P37" s="18"/>
    </row>
    <row r="38">
      <c r="A38" s="18"/>
      <c r="B38" s="18"/>
      <c r="C38" s="18"/>
      <c r="D38" s="18"/>
      <c r="F38" s="18"/>
      <c r="G38" s="18"/>
      <c r="H38" s="19"/>
      <c r="I38" s="19"/>
      <c r="J38" s="19"/>
      <c r="N38" s="18"/>
      <c r="O38" s="18"/>
      <c r="P38" s="18"/>
    </row>
    <row r="39">
      <c r="A39" s="18"/>
      <c r="B39" s="18"/>
      <c r="C39" s="18"/>
      <c r="D39" s="18"/>
      <c r="F39" s="18"/>
      <c r="G39" s="18"/>
      <c r="H39" s="19"/>
      <c r="I39" s="19"/>
      <c r="J39" s="19"/>
      <c r="N39" s="18"/>
      <c r="O39" s="18"/>
      <c r="P39" s="18"/>
    </row>
    <row r="40">
      <c r="A40" s="18"/>
      <c r="B40" s="18"/>
      <c r="C40" s="18"/>
      <c r="D40" s="18"/>
      <c r="F40" s="18"/>
      <c r="G40" s="18"/>
      <c r="H40" s="19"/>
      <c r="I40" s="19"/>
      <c r="J40" s="19"/>
      <c r="N40" s="18"/>
      <c r="O40" s="18"/>
      <c r="P40" s="18"/>
    </row>
    <row r="41">
      <c r="A41" s="18"/>
      <c r="B41" s="18"/>
      <c r="C41" s="18"/>
      <c r="D41" s="18"/>
      <c r="F41" s="18"/>
      <c r="G41" s="18"/>
      <c r="H41" s="19"/>
      <c r="I41" s="19"/>
      <c r="J41" s="19"/>
      <c r="N41" s="18"/>
      <c r="O41" s="18"/>
      <c r="P41" s="18"/>
    </row>
    <row r="42">
      <c r="A42" s="18"/>
      <c r="B42" s="18"/>
      <c r="C42" s="18"/>
      <c r="D42" s="18"/>
      <c r="F42" s="18"/>
      <c r="G42" s="18"/>
      <c r="H42" s="19"/>
      <c r="I42" s="19"/>
      <c r="J42" s="19"/>
      <c r="N42" s="18"/>
      <c r="O42" s="18"/>
      <c r="P42" s="18"/>
    </row>
    <row r="43">
      <c r="A43" s="20"/>
      <c r="B43" s="20"/>
      <c r="C43" s="20"/>
      <c r="D43" s="20"/>
      <c r="F43" s="18"/>
      <c r="G43" s="20"/>
      <c r="H43" s="19"/>
      <c r="I43" s="19"/>
      <c r="J43" s="19"/>
      <c r="N43" s="20"/>
      <c r="O43" s="20"/>
      <c r="P43" s="18"/>
    </row>
    <row r="44">
      <c r="A44" s="20"/>
      <c r="B44" s="20"/>
      <c r="C44" s="20"/>
      <c r="D44" s="20"/>
      <c r="F44" s="18"/>
      <c r="G44" s="20"/>
      <c r="H44" s="19"/>
      <c r="I44" s="19"/>
      <c r="J44" s="19"/>
      <c r="N44" s="20"/>
      <c r="O44" s="20"/>
      <c r="P44" s="18"/>
    </row>
    <row r="45">
      <c r="A45" s="20"/>
      <c r="B45" s="20"/>
      <c r="C45" s="20"/>
      <c r="D45" s="20"/>
      <c r="F45" s="20"/>
      <c r="G45" s="20"/>
      <c r="N45" s="20"/>
      <c r="O45" s="20"/>
      <c r="P45" s="20"/>
    </row>
    <row r="46">
      <c r="A46" s="20"/>
      <c r="B46" s="20"/>
      <c r="C46" s="20"/>
      <c r="D46" s="20"/>
      <c r="F46" s="20"/>
      <c r="G46" s="20"/>
      <c r="N46" s="20"/>
      <c r="O46" s="20"/>
      <c r="P46" s="20"/>
    </row>
    <row r="47">
      <c r="A47" s="20"/>
      <c r="B47" s="20"/>
      <c r="C47" s="20"/>
      <c r="D47" s="20"/>
      <c r="F47" s="20"/>
      <c r="G47" s="20"/>
      <c r="N47" s="20"/>
      <c r="O47" s="20"/>
      <c r="P47" s="20"/>
    </row>
    <row r="48">
      <c r="A48" s="20"/>
      <c r="B48" s="20"/>
      <c r="C48" s="20"/>
      <c r="D48" s="20"/>
      <c r="F48" s="20"/>
      <c r="G48" s="20"/>
      <c r="N48" s="20"/>
      <c r="O48" s="20"/>
      <c r="P48" s="20"/>
    </row>
    <row r="49">
      <c r="A49" s="20"/>
      <c r="B49" s="20"/>
      <c r="C49" s="20"/>
      <c r="D49" s="20"/>
      <c r="F49" s="20"/>
      <c r="G49" s="20"/>
      <c r="N49" s="20"/>
      <c r="O49" s="20"/>
      <c r="P49" s="20"/>
    </row>
    <row r="50">
      <c r="A50" s="20"/>
      <c r="B50" s="20"/>
      <c r="C50" s="20"/>
      <c r="D50" s="20"/>
      <c r="F50" s="20"/>
      <c r="G50" s="20"/>
      <c r="N50" s="20"/>
      <c r="O50" s="20"/>
      <c r="P50" s="20"/>
    </row>
    <row r="51">
      <c r="A51" s="20"/>
      <c r="C51" s="20"/>
      <c r="D51" s="20"/>
    </row>
    <row r="52">
      <c r="A52" s="20"/>
      <c r="C52" s="20"/>
      <c r="D52" s="20"/>
    </row>
    <row r="53">
      <c r="A53" s="20"/>
      <c r="B53" s="20"/>
      <c r="C53" s="20"/>
      <c r="D53" s="20"/>
      <c r="F53" s="20"/>
      <c r="G53" s="20"/>
      <c r="N53" s="20"/>
      <c r="O53" s="20"/>
      <c r="P53" s="20"/>
    </row>
    <row r="54">
      <c r="A54" s="20"/>
      <c r="B54" s="20"/>
      <c r="C54" s="20"/>
      <c r="D54" s="20"/>
      <c r="F54" s="20"/>
      <c r="G54" s="20"/>
      <c r="N54" s="20"/>
      <c r="O54" s="20"/>
      <c r="P54" s="20"/>
    </row>
    <row r="55">
      <c r="A55" s="20"/>
      <c r="B55" s="20"/>
      <c r="C55" s="20"/>
      <c r="D55" s="20"/>
      <c r="F55" s="20"/>
      <c r="G55" s="20"/>
      <c r="N55" s="20"/>
      <c r="O55" s="20"/>
      <c r="P55" s="20"/>
    </row>
    <row r="56">
      <c r="A56" s="20"/>
      <c r="B56" s="20"/>
      <c r="C56" s="20"/>
      <c r="D56" s="20"/>
      <c r="F56" s="20"/>
      <c r="G56" s="20"/>
      <c r="N56" s="20"/>
    </row>
    <row r="57">
      <c r="A57" s="20"/>
      <c r="B57" s="20"/>
      <c r="C57" s="20"/>
      <c r="D57" s="20"/>
      <c r="F57" s="20"/>
      <c r="G57" s="20"/>
      <c r="N57" s="20"/>
    </row>
    <row r="58">
      <c r="A58" s="20"/>
      <c r="B58" s="20"/>
      <c r="C58" s="20"/>
      <c r="D58" s="20"/>
      <c r="F58" s="20"/>
      <c r="G58" s="20"/>
    </row>
    <row r="59">
      <c r="A59" s="20"/>
      <c r="B59" s="20"/>
      <c r="C59" s="20"/>
      <c r="D59" s="20"/>
      <c r="F59" s="20"/>
      <c r="G59" s="20"/>
      <c r="N59" s="20"/>
      <c r="O59" s="20"/>
      <c r="P59" s="20"/>
    </row>
    <row r="60">
      <c r="A60" s="20"/>
      <c r="B60" s="20"/>
      <c r="C60" s="20"/>
      <c r="D60" s="20"/>
      <c r="F60" s="20"/>
      <c r="G60" s="20"/>
      <c r="N60" s="20"/>
      <c r="O60" s="20"/>
      <c r="P60" s="20"/>
    </row>
    <row r="61">
      <c r="A61" s="20"/>
      <c r="B61" s="20"/>
      <c r="C61" s="20"/>
      <c r="D61" s="20"/>
      <c r="F61" s="20"/>
      <c r="G61" s="20"/>
      <c r="N61" s="20"/>
      <c r="O61" s="20"/>
      <c r="P61" s="20"/>
    </row>
    <row r="62">
      <c r="A62" s="20"/>
      <c r="B62" s="20"/>
      <c r="C62" s="20"/>
      <c r="D62" s="20"/>
      <c r="F62" s="20"/>
      <c r="G62" s="20"/>
      <c r="N62" s="20"/>
      <c r="O62" s="20"/>
      <c r="P62" s="20"/>
    </row>
    <row r="63">
      <c r="A63" s="20"/>
      <c r="B63" s="20"/>
      <c r="C63" s="20"/>
      <c r="D63" s="20"/>
      <c r="F63" s="20"/>
      <c r="G63" s="20"/>
      <c r="N63" s="20"/>
      <c r="O63" s="20"/>
      <c r="P63" s="20"/>
    </row>
    <row r="64">
      <c r="A64" s="20"/>
      <c r="B64" s="20"/>
      <c r="C64" s="20"/>
      <c r="D64" s="20"/>
      <c r="F64" s="20"/>
      <c r="G64" s="20"/>
      <c r="N64" s="20"/>
      <c r="O64" s="20"/>
      <c r="P64" s="20"/>
    </row>
    <row r="65">
      <c r="A65" s="20"/>
      <c r="B65" s="20"/>
      <c r="C65" s="20"/>
      <c r="D65" s="20"/>
      <c r="F65" s="20"/>
      <c r="G65" s="20"/>
      <c r="N65" s="20"/>
      <c r="O65" s="20"/>
      <c r="P65" s="20"/>
    </row>
    <row r="66">
      <c r="A66" s="20"/>
      <c r="B66" s="20"/>
      <c r="C66" s="20"/>
      <c r="D66" s="20"/>
      <c r="F66" s="20"/>
      <c r="G66" s="20"/>
      <c r="N66" s="20"/>
      <c r="O66" s="20"/>
      <c r="P66" s="20"/>
    </row>
    <row r="67">
      <c r="A67" s="20"/>
      <c r="B67" s="20"/>
      <c r="C67" s="20"/>
      <c r="D67" s="20"/>
      <c r="F67" s="20"/>
      <c r="G67" s="20"/>
      <c r="N67" s="20"/>
      <c r="O67" s="20"/>
      <c r="P67" s="2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19</v>
      </c>
      <c r="B1" s="17" t="s">
        <v>20</v>
      </c>
      <c r="C1" s="17" t="s">
        <v>21</v>
      </c>
      <c r="D1" s="17" t="s">
        <v>22</v>
      </c>
      <c r="E1" s="17" t="s">
        <v>3</v>
      </c>
      <c r="F1" s="17" t="s">
        <v>23</v>
      </c>
      <c r="G1" s="17" t="s">
        <v>24</v>
      </c>
      <c r="H1" s="17" t="s">
        <v>25</v>
      </c>
      <c r="I1" s="17" t="s">
        <v>2982</v>
      </c>
      <c r="J1" s="17" t="s">
        <v>27</v>
      </c>
      <c r="K1" s="17" t="s">
        <v>28</v>
      </c>
      <c r="L1" s="17" t="s">
        <v>29</v>
      </c>
      <c r="M1" s="17" t="s">
        <v>30</v>
      </c>
      <c r="N1" s="17" t="s">
        <v>31</v>
      </c>
      <c r="O1" s="17" t="s">
        <v>2983</v>
      </c>
      <c r="P1" s="17" t="s">
        <v>2984</v>
      </c>
    </row>
    <row r="2">
      <c r="A2" s="18" t="s">
        <v>36</v>
      </c>
      <c r="B2" s="18" t="s">
        <v>37</v>
      </c>
      <c r="C2" s="18" t="s">
        <v>38</v>
      </c>
      <c r="D2" s="18" t="s">
        <v>39</v>
      </c>
      <c r="F2" s="18"/>
      <c r="G2" s="18" t="s">
        <v>40</v>
      </c>
      <c r="H2" s="19">
        <v>1666.66</v>
      </c>
      <c r="I2" s="19">
        <v>1666.66</v>
      </c>
      <c r="J2" s="19"/>
      <c r="K2" s="18"/>
      <c r="L2" s="18"/>
      <c r="M2" s="18"/>
      <c r="N2" s="18" t="s">
        <v>41</v>
      </c>
      <c r="O2" s="18"/>
      <c r="P2" s="18"/>
    </row>
    <row r="3">
      <c r="A3" s="18" t="s">
        <v>2985</v>
      </c>
      <c r="B3" s="18" t="s">
        <v>133</v>
      </c>
      <c r="C3" s="18" t="s">
        <v>2986</v>
      </c>
      <c r="D3" s="18" t="s">
        <v>2987</v>
      </c>
      <c r="F3" s="18">
        <v>14.28</v>
      </c>
      <c r="G3" s="18" t="s">
        <v>56</v>
      </c>
      <c r="H3" s="19">
        <v>3086.0</v>
      </c>
      <c r="I3" s="19">
        <v>3200.0</v>
      </c>
      <c r="J3" s="19">
        <v>3750.0</v>
      </c>
      <c r="K3" s="18"/>
      <c r="L3" s="18"/>
      <c r="M3" s="18"/>
      <c r="N3" s="18" t="s">
        <v>117</v>
      </c>
      <c r="O3" s="18" t="s">
        <v>2988</v>
      </c>
      <c r="P3" s="18" t="s">
        <v>2989</v>
      </c>
    </row>
    <row r="4">
      <c r="A4" s="18" t="s">
        <v>44</v>
      </c>
      <c r="B4" s="18" t="s">
        <v>45</v>
      </c>
      <c r="C4" s="18" t="s">
        <v>46</v>
      </c>
      <c r="D4" s="18" t="s">
        <v>47</v>
      </c>
      <c r="F4" s="18">
        <v>10.62</v>
      </c>
      <c r="G4" s="18" t="s">
        <v>45</v>
      </c>
      <c r="H4" s="19">
        <v>5100.0</v>
      </c>
      <c r="I4" s="19"/>
      <c r="J4" s="19"/>
      <c r="K4" s="18"/>
      <c r="L4" s="18"/>
      <c r="M4" s="18"/>
      <c r="N4" s="18" t="s">
        <v>41</v>
      </c>
      <c r="O4" s="18"/>
      <c r="P4" s="18"/>
    </row>
    <row r="5">
      <c r="A5" s="18" t="s">
        <v>45</v>
      </c>
      <c r="B5" s="18" t="s">
        <v>50</v>
      </c>
      <c r="C5" s="18" t="s">
        <v>51</v>
      </c>
      <c r="D5" s="18" t="s">
        <v>52</v>
      </c>
      <c r="F5" s="18">
        <v>9.12</v>
      </c>
      <c r="G5" s="18" t="s">
        <v>40</v>
      </c>
      <c r="H5" s="19">
        <v>3551.0</v>
      </c>
      <c r="I5" s="19">
        <v>3700.0</v>
      </c>
      <c r="J5" s="19">
        <v>4350.0</v>
      </c>
      <c r="K5" s="18"/>
      <c r="L5" s="18"/>
      <c r="M5" s="18"/>
      <c r="N5" s="18" t="s">
        <v>41</v>
      </c>
      <c r="O5" s="18" t="s">
        <v>2992</v>
      </c>
      <c r="P5" s="18" t="s">
        <v>400</v>
      </c>
    </row>
    <row r="6">
      <c r="A6" s="18" t="s">
        <v>44</v>
      </c>
      <c r="B6" s="18" t="s">
        <v>53</v>
      </c>
      <c r="C6" s="18" t="s">
        <v>54</v>
      </c>
      <c r="D6" s="18" t="s">
        <v>55</v>
      </c>
      <c r="F6" s="18">
        <v>15.03</v>
      </c>
      <c r="G6" s="18" t="s">
        <v>56</v>
      </c>
      <c r="H6" s="19">
        <v>6400.0</v>
      </c>
      <c r="I6" s="19"/>
      <c r="J6" s="19"/>
      <c r="K6" s="18"/>
      <c r="L6" s="18"/>
      <c r="M6" s="18"/>
      <c r="N6" s="18" t="s">
        <v>57</v>
      </c>
      <c r="O6" s="18"/>
      <c r="P6" s="18"/>
    </row>
    <row r="7">
      <c r="A7" s="18" t="s">
        <v>59</v>
      </c>
      <c r="B7" s="18" t="s">
        <v>53</v>
      </c>
      <c r="C7" s="18" t="s">
        <v>60</v>
      </c>
      <c r="D7" s="18" t="s">
        <v>61</v>
      </c>
      <c r="F7" s="18">
        <v>15.04</v>
      </c>
      <c r="G7" s="18" t="s">
        <v>62</v>
      </c>
      <c r="H7" s="19">
        <v>6430.0</v>
      </c>
      <c r="I7" s="19"/>
      <c r="J7" s="19"/>
      <c r="K7" s="18"/>
      <c r="L7" s="18"/>
      <c r="M7" s="18"/>
      <c r="N7" s="18" t="s">
        <v>57</v>
      </c>
      <c r="O7" s="18"/>
      <c r="P7" s="18"/>
    </row>
    <row r="8">
      <c r="A8" s="18" t="s">
        <v>59</v>
      </c>
      <c r="B8" s="18" t="s">
        <v>64</v>
      </c>
      <c r="C8" s="18" t="s">
        <v>65</v>
      </c>
      <c r="D8" s="18" t="s">
        <v>66</v>
      </c>
      <c r="F8" s="18">
        <v>17.06</v>
      </c>
      <c r="G8" s="18" t="s">
        <v>67</v>
      </c>
      <c r="H8" s="19">
        <v>6861.0</v>
      </c>
      <c r="I8" s="19"/>
      <c r="J8" s="19"/>
      <c r="K8" s="18"/>
      <c r="L8" s="18"/>
      <c r="M8" s="18"/>
      <c r="N8" s="18" t="s">
        <v>57</v>
      </c>
      <c r="O8" s="18"/>
      <c r="P8" s="18"/>
    </row>
    <row r="9">
      <c r="A9" s="18" t="s">
        <v>59</v>
      </c>
      <c r="B9" s="18" t="s">
        <v>53</v>
      </c>
      <c r="C9" s="18" t="s">
        <v>68</v>
      </c>
      <c r="D9" s="18" t="s">
        <v>69</v>
      </c>
      <c r="F9" s="18">
        <v>15.04</v>
      </c>
      <c r="G9" s="18" t="s">
        <v>62</v>
      </c>
      <c r="H9" s="19">
        <v>6430.0</v>
      </c>
      <c r="I9" s="19"/>
      <c r="J9" s="19"/>
      <c r="K9" s="18"/>
      <c r="L9" s="18"/>
      <c r="M9" s="18"/>
      <c r="N9" s="18" t="s">
        <v>57</v>
      </c>
      <c r="O9" s="18"/>
      <c r="P9" s="18"/>
    </row>
    <row r="10">
      <c r="A10" s="18" t="s">
        <v>59</v>
      </c>
      <c r="B10" s="18" t="s">
        <v>53</v>
      </c>
      <c r="C10" s="18" t="s">
        <v>70</v>
      </c>
      <c r="D10" s="18" t="s">
        <v>71</v>
      </c>
      <c r="F10" s="18">
        <v>15.15</v>
      </c>
      <c r="G10" s="18" t="s">
        <v>62</v>
      </c>
      <c r="H10" s="19">
        <v>6430.0</v>
      </c>
      <c r="I10" s="19"/>
      <c r="J10" s="19"/>
      <c r="K10" s="18"/>
      <c r="L10" s="18"/>
      <c r="M10" s="18"/>
      <c r="N10" s="18" t="s">
        <v>57</v>
      </c>
      <c r="O10" s="18"/>
      <c r="P10" s="18"/>
    </row>
    <row r="11">
      <c r="A11" s="18" t="s">
        <v>59</v>
      </c>
      <c r="B11" s="18" t="s">
        <v>64</v>
      </c>
      <c r="C11" s="18" t="s">
        <v>72</v>
      </c>
      <c r="D11" s="18" t="s">
        <v>73</v>
      </c>
      <c r="F11" s="18">
        <v>17.06</v>
      </c>
      <c r="G11" s="18" t="s">
        <v>67</v>
      </c>
      <c r="H11" s="19">
        <v>6861.0</v>
      </c>
      <c r="I11" s="19"/>
      <c r="J11" s="19"/>
      <c r="K11" s="18"/>
      <c r="L11" s="18"/>
      <c r="M11" s="18"/>
      <c r="N11" s="18" t="s">
        <v>57</v>
      </c>
      <c r="O11" s="18"/>
      <c r="P11" s="18"/>
    </row>
    <row r="12">
      <c r="A12" s="18" t="s">
        <v>59</v>
      </c>
      <c r="B12" s="18" t="s">
        <v>53</v>
      </c>
      <c r="C12" s="18" t="s">
        <v>74</v>
      </c>
      <c r="D12" s="18" t="s">
        <v>75</v>
      </c>
      <c r="F12" s="18">
        <v>15.04</v>
      </c>
      <c r="G12" s="18" t="s">
        <v>62</v>
      </c>
      <c r="H12" s="19">
        <v>6430.0</v>
      </c>
      <c r="I12" s="19"/>
      <c r="J12" s="19"/>
      <c r="K12" s="18"/>
      <c r="L12" s="18"/>
      <c r="M12" s="18"/>
      <c r="N12" s="18" t="s">
        <v>57</v>
      </c>
      <c r="O12" s="18"/>
      <c r="P12" s="18"/>
    </row>
    <row r="13">
      <c r="A13" s="18" t="s">
        <v>59</v>
      </c>
      <c r="B13" s="18" t="s">
        <v>76</v>
      </c>
      <c r="C13" s="18" t="s">
        <v>77</v>
      </c>
      <c r="D13" s="18" t="s">
        <v>78</v>
      </c>
      <c r="F13" s="18">
        <v>19.04</v>
      </c>
      <c r="G13" s="18" t="s">
        <v>67</v>
      </c>
      <c r="H13" s="19">
        <v>7300.0</v>
      </c>
      <c r="I13" s="19"/>
      <c r="J13" s="19"/>
      <c r="N13" s="18" t="s">
        <v>57</v>
      </c>
      <c r="O13" s="18"/>
      <c r="P13" s="18"/>
    </row>
    <row r="14">
      <c r="A14" s="18" t="s">
        <v>59</v>
      </c>
      <c r="B14" s="18" t="s">
        <v>76</v>
      </c>
      <c r="C14" s="18" t="s">
        <v>79</v>
      </c>
      <c r="D14" s="18" t="s">
        <v>80</v>
      </c>
      <c r="F14" s="18">
        <v>19.04</v>
      </c>
      <c r="G14" s="18" t="s">
        <v>67</v>
      </c>
      <c r="H14" s="19">
        <v>7300.0</v>
      </c>
      <c r="I14" s="19"/>
      <c r="J14" s="19"/>
      <c r="N14" s="18" t="s">
        <v>57</v>
      </c>
      <c r="O14" s="18"/>
      <c r="P14" s="18"/>
    </row>
    <row r="15">
      <c r="A15" s="18" t="s">
        <v>59</v>
      </c>
      <c r="B15" s="18" t="s">
        <v>53</v>
      </c>
      <c r="C15" s="18" t="s">
        <v>81</v>
      </c>
      <c r="D15" s="18" t="s">
        <v>82</v>
      </c>
      <c r="F15" s="18">
        <v>15.03</v>
      </c>
      <c r="G15" s="18" t="s">
        <v>62</v>
      </c>
      <c r="H15" s="19">
        <v>6430.0</v>
      </c>
      <c r="I15" s="19"/>
      <c r="J15" s="19"/>
      <c r="N15" s="18" t="s">
        <v>83</v>
      </c>
      <c r="O15" s="18"/>
      <c r="P15" s="18"/>
    </row>
    <row r="16">
      <c r="A16" s="18" t="s">
        <v>59</v>
      </c>
      <c r="B16" s="18" t="s">
        <v>76</v>
      </c>
      <c r="C16" s="18" t="s">
        <v>84</v>
      </c>
      <c r="D16" s="18" t="s">
        <v>85</v>
      </c>
      <c r="F16" s="18">
        <v>19.15</v>
      </c>
      <c r="G16" s="18" t="s">
        <v>67</v>
      </c>
      <c r="H16" s="19">
        <v>7300.0</v>
      </c>
      <c r="I16" s="19"/>
      <c r="J16" s="19"/>
      <c r="N16" s="18" t="s">
        <v>83</v>
      </c>
      <c r="O16" s="18"/>
      <c r="P16" s="18"/>
    </row>
    <row r="17">
      <c r="A17" s="18" t="s">
        <v>59</v>
      </c>
      <c r="B17" s="18" t="s">
        <v>53</v>
      </c>
      <c r="C17" s="18" t="s">
        <v>86</v>
      </c>
      <c r="D17" s="18" t="s">
        <v>87</v>
      </c>
      <c r="F17" s="18">
        <v>15.03</v>
      </c>
      <c r="G17" s="18" t="s">
        <v>62</v>
      </c>
      <c r="H17" s="19">
        <v>6430.0</v>
      </c>
      <c r="I17" s="19"/>
      <c r="J17" s="19"/>
      <c r="N17" s="18" t="s">
        <v>83</v>
      </c>
      <c r="O17" s="18"/>
      <c r="P17" s="18"/>
    </row>
    <row r="18">
      <c r="A18" s="18" t="s">
        <v>2985</v>
      </c>
      <c r="B18" s="18" t="s">
        <v>133</v>
      </c>
      <c r="C18" s="18" t="s">
        <v>2999</v>
      </c>
      <c r="D18" s="18" t="s">
        <v>3000</v>
      </c>
      <c r="F18" s="18">
        <v>12.33</v>
      </c>
      <c r="G18" s="18" t="s">
        <v>56</v>
      </c>
      <c r="H18" s="19">
        <v>4650.0</v>
      </c>
      <c r="I18" s="19">
        <v>4800.0</v>
      </c>
      <c r="J18" s="19">
        <v>5400.0</v>
      </c>
      <c r="N18" s="18" t="s">
        <v>41</v>
      </c>
      <c r="O18" s="18" t="s">
        <v>2988</v>
      </c>
      <c r="P18" s="18" t="s">
        <v>2989</v>
      </c>
    </row>
    <row r="19">
      <c r="A19" s="18" t="s">
        <v>59</v>
      </c>
      <c r="B19" s="18" t="s">
        <v>76</v>
      </c>
      <c r="C19" s="18" t="s">
        <v>88</v>
      </c>
      <c r="D19" s="18" t="s">
        <v>89</v>
      </c>
      <c r="F19" s="18">
        <v>19.04</v>
      </c>
      <c r="G19" s="18" t="s">
        <v>67</v>
      </c>
      <c r="H19" s="19">
        <v>7300.0</v>
      </c>
      <c r="I19" s="19"/>
      <c r="J19" s="19"/>
      <c r="N19" s="18" t="s">
        <v>83</v>
      </c>
      <c r="O19" s="18"/>
      <c r="P19" s="18"/>
    </row>
    <row r="20">
      <c r="A20" s="18" t="s">
        <v>59</v>
      </c>
      <c r="B20" s="18" t="s">
        <v>76</v>
      </c>
      <c r="C20" s="18" t="s">
        <v>90</v>
      </c>
      <c r="D20" s="18" t="s">
        <v>91</v>
      </c>
      <c r="F20" s="18">
        <v>19.04</v>
      </c>
      <c r="G20" s="18" t="s">
        <v>67</v>
      </c>
      <c r="H20" s="19">
        <v>7300.0</v>
      </c>
      <c r="I20" s="19"/>
      <c r="J20" s="19"/>
      <c r="N20" s="18" t="s">
        <v>83</v>
      </c>
      <c r="O20" s="18"/>
      <c r="P20" s="18"/>
    </row>
    <row r="21">
      <c r="A21" s="18" t="s">
        <v>59</v>
      </c>
      <c r="B21" s="18" t="s">
        <v>64</v>
      </c>
      <c r="C21" s="18" t="s">
        <v>92</v>
      </c>
      <c r="D21" s="18" t="s">
        <v>93</v>
      </c>
      <c r="F21" s="18">
        <v>17.06</v>
      </c>
      <c r="G21" s="18" t="s">
        <v>67</v>
      </c>
      <c r="H21" s="19">
        <v>6861.0</v>
      </c>
      <c r="I21" s="19"/>
      <c r="J21" s="19"/>
      <c r="N21" s="18" t="s">
        <v>57</v>
      </c>
      <c r="O21" s="18"/>
      <c r="P21" s="18"/>
    </row>
    <row r="22">
      <c r="A22" s="18" t="s">
        <v>59</v>
      </c>
      <c r="B22" s="18" t="s">
        <v>53</v>
      </c>
      <c r="C22" s="18" t="s">
        <v>94</v>
      </c>
      <c r="D22" s="18" t="s">
        <v>95</v>
      </c>
      <c r="F22" s="18">
        <v>15.03</v>
      </c>
      <c r="G22" s="18" t="s">
        <v>62</v>
      </c>
      <c r="H22" s="19">
        <v>6430.0</v>
      </c>
      <c r="I22" s="19"/>
      <c r="J22" s="19"/>
      <c r="N22" s="18" t="s">
        <v>83</v>
      </c>
      <c r="O22" s="18"/>
      <c r="P22" s="18"/>
    </row>
    <row r="23">
      <c r="A23" s="18" t="s">
        <v>59</v>
      </c>
      <c r="B23" s="18" t="s">
        <v>53</v>
      </c>
      <c r="C23" s="18" t="s">
        <v>96</v>
      </c>
      <c r="D23" s="18" t="s">
        <v>97</v>
      </c>
      <c r="F23" s="18">
        <v>15.03</v>
      </c>
      <c r="G23" s="18" t="s">
        <v>62</v>
      </c>
      <c r="H23" s="19">
        <v>6430.0</v>
      </c>
      <c r="I23" s="19"/>
      <c r="J23" s="19"/>
      <c r="N23" s="18" t="s">
        <v>83</v>
      </c>
      <c r="O23" s="18"/>
      <c r="P23" s="18"/>
    </row>
    <row r="24">
      <c r="A24" s="18" t="s">
        <v>59</v>
      </c>
      <c r="B24" s="18" t="s">
        <v>53</v>
      </c>
      <c r="C24" s="18" t="s">
        <v>98</v>
      </c>
      <c r="D24" s="18" t="s">
        <v>99</v>
      </c>
      <c r="F24" s="18">
        <v>15.04</v>
      </c>
      <c r="G24" s="18" t="s">
        <v>62</v>
      </c>
      <c r="H24" s="19">
        <v>6430.0</v>
      </c>
      <c r="I24" s="19"/>
      <c r="J24" s="19"/>
      <c r="N24" s="18" t="s">
        <v>57</v>
      </c>
      <c r="O24" s="18"/>
      <c r="P24" s="18"/>
    </row>
    <row r="25">
      <c r="A25" s="18" t="s">
        <v>59</v>
      </c>
      <c r="B25" s="18" t="s">
        <v>64</v>
      </c>
      <c r="C25" s="18" t="s">
        <v>100</v>
      </c>
      <c r="D25" s="18" t="s">
        <v>101</v>
      </c>
      <c r="F25" s="18">
        <v>17.06</v>
      </c>
      <c r="G25" s="18" t="s">
        <v>67</v>
      </c>
      <c r="H25" s="19">
        <v>6861.0</v>
      </c>
      <c r="I25" s="19"/>
      <c r="J25" s="19"/>
      <c r="N25" s="18" t="s">
        <v>57</v>
      </c>
      <c r="O25" s="18"/>
      <c r="P25" s="18"/>
    </row>
    <row r="26">
      <c r="A26" s="18" t="s">
        <v>59</v>
      </c>
      <c r="B26" s="18" t="s">
        <v>64</v>
      </c>
      <c r="C26" s="18" t="s">
        <v>102</v>
      </c>
      <c r="D26" s="18" t="s">
        <v>103</v>
      </c>
      <c r="F26" s="18">
        <v>17.06</v>
      </c>
      <c r="G26" s="18" t="s">
        <v>67</v>
      </c>
      <c r="H26" s="19">
        <v>6861.0</v>
      </c>
      <c r="I26" s="19"/>
      <c r="J26" s="19"/>
      <c r="N26" s="18" t="s">
        <v>57</v>
      </c>
      <c r="O26" s="18"/>
      <c r="P26" s="18"/>
    </row>
    <row r="27">
      <c r="A27" s="18" t="s">
        <v>59</v>
      </c>
      <c r="B27" s="18" t="s">
        <v>53</v>
      </c>
      <c r="C27" s="18" t="s">
        <v>104</v>
      </c>
      <c r="D27" s="18" t="s">
        <v>105</v>
      </c>
      <c r="F27" s="18">
        <v>15.04</v>
      </c>
      <c r="G27" s="18" t="s">
        <v>62</v>
      </c>
      <c r="H27" s="19">
        <v>6430.0</v>
      </c>
      <c r="I27" s="19"/>
      <c r="J27" s="19"/>
      <c r="N27" s="18" t="s">
        <v>57</v>
      </c>
      <c r="O27" s="18"/>
      <c r="P27" s="18"/>
    </row>
    <row r="28">
      <c r="A28" s="18" t="s">
        <v>59</v>
      </c>
      <c r="B28" s="18" t="s">
        <v>64</v>
      </c>
      <c r="C28" s="18" t="s">
        <v>106</v>
      </c>
      <c r="D28" s="18" t="s">
        <v>107</v>
      </c>
      <c r="F28" s="18">
        <v>17.06</v>
      </c>
      <c r="G28" s="18" t="s">
        <v>67</v>
      </c>
      <c r="H28" s="19">
        <v>6861.0</v>
      </c>
      <c r="I28" s="19"/>
      <c r="J28" s="19"/>
      <c r="N28" s="18" t="s">
        <v>57</v>
      </c>
      <c r="O28" s="18"/>
      <c r="P28" s="18"/>
    </row>
    <row r="29">
      <c r="A29" s="18" t="s">
        <v>59</v>
      </c>
      <c r="B29" s="18" t="s">
        <v>64</v>
      </c>
      <c r="C29" s="18" t="s">
        <v>108</v>
      </c>
      <c r="D29" s="18" t="s">
        <v>109</v>
      </c>
      <c r="F29" s="18">
        <v>17.06</v>
      </c>
      <c r="G29" s="18" t="s">
        <v>67</v>
      </c>
      <c r="H29" s="19">
        <v>6861.0</v>
      </c>
      <c r="I29" s="19"/>
      <c r="J29" s="19"/>
      <c r="N29" s="18" t="s">
        <v>57</v>
      </c>
      <c r="O29" s="18"/>
      <c r="P29" s="18"/>
    </row>
    <row r="30">
      <c r="A30" s="18" t="s">
        <v>59</v>
      </c>
      <c r="B30" s="18" t="s">
        <v>53</v>
      </c>
      <c r="C30" s="18" t="s">
        <v>110</v>
      </c>
      <c r="D30" s="18" t="s">
        <v>111</v>
      </c>
      <c r="F30" s="18">
        <v>15.04</v>
      </c>
      <c r="G30" s="18" t="s">
        <v>62</v>
      </c>
      <c r="H30" s="19">
        <v>6430.0</v>
      </c>
      <c r="I30" s="19"/>
      <c r="J30" s="19"/>
      <c r="N30" s="18" t="s">
        <v>57</v>
      </c>
      <c r="O30" s="18"/>
      <c r="P30" s="18"/>
    </row>
    <row r="31">
      <c r="A31" s="18" t="s">
        <v>2985</v>
      </c>
      <c r="B31" s="18" t="s">
        <v>45</v>
      </c>
      <c r="C31" s="18" t="s">
        <v>3003</v>
      </c>
      <c r="D31" s="18" t="s">
        <v>3004</v>
      </c>
      <c r="F31" s="18">
        <v>6.2</v>
      </c>
      <c r="G31" s="18" t="s">
        <v>45</v>
      </c>
      <c r="H31" s="19">
        <v>3100.0</v>
      </c>
      <c r="I31" s="19">
        <v>3200.0</v>
      </c>
      <c r="J31" s="19">
        <v>3600.0</v>
      </c>
      <c r="N31" s="18" t="s">
        <v>161</v>
      </c>
      <c r="O31" s="18" t="s">
        <v>2992</v>
      </c>
      <c r="P31" s="18" t="s">
        <v>400</v>
      </c>
    </row>
    <row r="32">
      <c r="A32" s="18" t="s">
        <v>44</v>
      </c>
      <c r="B32" s="18" t="s">
        <v>113</v>
      </c>
      <c r="C32" s="18" t="s">
        <v>114</v>
      </c>
      <c r="D32" s="18" t="s">
        <v>115</v>
      </c>
      <c r="F32" s="18">
        <v>11.9</v>
      </c>
      <c r="G32" s="18" t="s">
        <v>116</v>
      </c>
      <c r="H32" s="19">
        <v>5148.0</v>
      </c>
      <c r="I32" s="19">
        <v>5350.0</v>
      </c>
      <c r="J32" s="19">
        <v>6200.0</v>
      </c>
      <c r="K32" s="18"/>
      <c r="L32" s="18"/>
      <c r="M32" s="18"/>
      <c r="N32" s="18" t="s">
        <v>117</v>
      </c>
      <c r="O32" s="18" t="s">
        <v>2988</v>
      </c>
      <c r="P32" s="18" t="s">
        <v>2989</v>
      </c>
    </row>
    <row r="33">
      <c r="A33" s="18" t="s">
        <v>44</v>
      </c>
      <c r="B33" s="18" t="s">
        <v>53</v>
      </c>
      <c r="C33" s="18" t="s">
        <v>118</v>
      </c>
      <c r="D33" s="18" t="s">
        <v>119</v>
      </c>
      <c r="F33" s="18">
        <v>16.9</v>
      </c>
      <c r="G33" s="18" t="s">
        <v>120</v>
      </c>
      <c r="H33" s="19">
        <v>6437.0</v>
      </c>
      <c r="I33" s="19">
        <v>6450.0</v>
      </c>
      <c r="J33" s="19">
        <v>7750.0</v>
      </c>
      <c r="K33" s="18"/>
      <c r="L33" s="18"/>
      <c r="M33" s="18"/>
      <c r="N33" s="18" t="s">
        <v>117</v>
      </c>
      <c r="O33" s="18" t="s">
        <v>2988</v>
      </c>
      <c r="P33" s="18" t="s">
        <v>2989</v>
      </c>
    </row>
    <row r="34">
      <c r="A34" s="18" t="s">
        <v>44</v>
      </c>
      <c r="B34" s="18" t="s">
        <v>53</v>
      </c>
      <c r="C34" s="18" t="s">
        <v>121</v>
      </c>
      <c r="D34" s="18" t="s">
        <v>122</v>
      </c>
      <c r="F34" s="18">
        <v>16.0</v>
      </c>
      <c r="G34" s="18" t="s">
        <v>56</v>
      </c>
      <c r="H34" s="19">
        <v>6008.0</v>
      </c>
      <c r="I34" s="19">
        <v>6200.0</v>
      </c>
      <c r="J34" s="19">
        <v>7300.0</v>
      </c>
      <c r="K34" s="18"/>
      <c r="L34" s="18"/>
      <c r="M34" s="18"/>
      <c r="N34" s="18" t="s">
        <v>117</v>
      </c>
      <c r="O34" s="18" t="s">
        <v>2988</v>
      </c>
      <c r="P34" s="18" t="s">
        <v>2989</v>
      </c>
    </row>
    <row r="35">
      <c r="A35" s="18" t="s">
        <v>44</v>
      </c>
      <c r="B35" s="18" t="s">
        <v>113</v>
      </c>
      <c r="C35" s="18" t="s">
        <v>123</v>
      </c>
      <c r="D35" s="18" t="s">
        <v>124</v>
      </c>
      <c r="F35" s="18">
        <v>11.3</v>
      </c>
      <c r="G35" s="18" t="s">
        <v>116</v>
      </c>
      <c r="H35" s="19">
        <v>5148.0</v>
      </c>
      <c r="I35" s="19">
        <v>5350.0</v>
      </c>
      <c r="J35" s="19">
        <v>6200.0</v>
      </c>
      <c r="K35" s="18"/>
      <c r="L35" s="18"/>
      <c r="M35" s="18"/>
      <c r="N35" s="18" t="s">
        <v>41</v>
      </c>
      <c r="O35" s="18" t="s">
        <v>2988</v>
      </c>
      <c r="P35" s="18" t="s">
        <v>2989</v>
      </c>
    </row>
    <row r="36">
      <c r="A36" s="18" t="s">
        <v>2985</v>
      </c>
      <c r="B36" s="18" t="s">
        <v>45</v>
      </c>
      <c r="C36" s="18" t="s">
        <v>2993</v>
      </c>
      <c r="D36" s="18" t="s">
        <v>2994</v>
      </c>
      <c r="F36" s="18">
        <v>10.11</v>
      </c>
      <c r="G36" s="18" t="s">
        <v>400</v>
      </c>
      <c r="H36" s="19">
        <v>1998.75</v>
      </c>
      <c r="I36" s="19">
        <v>2100.0</v>
      </c>
      <c r="J36" s="19">
        <v>2400.0</v>
      </c>
      <c r="K36" s="18"/>
      <c r="L36" s="18"/>
      <c r="M36" s="18"/>
      <c r="N36" s="18" t="s">
        <v>117</v>
      </c>
      <c r="O36" s="18" t="s">
        <v>2992</v>
      </c>
      <c r="P36" s="18" t="s">
        <v>400</v>
      </c>
    </row>
    <row r="37">
      <c r="A37" s="18"/>
      <c r="B37" s="18"/>
      <c r="C37" s="18"/>
      <c r="D37" s="18"/>
      <c r="F37" s="18"/>
      <c r="G37" s="18"/>
      <c r="H37" s="19"/>
      <c r="I37" s="19"/>
      <c r="J37" s="19"/>
      <c r="N37" s="18"/>
      <c r="O37" s="18"/>
      <c r="P37" s="18"/>
    </row>
    <row r="38">
      <c r="A38" s="18"/>
      <c r="B38" s="18"/>
      <c r="C38" s="18"/>
      <c r="D38" s="18"/>
      <c r="F38" s="18"/>
      <c r="G38" s="18"/>
      <c r="H38" s="19"/>
      <c r="I38" s="19"/>
      <c r="J38" s="19"/>
      <c r="N38" s="18"/>
      <c r="O38" s="18"/>
      <c r="P38" s="18"/>
    </row>
    <row r="39">
      <c r="A39" s="18"/>
      <c r="B39" s="18"/>
      <c r="C39" s="18"/>
      <c r="D39" s="18"/>
      <c r="F39" s="18"/>
      <c r="G39" s="18"/>
      <c r="H39" s="19"/>
      <c r="I39" s="19"/>
      <c r="J39" s="19"/>
      <c r="N39" s="18"/>
      <c r="O39" s="18"/>
      <c r="P39" s="18"/>
    </row>
    <row r="40">
      <c r="A40" s="18"/>
      <c r="B40" s="18"/>
      <c r="C40" s="18"/>
      <c r="D40" s="18"/>
      <c r="F40" s="18"/>
      <c r="G40" s="18"/>
      <c r="H40" s="19"/>
      <c r="I40" s="19"/>
      <c r="J40" s="19"/>
      <c r="N40" s="18"/>
      <c r="O40" s="18"/>
      <c r="P40" s="18"/>
    </row>
    <row r="41">
      <c r="A41" s="18"/>
      <c r="B41" s="18"/>
      <c r="C41" s="18"/>
      <c r="D41" s="18"/>
      <c r="F41" s="18"/>
      <c r="G41" s="18"/>
      <c r="H41" s="19"/>
      <c r="I41" s="19"/>
      <c r="J41" s="19"/>
      <c r="N41" s="18"/>
      <c r="O41" s="18"/>
      <c r="P41" s="18"/>
    </row>
    <row r="42">
      <c r="A42" s="18"/>
      <c r="B42" s="18"/>
      <c r="C42" s="18"/>
      <c r="D42" s="18"/>
      <c r="F42" s="18"/>
      <c r="G42" s="18"/>
      <c r="H42" s="19"/>
      <c r="I42" s="19"/>
      <c r="J42" s="19"/>
      <c r="N42" s="18"/>
      <c r="O42" s="18"/>
      <c r="P42" s="18"/>
    </row>
    <row r="43">
      <c r="A43" s="18"/>
      <c r="B43" s="18"/>
      <c r="C43" s="18"/>
      <c r="D43" s="18"/>
      <c r="F43" s="18"/>
      <c r="G43" s="18"/>
      <c r="H43" s="19"/>
      <c r="I43" s="19"/>
      <c r="J43" s="19"/>
      <c r="N43" s="18"/>
      <c r="O43" s="18"/>
      <c r="P43" s="18"/>
    </row>
    <row r="44">
      <c r="A44" s="18"/>
      <c r="B44" s="18"/>
      <c r="C44" s="18"/>
      <c r="D44" s="18"/>
      <c r="F44" s="18"/>
      <c r="G44" s="18"/>
      <c r="H44" s="19"/>
      <c r="I44" s="19"/>
      <c r="J44" s="19"/>
      <c r="K44" s="18"/>
      <c r="L44" s="18"/>
      <c r="M44" s="18"/>
      <c r="N44" s="18"/>
      <c r="O44" s="18"/>
      <c r="P44" s="18"/>
    </row>
    <row r="45">
      <c r="A45" s="18"/>
      <c r="B45" s="18"/>
      <c r="C45" s="18"/>
      <c r="D45" s="18"/>
      <c r="F45" s="18"/>
      <c r="G45" s="18"/>
      <c r="H45" s="19"/>
      <c r="I45" s="19"/>
      <c r="J45" s="19"/>
      <c r="N45" s="18"/>
      <c r="O45" s="18"/>
      <c r="P45" s="18"/>
    </row>
    <row r="46">
      <c r="A46" s="18"/>
      <c r="B46" s="18"/>
      <c r="C46" s="18"/>
      <c r="D46" s="18"/>
      <c r="F46" s="18"/>
      <c r="G46" s="18"/>
      <c r="H46" s="19"/>
      <c r="I46" s="19"/>
      <c r="J46" s="19"/>
      <c r="N46" s="18"/>
      <c r="O46" s="18"/>
      <c r="P46" s="18"/>
    </row>
    <row r="47">
      <c r="A47" s="18"/>
      <c r="B47" s="18"/>
      <c r="C47" s="18"/>
      <c r="D47" s="18"/>
      <c r="F47" s="18"/>
      <c r="G47" s="18"/>
      <c r="H47" s="19"/>
      <c r="I47" s="19"/>
      <c r="J47" s="19"/>
      <c r="N47" s="18"/>
      <c r="O47" s="18"/>
      <c r="P47" s="18"/>
    </row>
    <row r="48">
      <c r="A48" s="18"/>
      <c r="B48" s="18"/>
      <c r="C48" s="18"/>
      <c r="D48" s="18"/>
      <c r="F48" s="18"/>
      <c r="G48" s="18"/>
      <c r="H48" s="19"/>
      <c r="I48" s="19"/>
      <c r="J48" s="19"/>
      <c r="K48" s="18"/>
      <c r="L48" s="18"/>
      <c r="M48" s="18"/>
      <c r="N48" s="18"/>
      <c r="O48" s="18"/>
      <c r="P48" s="18"/>
    </row>
    <row r="49">
      <c r="A49" s="18"/>
      <c r="B49" s="18"/>
      <c r="C49" s="18"/>
      <c r="D49" s="18"/>
      <c r="F49" s="18"/>
      <c r="G49" s="18"/>
      <c r="H49" s="19"/>
      <c r="I49" s="19"/>
      <c r="J49" s="19"/>
      <c r="N49" s="18"/>
      <c r="O49" s="18"/>
      <c r="P49" s="18"/>
    </row>
    <row r="50">
      <c r="A50" s="18"/>
      <c r="B50" s="18"/>
      <c r="C50" s="18"/>
      <c r="D50" s="18"/>
      <c r="F50" s="18"/>
      <c r="G50" s="18"/>
      <c r="H50" s="19"/>
      <c r="I50" s="19"/>
      <c r="J50" s="19"/>
      <c r="N50" s="18"/>
      <c r="O50" s="18"/>
      <c r="P50" s="18"/>
    </row>
    <row r="51">
      <c r="A51" s="18"/>
      <c r="B51" s="18"/>
      <c r="C51" s="18"/>
      <c r="D51" s="18"/>
      <c r="F51" s="18"/>
      <c r="G51" s="18"/>
      <c r="H51" s="19"/>
      <c r="I51" s="19"/>
      <c r="J51" s="19"/>
      <c r="N51" s="18"/>
      <c r="O51" s="18"/>
      <c r="P51" s="18"/>
    </row>
    <row r="52">
      <c r="A52" s="18"/>
      <c r="B52" s="18"/>
      <c r="C52" s="18"/>
      <c r="D52" s="18"/>
      <c r="F52" s="18"/>
      <c r="G52" s="18"/>
      <c r="H52" s="19"/>
      <c r="I52" s="19"/>
      <c r="J52" s="19"/>
      <c r="N52" s="18"/>
      <c r="O52" s="18"/>
      <c r="P52" s="18"/>
    </row>
    <row r="53">
      <c r="A53" s="18"/>
      <c r="B53" s="18"/>
      <c r="C53" s="18"/>
      <c r="D53" s="18"/>
      <c r="F53" s="18"/>
      <c r="G53" s="18"/>
      <c r="H53" s="19"/>
      <c r="I53" s="19"/>
      <c r="J53" s="19"/>
      <c r="N53" s="18"/>
      <c r="O53" s="18"/>
      <c r="P53" s="18"/>
    </row>
    <row r="54">
      <c r="A54" s="18"/>
      <c r="B54" s="18"/>
      <c r="C54" s="18"/>
      <c r="D54" s="18"/>
      <c r="F54" s="18"/>
      <c r="G54" s="18"/>
      <c r="H54" s="19"/>
      <c r="I54" s="19"/>
      <c r="J54" s="19"/>
      <c r="N54" s="18"/>
      <c r="O54" s="18"/>
      <c r="P54" s="18"/>
    </row>
    <row r="55">
      <c r="A55" s="18"/>
      <c r="B55" s="18"/>
      <c r="C55" s="18"/>
      <c r="D55" s="18"/>
      <c r="F55" s="18"/>
      <c r="G55" s="18"/>
      <c r="H55" s="19"/>
      <c r="I55" s="19"/>
      <c r="J55" s="19"/>
      <c r="N55" s="18"/>
      <c r="O55" s="18"/>
      <c r="P55" s="18"/>
    </row>
    <row r="56">
      <c r="A56" s="18"/>
      <c r="B56" s="18"/>
      <c r="C56" s="18"/>
      <c r="D56" s="18"/>
      <c r="F56" s="18"/>
      <c r="G56" s="18"/>
      <c r="H56" s="19"/>
      <c r="I56" s="19"/>
      <c r="J56" s="19"/>
      <c r="N56" s="18"/>
      <c r="O56" s="18"/>
      <c r="P56" s="18"/>
    </row>
    <row r="57">
      <c r="A57" s="18"/>
      <c r="B57" s="18"/>
      <c r="C57" s="18"/>
      <c r="D57" s="18"/>
      <c r="F57" s="18"/>
      <c r="G57" s="18"/>
      <c r="H57" s="19"/>
      <c r="I57" s="19"/>
      <c r="J57" s="19"/>
      <c r="N57" s="18"/>
      <c r="O57" s="18"/>
      <c r="P57" s="18"/>
    </row>
    <row r="58">
      <c r="A58" s="18"/>
      <c r="B58" s="18"/>
      <c r="C58" s="18"/>
      <c r="D58" s="18"/>
      <c r="F58" s="18"/>
      <c r="G58" s="18"/>
      <c r="H58" s="19"/>
      <c r="I58" s="19"/>
      <c r="J58" s="19"/>
      <c r="N58" s="18"/>
      <c r="O58" s="18"/>
      <c r="P58" s="18"/>
    </row>
    <row r="59">
      <c r="A59" s="18"/>
      <c r="B59" s="18"/>
      <c r="C59" s="18"/>
      <c r="D59" s="18"/>
      <c r="F59" s="18"/>
      <c r="G59" s="18"/>
      <c r="H59" s="19"/>
      <c r="I59" s="19"/>
      <c r="J59" s="19"/>
      <c r="N59" s="18"/>
      <c r="O59" s="18"/>
      <c r="P59" s="18"/>
    </row>
    <row r="60">
      <c r="A60" s="18"/>
      <c r="B60" s="18"/>
      <c r="C60" s="18"/>
      <c r="D60" s="18"/>
      <c r="F60" s="18"/>
      <c r="G60" s="18"/>
      <c r="H60" s="19"/>
      <c r="I60" s="19"/>
      <c r="J60" s="19"/>
      <c r="N60" s="18"/>
      <c r="O60" s="18"/>
      <c r="P60" s="18"/>
    </row>
    <row r="61">
      <c r="A61" s="18"/>
      <c r="B61" s="18"/>
      <c r="C61" s="18"/>
      <c r="D61" s="18"/>
      <c r="F61" s="18"/>
      <c r="G61" s="18"/>
      <c r="H61" s="19"/>
      <c r="I61" s="19"/>
      <c r="J61" s="19"/>
      <c r="N61" s="18"/>
      <c r="O61" s="18"/>
      <c r="P61" s="18"/>
    </row>
    <row r="62">
      <c r="A62" s="18"/>
      <c r="B62" s="18"/>
      <c r="C62" s="18"/>
      <c r="D62" s="18"/>
      <c r="F62" s="18"/>
      <c r="G62" s="18"/>
      <c r="H62" s="19"/>
      <c r="I62" s="19"/>
      <c r="J62" s="19"/>
      <c r="N62" s="18"/>
      <c r="O62" s="18"/>
      <c r="P62" s="18"/>
    </row>
    <row r="63">
      <c r="A63" s="18"/>
      <c r="B63" s="18"/>
      <c r="C63" s="18"/>
      <c r="D63" s="18"/>
      <c r="F63" s="18"/>
      <c r="G63" s="18"/>
      <c r="H63" s="19"/>
      <c r="I63" s="19"/>
      <c r="J63" s="19"/>
      <c r="N63" s="18"/>
      <c r="O63" s="18"/>
      <c r="P63" s="18"/>
    </row>
    <row r="64">
      <c r="A64" s="18"/>
      <c r="B64" s="18"/>
      <c r="C64" s="18"/>
      <c r="D64" s="18"/>
      <c r="F64" s="18"/>
      <c r="G64" s="18"/>
      <c r="H64" s="19"/>
      <c r="I64" s="19"/>
      <c r="J64" s="19"/>
      <c r="N64" s="18"/>
      <c r="O64" s="18"/>
      <c r="P64" s="18"/>
    </row>
    <row r="65">
      <c r="A65" s="18"/>
      <c r="B65" s="18"/>
      <c r="C65" s="18"/>
      <c r="D65" s="18"/>
      <c r="F65" s="18"/>
      <c r="G65" s="18"/>
      <c r="H65" s="19"/>
      <c r="I65" s="19"/>
      <c r="J65" s="19"/>
      <c r="N65" s="18"/>
      <c r="O65" s="18"/>
      <c r="P65" s="18"/>
    </row>
    <row r="66">
      <c r="F66" s="19"/>
      <c r="H66" s="19"/>
      <c r="I66" s="19"/>
      <c r="J66" s="19"/>
      <c r="P66" s="18"/>
    </row>
    <row r="67">
      <c r="A67" s="18"/>
      <c r="B67" s="18"/>
      <c r="C67" s="18"/>
      <c r="D67" s="18"/>
      <c r="F67" s="18"/>
      <c r="G67" s="18"/>
      <c r="H67" s="19"/>
      <c r="I67" s="19"/>
      <c r="N67" s="18"/>
    </row>
    <row r="68">
      <c r="A68" s="18"/>
      <c r="B68" s="18"/>
      <c r="C68" s="18"/>
      <c r="D68" s="18"/>
      <c r="F68" s="18"/>
      <c r="G68" s="18"/>
      <c r="H68" s="19"/>
      <c r="I68" s="19"/>
      <c r="N68" s="18"/>
    </row>
    <row r="69">
      <c r="A69" s="18"/>
      <c r="B69" s="18"/>
      <c r="C69" s="18"/>
      <c r="D69" s="18"/>
      <c r="F69" s="18"/>
      <c r="G69" s="18"/>
      <c r="H69" s="19"/>
      <c r="I69" s="19"/>
      <c r="N69" s="18"/>
    </row>
    <row r="70">
      <c r="A70" s="18"/>
      <c r="B70" s="18"/>
      <c r="C70" s="18"/>
      <c r="D70" s="18"/>
      <c r="F70" s="18"/>
      <c r="G70" s="18"/>
      <c r="H70" s="19"/>
      <c r="I70" s="19"/>
      <c r="N70" s="18"/>
    </row>
    <row r="71">
      <c r="A71" s="18"/>
      <c r="B71" s="18"/>
      <c r="C71" s="18"/>
      <c r="D71" s="18"/>
      <c r="F71" s="18"/>
      <c r="G71" s="18"/>
      <c r="H71" s="19"/>
      <c r="I71" s="19"/>
      <c r="N71" s="18"/>
    </row>
    <row r="72">
      <c r="F72" s="19"/>
      <c r="H72" s="19"/>
      <c r="I72" s="19"/>
      <c r="J72" s="19"/>
      <c r="P72" s="18"/>
    </row>
    <row r="73">
      <c r="F73" s="19"/>
      <c r="H73" s="19"/>
      <c r="I73" s="19"/>
      <c r="J73" s="19"/>
      <c r="P73" s="18"/>
    </row>
  </sheetData>
  <autoFilter ref="$A$1:$Z$64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18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3</v>
      </c>
      <c r="G1" s="17" t="s">
        <v>23</v>
      </c>
      <c r="H1" s="17" t="s">
        <v>24</v>
      </c>
      <c r="I1" s="17" t="s">
        <v>25</v>
      </c>
      <c r="J1" s="17" t="s">
        <v>3005</v>
      </c>
      <c r="K1" s="17" t="s">
        <v>27</v>
      </c>
      <c r="L1" s="17" t="s">
        <v>28</v>
      </c>
      <c r="M1" s="17" t="s">
        <v>29</v>
      </c>
      <c r="N1" s="17" t="s">
        <v>30</v>
      </c>
      <c r="O1" s="17" t="s">
        <v>31</v>
      </c>
      <c r="P1" s="17" t="s">
        <v>32</v>
      </c>
      <c r="Q1" s="17" t="s">
        <v>3006</v>
      </c>
    </row>
    <row r="2">
      <c r="A2" s="18" t="s">
        <v>3007</v>
      </c>
      <c r="B2" s="18" t="s">
        <v>44</v>
      </c>
      <c r="C2" s="18" t="s">
        <v>180</v>
      </c>
      <c r="D2" s="18" t="s">
        <v>3008</v>
      </c>
      <c r="E2" s="18" t="s">
        <v>3009</v>
      </c>
      <c r="G2" s="18">
        <v>23.02</v>
      </c>
      <c r="H2" s="18" t="s">
        <v>168</v>
      </c>
      <c r="I2" s="19">
        <v>5750.0</v>
      </c>
      <c r="J2" s="19">
        <v>5750.0</v>
      </c>
      <c r="K2" s="19">
        <v>7400.0</v>
      </c>
      <c r="L2" s="18" t="s">
        <v>3010</v>
      </c>
      <c r="M2" s="18" t="s">
        <v>3011</v>
      </c>
      <c r="N2" s="18" t="s">
        <v>250</v>
      </c>
      <c r="O2" s="18" t="s">
        <v>57</v>
      </c>
      <c r="Q2" s="19">
        <v>5569.0</v>
      </c>
    </row>
    <row r="3">
      <c r="A3" s="18" t="s">
        <v>3007</v>
      </c>
      <c r="B3" s="18" t="s">
        <v>44</v>
      </c>
      <c r="C3" s="18" t="s">
        <v>64</v>
      </c>
      <c r="D3" s="18" t="s">
        <v>3012</v>
      </c>
      <c r="E3" s="18" t="s">
        <v>3013</v>
      </c>
      <c r="G3" s="18">
        <v>18.63</v>
      </c>
      <c r="H3" s="18" t="s">
        <v>120</v>
      </c>
      <c r="I3" s="19">
        <v>4800.0</v>
      </c>
      <c r="J3" s="19">
        <v>4800.0</v>
      </c>
      <c r="K3" s="19">
        <v>6100.0</v>
      </c>
      <c r="L3" s="18" t="s">
        <v>3014</v>
      </c>
      <c r="M3" s="18" t="s">
        <v>3015</v>
      </c>
      <c r="N3" s="18" t="s">
        <v>250</v>
      </c>
      <c r="O3" s="18" t="s">
        <v>57</v>
      </c>
      <c r="Q3" s="19">
        <v>4643.0</v>
      </c>
    </row>
    <row r="4">
      <c r="A4" s="18" t="s">
        <v>35</v>
      </c>
      <c r="B4" s="18" t="s">
        <v>36</v>
      </c>
      <c r="C4" s="18" t="s">
        <v>37</v>
      </c>
      <c r="D4" s="18" t="s">
        <v>38</v>
      </c>
      <c r="E4" s="18" t="s">
        <v>39</v>
      </c>
      <c r="H4" s="18" t="s">
        <v>40</v>
      </c>
      <c r="I4" s="19">
        <v>1666.66</v>
      </c>
      <c r="J4" s="19">
        <v>2250.0</v>
      </c>
      <c r="O4" s="18" t="s">
        <v>41</v>
      </c>
      <c r="P4" s="18" t="s">
        <v>42</v>
      </c>
    </row>
    <row r="5">
      <c r="A5" s="18" t="s">
        <v>3016</v>
      </c>
      <c r="B5" s="18" t="s">
        <v>44</v>
      </c>
      <c r="C5" s="18" t="s">
        <v>45</v>
      </c>
      <c r="D5" s="18" t="s">
        <v>3017</v>
      </c>
      <c r="E5" s="18" t="s">
        <v>3018</v>
      </c>
      <c r="G5" s="18">
        <v>14.37</v>
      </c>
      <c r="H5" s="18" t="s">
        <v>400</v>
      </c>
      <c r="J5" s="19">
        <v>0.0</v>
      </c>
      <c r="K5" s="19">
        <v>2450.0</v>
      </c>
      <c r="O5" s="18" t="s">
        <v>83</v>
      </c>
    </row>
    <row r="6">
      <c r="A6" s="18" t="s">
        <v>3016</v>
      </c>
      <c r="B6" s="18" t="s">
        <v>44</v>
      </c>
      <c r="C6" s="18" t="s">
        <v>64</v>
      </c>
      <c r="D6" s="18" t="s">
        <v>3019</v>
      </c>
      <c r="E6" s="18" t="s">
        <v>3020</v>
      </c>
      <c r="G6" s="18">
        <v>18.0</v>
      </c>
      <c r="H6" s="18" t="s">
        <v>120</v>
      </c>
      <c r="J6" s="19">
        <v>0.0</v>
      </c>
      <c r="K6" s="19">
        <v>6250.0</v>
      </c>
      <c r="O6" s="18" t="s">
        <v>83</v>
      </c>
    </row>
    <row r="7">
      <c r="A7" s="18" t="s">
        <v>3016</v>
      </c>
      <c r="B7" s="18" t="s">
        <v>45</v>
      </c>
      <c r="C7" s="18" t="s">
        <v>45</v>
      </c>
      <c r="D7" s="18" t="s">
        <v>3021</v>
      </c>
      <c r="E7" s="18" t="s">
        <v>3022</v>
      </c>
      <c r="G7" s="18">
        <v>12.62</v>
      </c>
      <c r="H7" s="18" t="s">
        <v>400</v>
      </c>
      <c r="J7" s="19">
        <v>0.0</v>
      </c>
      <c r="K7" s="19">
        <v>2450.0</v>
      </c>
      <c r="O7" s="18" t="s">
        <v>83</v>
      </c>
    </row>
    <row r="8">
      <c r="A8" s="18" t="s">
        <v>3016</v>
      </c>
      <c r="B8" s="18" t="s">
        <v>45</v>
      </c>
      <c r="C8" s="18" t="s">
        <v>45</v>
      </c>
      <c r="D8" s="18" t="s">
        <v>3023</v>
      </c>
      <c r="E8" s="18" t="s">
        <v>3024</v>
      </c>
      <c r="G8" s="18">
        <v>12.6</v>
      </c>
      <c r="H8" s="18" t="s">
        <v>400</v>
      </c>
      <c r="J8" s="19">
        <v>0.0</v>
      </c>
      <c r="K8" s="19">
        <v>2450.0</v>
      </c>
      <c r="O8" s="18" t="s">
        <v>83</v>
      </c>
    </row>
    <row r="9">
      <c r="A9" s="18" t="s">
        <v>3016</v>
      </c>
      <c r="B9" s="18" t="s">
        <v>44</v>
      </c>
      <c r="C9" s="18" t="s">
        <v>133</v>
      </c>
      <c r="D9" s="18" t="s">
        <v>3025</v>
      </c>
      <c r="E9" s="18" t="s">
        <v>3026</v>
      </c>
      <c r="G9" s="18">
        <v>13.51</v>
      </c>
      <c r="H9" s="18" t="s">
        <v>56</v>
      </c>
      <c r="J9" s="19">
        <v>0.0</v>
      </c>
      <c r="K9" s="19">
        <v>5300.0</v>
      </c>
      <c r="O9" s="18" t="s">
        <v>83</v>
      </c>
    </row>
    <row r="10">
      <c r="A10" s="18" t="s">
        <v>3016</v>
      </c>
      <c r="B10" s="18" t="s">
        <v>45</v>
      </c>
      <c r="C10" s="18" t="s">
        <v>133</v>
      </c>
      <c r="D10" s="18" t="s">
        <v>3027</v>
      </c>
      <c r="E10" s="18" t="s">
        <v>3028</v>
      </c>
      <c r="G10" s="18">
        <v>13.49</v>
      </c>
      <c r="H10" s="18" t="s">
        <v>56</v>
      </c>
      <c r="J10" s="19">
        <v>0.0</v>
      </c>
      <c r="K10" s="19">
        <v>5300.0</v>
      </c>
      <c r="O10" s="18" t="s">
        <v>83</v>
      </c>
    </row>
    <row r="11">
      <c r="A11" s="18" t="s">
        <v>3016</v>
      </c>
      <c r="B11" s="18" t="s">
        <v>44</v>
      </c>
      <c r="C11" s="18" t="s">
        <v>64</v>
      </c>
      <c r="D11" s="18" t="s">
        <v>3029</v>
      </c>
      <c r="E11" s="18" t="s">
        <v>3030</v>
      </c>
      <c r="G11" s="18">
        <v>19.49</v>
      </c>
      <c r="H11" s="18" t="s">
        <v>120</v>
      </c>
      <c r="J11" s="19">
        <v>0.0</v>
      </c>
      <c r="K11" s="19">
        <v>6250.0</v>
      </c>
      <c r="O11" s="18" t="s">
        <v>83</v>
      </c>
    </row>
    <row r="12">
      <c r="A12" s="18" t="s">
        <v>43</v>
      </c>
      <c r="B12" s="18" t="s">
        <v>44</v>
      </c>
      <c r="C12" s="18" t="s">
        <v>64</v>
      </c>
      <c r="D12" s="18" t="s">
        <v>2347</v>
      </c>
      <c r="E12" s="18" t="s">
        <v>2348</v>
      </c>
      <c r="G12" s="18">
        <v>17.05</v>
      </c>
      <c r="H12" s="18" t="s">
        <v>120</v>
      </c>
      <c r="I12" s="19">
        <v>6800.0</v>
      </c>
      <c r="J12" s="19">
        <v>8200.0</v>
      </c>
      <c r="O12" s="18" t="s">
        <v>41</v>
      </c>
      <c r="P12" s="18" t="s">
        <v>48</v>
      </c>
    </row>
    <row r="13">
      <c r="A13" s="18" t="s">
        <v>43</v>
      </c>
      <c r="B13" s="18" t="s">
        <v>44</v>
      </c>
      <c r="C13" s="18" t="s">
        <v>45</v>
      </c>
      <c r="D13" s="18" t="s">
        <v>46</v>
      </c>
      <c r="E13" s="18" t="s">
        <v>47</v>
      </c>
      <c r="G13" s="18">
        <v>10.62</v>
      </c>
      <c r="H13" s="18" t="s">
        <v>45</v>
      </c>
      <c r="I13" s="19">
        <v>5100.0</v>
      </c>
      <c r="J13" s="19">
        <v>6150.0</v>
      </c>
      <c r="O13" s="18" t="s">
        <v>41</v>
      </c>
      <c r="P13" s="18" t="s">
        <v>48</v>
      </c>
    </row>
    <row r="14">
      <c r="A14" s="18" t="s">
        <v>43</v>
      </c>
      <c r="B14" s="18" t="s">
        <v>44</v>
      </c>
      <c r="C14" s="18" t="s">
        <v>53</v>
      </c>
      <c r="D14" s="18" t="s">
        <v>54</v>
      </c>
      <c r="E14" s="18" t="s">
        <v>55</v>
      </c>
      <c r="G14" s="18">
        <v>15.03</v>
      </c>
      <c r="H14" s="18" t="s">
        <v>56</v>
      </c>
      <c r="I14" s="19">
        <v>6400.0</v>
      </c>
      <c r="J14" s="19">
        <v>7700.0</v>
      </c>
      <c r="O14" s="18" t="s">
        <v>57</v>
      </c>
      <c r="P14" s="18" t="s">
        <v>48</v>
      </c>
    </row>
    <row r="15">
      <c r="A15" s="18" t="s">
        <v>58</v>
      </c>
      <c r="B15" s="18" t="s">
        <v>59</v>
      </c>
      <c r="C15" s="18" t="s">
        <v>53</v>
      </c>
      <c r="D15" s="18" t="s">
        <v>60</v>
      </c>
      <c r="E15" s="18" t="s">
        <v>61</v>
      </c>
      <c r="G15" s="18">
        <v>15.04</v>
      </c>
      <c r="H15" s="18" t="s">
        <v>62</v>
      </c>
      <c r="I15" s="19">
        <v>6430.0</v>
      </c>
      <c r="J15" s="19">
        <v>6450.0</v>
      </c>
      <c r="O15" s="18" t="s">
        <v>57</v>
      </c>
      <c r="P15" s="18" t="s">
        <v>63</v>
      </c>
    </row>
    <row r="16">
      <c r="A16" s="18" t="s">
        <v>58</v>
      </c>
      <c r="B16" s="18" t="s">
        <v>59</v>
      </c>
      <c r="C16" s="18" t="s">
        <v>64</v>
      </c>
      <c r="D16" s="18" t="s">
        <v>65</v>
      </c>
      <c r="E16" s="18" t="s">
        <v>66</v>
      </c>
      <c r="G16" s="18">
        <v>17.06</v>
      </c>
      <c r="H16" s="18" t="s">
        <v>67</v>
      </c>
      <c r="I16" s="19">
        <v>6861.0</v>
      </c>
      <c r="J16" s="19">
        <v>6900.0</v>
      </c>
      <c r="O16" s="18" t="s">
        <v>57</v>
      </c>
      <c r="P16" s="18" t="s">
        <v>63</v>
      </c>
    </row>
    <row r="17">
      <c r="A17" s="18" t="s">
        <v>58</v>
      </c>
      <c r="B17" s="18" t="s">
        <v>59</v>
      </c>
      <c r="C17" s="18" t="s">
        <v>53</v>
      </c>
      <c r="D17" s="18" t="s">
        <v>68</v>
      </c>
      <c r="E17" s="18" t="s">
        <v>69</v>
      </c>
      <c r="G17" s="18">
        <v>15.04</v>
      </c>
      <c r="H17" s="18" t="s">
        <v>62</v>
      </c>
      <c r="I17" s="19">
        <v>6430.0</v>
      </c>
      <c r="J17" s="19">
        <v>6450.0</v>
      </c>
      <c r="O17" s="18" t="s">
        <v>57</v>
      </c>
      <c r="P17" s="18" t="s">
        <v>63</v>
      </c>
    </row>
    <row r="18">
      <c r="A18" s="18" t="s">
        <v>58</v>
      </c>
      <c r="B18" s="18" t="s">
        <v>59</v>
      </c>
      <c r="C18" s="18" t="s">
        <v>53</v>
      </c>
      <c r="D18" s="18" t="s">
        <v>70</v>
      </c>
      <c r="E18" s="18" t="s">
        <v>71</v>
      </c>
      <c r="G18" s="18">
        <v>15.15</v>
      </c>
      <c r="H18" s="18" t="s">
        <v>62</v>
      </c>
      <c r="I18" s="19">
        <v>6430.0</v>
      </c>
      <c r="J18" s="19">
        <v>6450.0</v>
      </c>
      <c r="O18" s="18" t="s">
        <v>57</v>
      </c>
      <c r="P18" s="18" t="s">
        <v>63</v>
      </c>
    </row>
    <row r="19">
      <c r="A19" s="18" t="s">
        <v>58</v>
      </c>
      <c r="B19" s="18" t="s">
        <v>59</v>
      </c>
      <c r="C19" s="18" t="s">
        <v>64</v>
      </c>
      <c r="D19" s="18" t="s">
        <v>72</v>
      </c>
      <c r="E19" s="18" t="s">
        <v>73</v>
      </c>
      <c r="G19" s="18">
        <v>17.06</v>
      </c>
      <c r="H19" s="18" t="s">
        <v>67</v>
      </c>
      <c r="I19" s="19">
        <v>6861.0</v>
      </c>
      <c r="J19" s="19">
        <v>6900.0</v>
      </c>
      <c r="O19" s="18" t="s">
        <v>57</v>
      </c>
      <c r="P19" s="18" t="s">
        <v>63</v>
      </c>
    </row>
    <row r="20">
      <c r="A20" s="18" t="s">
        <v>58</v>
      </c>
      <c r="B20" s="18" t="s">
        <v>59</v>
      </c>
      <c r="C20" s="18" t="s">
        <v>53</v>
      </c>
      <c r="D20" s="18" t="s">
        <v>74</v>
      </c>
      <c r="E20" s="18" t="s">
        <v>75</v>
      </c>
      <c r="G20" s="18">
        <v>15.04</v>
      </c>
      <c r="H20" s="18" t="s">
        <v>62</v>
      </c>
      <c r="I20" s="19">
        <v>6430.0</v>
      </c>
      <c r="J20" s="19">
        <v>6450.0</v>
      </c>
      <c r="O20" s="18" t="s">
        <v>57</v>
      </c>
      <c r="P20" s="18" t="s">
        <v>63</v>
      </c>
    </row>
    <row r="21">
      <c r="A21" s="18" t="s">
        <v>58</v>
      </c>
      <c r="B21" s="18" t="s">
        <v>59</v>
      </c>
      <c r="C21" s="18" t="s">
        <v>76</v>
      </c>
      <c r="D21" s="18" t="s">
        <v>77</v>
      </c>
      <c r="E21" s="18" t="s">
        <v>78</v>
      </c>
      <c r="G21" s="18">
        <v>19.04</v>
      </c>
      <c r="H21" s="18" t="s">
        <v>67</v>
      </c>
      <c r="I21" s="19">
        <v>7300.0</v>
      </c>
      <c r="J21" s="19">
        <v>7300.0</v>
      </c>
      <c r="O21" s="18" t="s">
        <v>57</v>
      </c>
      <c r="P21" s="18" t="s">
        <v>63</v>
      </c>
    </row>
    <row r="22">
      <c r="A22" s="18" t="s">
        <v>58</v>
      </c>
      <c r="B22" s="18" t="s">
        <v>59</v>
      </c>
      <c r="C22" s="18" t="s">
        <v>76</v>
      </c>
      <c r="D22" s="18" t="s">
        <v>79</v>
      </c>
      <c r="E22" s="18" t="s">
        <v>80</v>
      </c>
      <c r="G22" s="18">
        <v>19.04</v>
      </c>
      <c r="H22" s="18" t="s">
        <v>67</v>
      </c>
      <c r="I22" s="19">
        <v>7300.0</v>
      </c>
      <c r="J22" s="19">
        <v>7300.0</v>
      </c>
      <c r="O22" s="18" t="s">
        <v>57</v>
      </c>
      <c r="P22" s="18" t="s">
        <v>63</v>
      </c>
    </row>
    <row r="23">
      <c r="A23" s="18" t="s">
        <v>58</v>
      </c>
      <c r="B23" s="18" t="s">
        <v>59</v>
      </c>
      <c r="C23" s="18" t="s">
        <v>53</v>
      </c>
      <c r="D23" s="18" t="s">
        <v>81</v>
      </c>
      <c r="E23" s="18" t="s">
        <v>82</v>
      </c>
      <c r="G23" s="18">
        <v>15.03</v>
      </c>
      <c r="H23" s="18" t="s">
        <v>62</v>
      </c>
      <c r="I23" s="19">
        <v>6430.0</v>
      </c>
      <c r="J23" s="19">
        <v>6450.0</v>
      </c>
      <c r="O23" s="18" t="s">
        <v>83</v>
      </c>
      <c r="P23" s="18" t="s">
        <v>63</v>
      </c>
    </row>
    <row r="24">
      <c r="A24" s="18" t="s">
        <v>58</v>
      </c>
      <c r="B24" s="18" t="s">
        <v>59</v>
      </c>
      <c r="C24" s="18" t="s">
        <v>76</v>
      </c>
      <c r="D24" s="18" t="s">
        <v>84</v>
      </c>
      <c r="E24" s="18" t="s">
        <v>85</v>
      </c>
      <c r="G24" s="18">
        <v>19.15</v>
      </c>
      <c r="H24" s="18" t="s">
        <v>67</v>
      </c>
      <c r="I24" s="19">
        <v>7300.0</v>
      </c>
      <c r="J24" s="19">
        <v>7300.0</v>
      </c>
      <c r="O24" s="18" t="s">
        <v>83</v>
      </c>
      <c r="P24" s="18" t="s">
        <v>63</v>
      </c>
    </row>
    <row r="25">
      <c r="A25" s="18" t="s">
        <v>58</v>
      </c>
      <c r="B25" s="18" t="s">
        <v>59</v>
      </c>
      <c r="C25" s="18" t="s">
        <v>53</v>
      </c>
      <c r="D25" s="18" t="s">
        <v>86</v>
      </c>
      <c r="E25" s="18" t="s">
        <v>87</v>
      </c>
      <c r="G25" s="18">
        <v>15.03</v>
      </c>
      <c r="H25" s="18" t="s">
        <v>62</v>
      </c>
      <c r="I25" s="19">
        <v>6430.0</v>
      </c>
      <c r="J25" s="19">
        <v>6450.0</v>
      </c>
      <c r="O25" s="18" t="s">
        <v>83</v>
      </c>
      <c r="P25" s="18" t="s">
        <v>63</v>
      </c>
    </row>
    <row r="26">
      <c r="A26" s="18" t="s">
        <v>58</v>
      </c>
      <c r="B26" s="18" t="s">
        <v>59</v>
      </c>
      <c r="C26" s="18" t="s">
        <v>76</v>
      </c>
      <c r="D26" s="18" t="s">
        <v>88</v>
      </c>
      <c r="E26" s="18" t="s">
        <v>89</v>
      </c>
      <c r="G26" s="18">
        <v>19.04</v>
      </c>
      <c r="H26" s="18" t="s">
        <v>67</v>
      </c>
      <c r="I26" s="19">
        <v>7300.0</v>
      </c>
      <c r="J26" s="19">
        <v>7300.0</v>
      </c>
      <c r="O26" s="18" t="s">
        <v>83</v>
      </c>
      <c r="P26" s="18" t="s">
        <v>63</v>
      </c>
    </row>
    <row r="27">
      <c r="A27" s="18" t="s">
        <v>58</v>
      </c>
      <c r="B27" s="18" t="s">
        <v>59</v>
      </c>
      <c r="C27" s="18" t="s">
        <v>76</v>
      </c>
      <c r="D27" s="18" t="s">
        <v>90</v>
      </c>
      <c r="E27" s="18" t="s">
        <v>91</v>
      </c>
      <c r="G27" s="18">
        <v>19.04</v>
      </c>
      <c r="H27" s="18" t="s">
        <v>67</v>
      </c>
      <c r="I27" s="19">
        <v>7300.0</v>
      </c>
      <c r="J27" s="19">
        <v>7300.0</v>
      </c>
      <c r="O27" s="18" t="s">
        <v>83</v>
      </c>
      <c r="P27" s="18" t="s">
        <v>63</v>
      </c>
    </row>
    <row r="28">
      <c r="A28" s="18" t="s">
        <v>58</v>
      </c>
      <c r="B28" s="18" t="s">
        <v>59</v>
      </c>
      <c r="C28" s="18" t="s">
        <v>64</v>
      </c>
      <c r="D28" s="18" t="s">
        <v>92</v>
      </c>
      <c r="E28" s="18" t="s">
        <v>93</v>
      </c>
      <c r="G28" s="18">
        <v>17.06</v>
      </c>
      <c r="H28" s="18" t="s">
        <v>67</v>
      </c>
      <c r="I28" s="19">
        <v>6861.0</v>
      </c>
      <c r="J28" s="19">
        <v>6900.0</v>
      </c>
      <c r="O28" s="18" t="s">
        <v>57</v>
      </c>
      <c r="P28" s="18" t="s">
        <v>63</v>
      </c>
    </row>
    <row r="29">
      <c r="A29" s="18" t="s">
        <v>58</v>
      </c>
      <c r="B29" s="18" t="s">
        <v>59</v>
      </c>
      <c r="C29" s="18" t="s">
        <v>53</v>
      </c>
      <c r="D29" s="18" t="s">
        <v>94</v>
      </c>
      <c r="E29" s="18" t="s">
        <v>95</v>
      </c>
      <c r="G29" s="18">
        <v>15.03</v>
      </c>
      <c r="H29" s="18" t="s">
        <v>62</v>
      </c>
      <c r="I29" s="19">
        <v>6430.0</v>
      </c>
      <c r="J29" s="19">
        <v>6450.0</v>
      </c>
      <c r="O29" s="18" t="s">
        <v>83</v>
      </c>
      <c r="P29" s="18" t="s">
        <v>63</v>
      </c>
    </row>
    <row r="30">
      <c r="A30" s="18" t="s">
        <v>58</v>
      </c>
      <c r="B30" s="18" t="s">
        <v>59</v>
      </c>
      <c r="C30" s="18" t="s">
        <v>53</v>
      </c>
      <c r="D30" s="18" t="s">
        <v>96</v>
      </c>
      <c r="E30" s="18" t="s">
        <v>97</v>
      </c>
      <c r="G30" s="18">
        <v>15.03</v>
      </c>
      <c r="H30" s="18" t="s">
        <v>62</v>
      </c>
      <c r="I30" s="19">
        <v>6430.0</v>
      </c>
      <c r="J30" s="19">
        <v>6450.0</v>
      </c>
      <c r="O30" s="18" t="s">
        <v>83</v>
      </c>
      <c r="P30" s="18" t="s">
        <v>63</v>
      </c>
    </row>
    <row r="31">
      <c r="A31" s="18" t="s">
        <v>58</v>
      </c>
      <c r="B31" s="18" t="s">
        <v>59</v>
      </c>
      <c r="C31" s="18" t="s">
        <v>53</v>
      </c>
      <c r="D31" s="18" t="s">
        <v>98</v>
      </c>
      <c r="E31" s="18" t="s">
        <v>99</v>
      </c>
      <c r="G31" s="18">
        <v>15.04</v>
      </c>
      <c r="H31" s="18" t="s">
        <v>62</v>
      </c>
      <c r="I31" s="19">
        <v>6430.0</v>
      </c>
      <c r="J31" s="19">
        <v>6450.0</v>
      </c>
      <c r="O31" s="18" t="s">
        <v>57</v>
      </c>
      <c r="P31" s="18" t="s">
        <v>63</v>
      </c>
    </row>
    <row r="32">
      <c r="A32" s="18" t="s">
        <v>58</v>
      </c>
      <c r="B32" s="18" t="s">
        <v>59</v>
      </c>
      <c r="C32" s="18" t="s">
        <v>64</v>
      </c>
      <c r="D32" s="18" t="s">
        <v>100</v>
      </c>
      <c r="E32" s="18" t="s">
        <v>101</v>
      </c>
      <c r="G32" s="18">
        <v>17.06</v>
      </c>
      <c r="H32" s="18" t="s">
        <v>67</v>
      </c>
      <c r="I32" s="19">
        <v>6861.0</v>
      </c>
      <c r="J32" s="19">
        <v>6900.0</v>
      </c>
      <c r="O32" s="18" t="s">
        <v>57</v>
      </c>
      <c r="P32" s="18" t="s">
        <v>63</v>
      </c>
    </row>
    <row r="33">
      <c r="A33" s="18" t="s">
        <v>58</v>
      </c>
      <c r="B33" s="18" t="s">
        <v>59</v>
      </c>
      <c r="C33" s="18" t="s">
        <v>64</v>
      </c>
      <c r="D33" s="18" t="s">
        <v>102</v>
      </c>
      <c r="E33" s="18" t="s">
        <v>103</v>
      </c>
      <c r="G33" s="18">
        <v>17.06</v>
      </c>
      <c r="H33" s="18" t="s">
        <v>67</v>
      </c>
      <c r="I33" s="19">
        <v>6861.0</v>
      </c>
      <c r="J33" s="19">
        <v>6900.0</v>
      </c>
      <c r="O33" s="18" t="s">
        <v>57</v>
      </c>
      <c r="P33" s="18" t="s">
        <v>63</v>
      </c>
    </row>
    <row r="34">
      <c r="A34" s="18" t="s">
        <v>58</v>
      </c>
      <c r="B34" s="18" t="s">
        <v>59</v>
      </c>
      <c r="C34" s="18" t="s">
        <v>53</v>
      </c>
      <c r="D34" s="18" t="s">
        <v>104</v>
      </c>
      <c r="E34" s="18" t="s">
        <v>105</v>
      </c>
      <c r="G34" s="18">
        <v>15.04</v>
      </c>
      <c r="H34" s="18" t="s">
        <v>62</v>
      </c>
      <c r="I34" s="19">
        <v>6430.0</v>
      </c>
      <c r="J34" s="19">
        <v>6450.0</v>
      </c>
      <c r="O34" s="18" t="s">
        <v>57</v>
      </c>
      <c r="P34" s="18" t="s">
        <v>63</v>
      </c>
    </row>
    <row r="35">
      <c r="A35" s="18" t="s">
        <v>58</v>
      </c>
      <c r="B35" s="18" t="s">
        <v>59</v>
      </c>
      <c r="C35" s="18" t="s">
        <v>64</v>
      </c>
      <c r="D35" s="18" t="s">
        <v>106</v>
      </c>
      <c r="E35" s="18" t="s">
        <v>107</v>
      </c>
      <c r="G35" s="18">
        <v>17.06</v>
      </c>
      <c r="H35" s="18" t="s">
        <v>67</v>
      </c>
      <c r="I35" s="19">
        <v>6861.0</v>
      </c>
      <c r="J35" s="19">
        <v>6900.0</v>
      </c>
      <c r="O35" s="18" t="s">
        <v>57</v>
      </c>
      <c r="P35" s="18" t="s">
        <v>63</v>
      </c>
    </row>
    <row r="36">
      <c r="A36" s="18" t="s">
        <v>58</v>
      </c>
      <c r="B36" s="18" t="s">
        <v>59</v>
      </c>
      <c r="C36" s="18" t="s">
        <v>64</v>
      </c>
      <c r="D36" s="18" t="s">
        <v>108</v>
      </c>
      <c r="E36" s="18" t="s">
        <v>109</v>
      </c>
      <c r="G36" s="18">
        <v>17.06</v>
      </c>
      <c r="H36" s="18" t="s">
        <v>67</v>
      </c>
      <c r="I36" s="19">
        <v>6861.0</v>
      </c>
      <c r="J36" s="19">
        <v>6900.0</v>
      </c>
      <c r="O36" s="18" t="s">
        <v>57</v>
      </c>
      <c r="P36" s="18" t="s">
        <v>63</v>
      </c>
    </row>
    <row r="37">
      <c r="A37" s="18" t="s">
        <v>58</v>
      </c>
      <c r="B37" s="18" t="s">
        <v>59</v>
      </c>
      <c r="C37" s="18" t="s">
        <v>53</v>
      </c>
      <c r="D37" s="18" t="s">
        <v>110</v>
      </c>
      <c r="E37" s="18" t="s">
        <v>111</v>
      </c>
      <c r="G37" s="18">
        <v>15.04</v>
      </c>
      <c r="H37" s="18" t="s">
        <v>62</v>
      </c>
      <c r="I37" s="19">
        <v>6430.0</v>
      </c>
      <c r="J37" s="19">
        <v>6450.0</v>
      </c>
      <c r="O37" s="18" t="s">
        <v>57</v>
      </c>
      <c r="P37" s="18" t="s">
        <v>63</v>
      </c>
    </row>
    <row r="38">
      <c r="A38" s="18" t="s">
        <v>112</v>
      </c>
      <c r="B38" s="18" t="s">
        <v>44</v>
      </c>
      <c r="C38" s="18" t="s">
        <v>113</v>
      </c>
      <c r="D38" s="18" t="s">
        <v>114</v>
      </c>
      <c r="E38" s="18" t="s">
        <v>115</v>
      </c>
      <c r="G38" s="18">
        <v>11.9</v>
      </c>
      <c r="H38" s="18" t="s">
        <v>116</v>
      </c>
      <c r="I38" s="19">
        <v>5148.0</v>
      </c>
      <c r="J38" s="19">
        <v>7250.0</v>
      </c>
      <c r="K38" s="19">
        <v>6200.0</v>
      </c>
      <c r="O38" s="18" t="s">
        <v>117</v>
      </c>
      <c r="P38" s="18" t="s">
        <v>42</v>
      </c>
    </row>
    <row r="39">
      <c r="A39" s="18" t="s">
        <v>112</v>
      </c>
      <c r="B39" s="18" t="s">
        <v>44</v>
      </c>
      <c r="C39" s="18" t="s">
        <v>53</v>
      </c>
      <c r="D39" s="18" t="s">
        <v>118</v>
      </c>
      <c r="E39" s="18" t="s">
        <v>119</v>
      </c>
      <c r="G39" s="18">
        <v>16.9</v>
      </c>
      <c r="H39" s="18" t="s">
        <v>120</v>
      </c>
      <c r="I39" s="19">
        <v>6437.0</v>
      </c>
      <c r="J39" s="19">
        <v>9050.0</v>
      </c>
      <c r="K39" s="19">
        <v>7750.0</v>
      </c>
      <c r="O39" s="18" t="s">
        <v>117</v>
      </c>
      <c r="P39" s="18" t="s">
        <v>42</v>
      </c>
    </row>
    <row r="40">
      <c r="A40" s="18" t="s">
        <v>112</v>
      </c>
      <c r="B40" s="18" t="s">
        <v>44</v>
      </c>
      <c r="C40" s="18" t="s">
        <v>53</v>
      </c>
      <c r="D40" s="18" t="s">
        <v>121</v>
      </c>
      <c r="E40" s="18" t="s">
        <v>122</v>
      </c>
      <c r="G40" s="18">
        <v>16.0</v>
      </c>
      <c r="H40" s="18" t="s">
        <v>56</v>
      </c>
      <c r="I40" s="19">
        <v>6008.0</v>
      </c>
      <c r="J40" s="19">
        <v>8450.0</v>
      </c>
      <c r="K40" s="19">
        <v>7300.0</v>
      </c>
      <c r="O40" s="18" t="s">
        <v>117</v>
      </c>
      <c r="P40" s="18" t="s">
        <v>42</v>
      </c>
    </row>
    <row r="41">
      <c r="A41" s="18" t="s">
        <v>112</v>
      </c>
      <c r="B41" s="18" t="s">
        <v>44</v>
      </c>
      <c r="C41" s="18" t="s">
        <v>113</v>
      </c>
      <c r="D41" s="18" t="s">
        <v>123</v>
      </c>
      <c r="E41" s="18" t="s">
        <v>124</v>
      </c>
      <c r="G41" s="18">
        <v>11.3</v>
      </c>
      <c r="H41" s="18" t="s">
        <v>116</v>
      </c>
      <c r="I41" s="19">
        <v>5148.0</v>
      </c>
      <c r="J41" s="19">
        <v>7250.0</v>
      </c>
      <c r="K41" s="19">
        <v>6200.0</v>
      </c>
      <c r="O41" s="18" t="s">
        <v>41</v>
      </c>
      <c r="P41" s="18" t="s">
        <v>42</v>
      </c>
    </row>
    <row r="42">
      <c r="A42" s="18" t="s">
        <v>125</v>
      </c>
      <c r="B42" s="18" t="s">
        <v>44</v>
      </c>
      <c r="C42" s="18" t="s">
        <v>76</v>
      </c>
      <c r="D42" s="18" t="s">
        <v>126</v>
      </c>
      <c r="E42" s="18" t="s">
        <v>127</v>
      </c>
      <c r="F42" s="18" t="s">
        <v>128</v>
      </c>
      <c r="G42" s="18">
        <v>21.06</v>
      </c>
      <c r="H42" s="18" t="s">
        <v>120</v>
      </c>
      <c r="I42" s="19">
        <v>3229.0</v>
      </c>
      <c r="J42" s="19">
        <v>2750.0</v>
      </c>
      <c r="K42" s="19">
        <v>3900.0</v>
      </c>
      <c r="L42" s="18" t="s">
        <v>129</v>
      </c>
      <c r="M42" s="18" t="s">
        <v>130</v>
      </c>
      <c r="N42" s="18" t="s">
        <v>131</v>
      </c>
      <c r="O42" s="18" t="s">
        <v>83</v>
      </c>
      <c r="Q42" s="19">
        <v>2300.0</v>
      </c>
    </row>
    <row r="43">
      <c r="A43" s="18" t="s">
        <v>138</v>
      </c>
      <c r="B43" s="18" t="s">
        <v>45</v>
      </c>
      <c r="C43" s="18" t="s">
        <v>45</v>
      </c>
      <c r="D43" s="18" t="s">
        <v>2311</v>
      </c>
      <c r="E43" s="18" t="s">
        <v>2312</v>
      </c>
      <c r="F43" s="18" t="s">
        <v>128</v>
      </c>
      <c r="G43" s="18">
        <v>8.85</v>
      </c>
      <c r="H43" s="18" t="s">
        <v>45</v>
      </c>
      <c r="I43" s="19">
        <v>1652.0</v>
      </c>
      <c r="J43" s="19">
        <v>2400.0</v>
      </c>
      <c r="K43" s="19">
        <v>2050.0</v>
      </c>
      <c r="L43" s="18" t="s">
        <v>1771</v>
      </c>
      <c r="M43" s="18" t="s">
        <v>1772</v>
      </c>
      <c r="N43" s="18" t="s">
        <v>363</v>
      </c>
      <c r="O43" s="18" t="s">
        <v>41</v>
      </c>
      <c r="P43" s="18" t="s">
        <v>144</v>
      </c>
      <c r="Q43" s="19">
        <v>1900.0</v>
      </c>
    </row>
    <row r="44">
      <c r="A44" s="18" t="s">
        <v>158</v>
      </c>
      <c r="B44" s="18" t="s">
        <v>44</v>
      </c>
      <c r="C44" s="18" t="s">
        <v>64</v>
      </c>
      <c r="D44" s="18" t="s">
        <v>2205</v>
      </c>
      <c r="E44" s="18" t="s">
        <v>2206</v>
      </c>
      <c r="F44" s="18" t="s">
        <v>128</v>
      </c>
      <c r="G44" s="18">
        <v>18.75</v>
      </c>
      <c r="H44" s="18" t="s">
        <v>120</v>
      </c>
      <c r="I44" s="19">
        <v>5516.0</v>
      </c>
      <c r="J44" s="19">
        <v>5550.0</v>
      </c>
      <c r="K44" s="19">
        <v>6700.0</v>
      </c>
      <c r="L44" s="18" t="s">
        <v>2207</v>
      </c>
      <c r="M44" s="18" t="s">
        <v>1626</v>
      </c>
      <c r="N44" s="18" t="s">
        <v>240</v>
      </c>
      <c r="O44" s="18" t="s">
        <v>161</v>
      </c>
      <c r="P44" s="18" t="s">
        <v>162</v>
      </c>
      <c r="Q44" s="19">
        <v>6150.0</v>
      </c>
    </row>
    <row r="45">
      <c r="A45" s="18" t="s">
        <v>138</v>
      </c>
      <c r="B45" s="18" t="s">
        <v>44</v>
      </c>
      <c r="C45" s="18" t="s">
        <v>64</v>
      </c>
      <c r="D45" s="18" t="s">
        <v>2404</v>
      </c>
      <c r="E45" s="18" t="s">
        <v>2405</v>
      </c>
      <c r="F45" s="18" t="s">
        <v>128</v>
      </c>
      <c r="G45" s="18">
        <v>18.21</v>
      </c>
      <c r="H45" s="18" t="s">
        <v>120</v>
      </c>
      <c r="I45" s="19">
        <v>3944.0</v>
      </c>
      <c r="J45" s="19">
        <v>5750.0</v>
      </c>
      <c r="K45" s="19">
        <v>4750.0</v>
      </c>
      <c r="L45" s="18" t="s">
        <v>2406</v>
      </c>
      <c r="M45" s="18" t="s">
        <v>3031</v>
      </c>
      <c r="N45" s="18" t="s">
        <v>131</v>
      </c>
      <c r="O45" s="18" t="s">
        <v>57</v>
      </c>
      <c r="P45" s="18" t="s">
        <v>144</v>
      </c>
      <c r="Q45" s="19">
        <v>5150.0</v>
      </c>
    </row>
    <row r="46">
      <c r="A46" s="18" t="s">
        <v>201</v>
      </c>
      <c r="B46" s="18" t="s">
        <v>44</v>
      </c>
      <c r="C46" s="18" t="s">
        <v>133</v>
      </c>
      <c r="D46" s="18" t="s">
        <v>2236</v>
      </c>
      <c r="E46" s="18" t="s">
        <v>2237</v>
      </c>
      <c r="F46" s="18" t="s">
        <v>128</v>
      </c>
      <c r="G46" s="18">
        <v>13.5</v>
      </c>
      <c r="H46" s="18" t="s">
        <v>56</v>
      </c>
      <c r="I46" s="19">
        <v>2800.0</v>
      </c>
      <c r="J46" s="19">
        <v>3400.0</v>
      </c>
      <c r="K46" s="19">
        <v>3250.0</v>
      </c>
      <c r="L46" s="18" t="s">
        <v>2238</v>
      </c>
      <c r="M46" s="18" t="s">
        <v>2239</v>
      </c>
      <c r="N46" s="18" t="s">
        <v>1980</v>
      </c>
      <c r="O46" s="18" t="s">
        <v>57</v>
      </c>
      <c r="Q46" s="19">
        <v>3450.0</v>
      </c>
    </row>
    <row r="47">
      <c r="A47" s="18" t="s">
        <v>158</v>
      </c>
      <c r="B47" s="18" t="s">
        <v>44</v>
      </c>
      <c r="C47" s="18" t="s">
        <v>133</v>
      </c>
      <c r="D47" s="18" t="s">
        <v>2596</v>
      </c>
      <c r="E47" s="18" t="s">
        <v>2597</v>
      </c>
      <c r="F47" s="18" t="s">
        <v>128</v>
      </c>
      <c r="G47" s="18">
        <v>14.54</v>
      </c>
      <c r="H47" s="18" t="s">
        <v>56</v>
      </c>
      <c r="I47" s="19">
        <v>4666.0</v>
      </c>
      <c r="J47" s="19">
        <v>4700.0</v>
      </c>
      <c r="K47" s="19">
        <v>5650.0</v>
      </c>
      <c r="O47" s="18" t="s">
        <v>161</v>
      </c>
      <c r="P47" s="18" t="s">
        <v>162</v>
      </c>
    </row>
    <row r="48">
      <c r="A48" s="18" t="s">
        <v>225</v>
      </c>
      <c r="B48" s="18" t="s">
        <v>44</v>
      </c>
      <c r="C48" s="18" t="s">
        <v>64</v>
      </c>
      <c r="D48" s="18" t="s">
        <v>2295</v>
      </c>
      <c r="E48" s="18" t="s">
        <v>2296</v>
      </c>
      <c r="F48" s="18" t="s">
        <v>128</v>
      </c>
      <c r="G48" s="18">
        <v>17.9</v>
      </c>
      <c r="H48" s="18" t="s">
        <v>120</v>
      </c>
      <c r="I48" s="19">
        <v>6200.0</v>
      </c>
      <c r="J48" s="19">
        <v>8100.0</v>
      </c>
      <c r="K48" s="19">
        <v>7200.0</v>
      </c>
      <c r="O48" s="18" t="s">
        <v>41</v>
      </c>
      <c r="P48" s="18" t="s">
        <v>162</v>
      </c>
    </row>
    <row r="49">
      <c r="A49" s="18" t="s">
        <v>225</v>
      </c>
      <c r="B49" s="18" t="s">
        <v>44</v>
      </c>
      <c r="C49" s="18" t="s">
        <v>64</v>
      </c>
      <c r="D49" s="18" t="s">
        <v>2307</v>
      </c>
      <c r="E49" s="18" t="s">
        <v>2308</v>
      </c>
      <c r="F49" s="18" t="s">
        <v>128</v>
      </c>
      <c r="G49" s="18">
        <v>17.9</v>
      </c>
      <c r="H49" s="18" t="s">
        <v>120</v>
      </c>
      <c r="I49" s="19">
        <v>6200.0</v>
      </c>
      <c r="J49" s="19">
        <v>8100.0</v>
      </c>
      <c r="K49" s="19">
        <v>7200.0</v>
      </c>
      <c r="O49" s="18" t="s">
        <v>41</v>
      </c>
      <c r="P49" s="18" t="s">
        <v>162</v>
      </c>
    </row>
    <row r="50">
      <c r="A50" s="18" t="s">
        <v>145</v>
      </c>
      <c r="B50" s="18" t="s">
        <v>45</v>
      </c>
      <c r="C50" s="18" t="s">
        <v>45</v>
      </c>
      <c r="D50" s="18" t="s">
        <v>2608</v>
      </c>
      <c r="E50" s="18" t="s">
        <v>2609</v>
      </c>
      <c r="F50" s="18" t="s">
        <v>128</v>
      </c>
      <c r="G50" s="18">
        <v>7.1</v>
      </c>
      <c r="H50" s="18" t="s">
        <v>45</v>
      </c>
      <c r="I50" s="19">
        <v>4215.0</v>
      </c>
      <c r="J50" s="19">
        <v>4650.0</v>
      </c>
      <c r="K50" s="19">
        <v>5100.0</v>
      </c>
      <c r="O50" s="18" t="s">
        <v>57</v>
      </c>
      <c r="P50" s="18" t="s">
        <v>63</v>
      </c>
    </row>
    <row r="51">
      <c r="A51" s="18" t="s">
        <v>148</v>
      </c>
      <c r="B51" s="18" t="s">
        <v>44</v>
      </c>
      <c r="C51" s="18" t="s">
        <v>76</v>
      </c>
      <c r="D51" s="18" t="s">
        <v>152</v>
      </c>
      <c r="E51" s="18" t="s">
        <v>153</v>
      </c>
      <c r="F51" s="18" t="s">
        <v>128</v>
      </c>
      <c r="G51" s="18">
        <v>20.8</v>
      </c>
      <c r="H51" s="18" t="s">
        <v>56</v>
      </c>
      <c r="I51" s="19">
        <v>7514.0</v>
      </c>
      <c r="J51" s="19">
        <v>7550.0</v>
      </c>
      <c r="K51" s="19">
        <v>9100.0</v>
      </c>
      <c r="O51" s="18" t="s">
        <v>57</v>
      </c>
      <c r="P51" s="18" t="s">
        <v>48</v>
      </c>
    </row>
    <row r="52">
      <c r="A52" s="18" t="s">
        <v>148</v>
      </c>
      <c r="B52" s="18" t="s">
        <v>44</v>
      </c>
      <c r="C52" s="18" t="s">
        <v>64</v>
      </c>
      <c r="D52" s="18" t="s">
        <v>2636</v>
      </c>
      <c r="E52" s="18" t="s">
        <v>2637</v>
      </c>
      <c r="F52" s="18" t="s">
        <v>128</v>
      </c>
      <c r="G52" s="18">
        <v>17.6</v>
      </c>
      <c r="H52" s="18" t="s">
        <v>56</v>
      </c>
      <c r="I52" s="19">
        <v>7096.0</v>
      </c>
      <c r="J52" s="19">
        <v>7100.0</v>
      </c>
      <c r="K52" s="19">
        <v>8550.0</v>
      </c>
      <c r="O52" s="18" t="s">
        <v>57</v>
      </c>
      <c r="P52" s="18" t="s">
        <v>48</v>
      </c>
    </row>
    <row r="53">
      <c r="A53" s="18" t="s">
        <v>154</v>
      </c>
      <c r="B53" s="18" t="s">
        <v>44</v>
      </c>
      <c r="C53" s="18" t="s">
        <v>180</v>
      </c>
      <c r="D53" s="18" t="s">
        <v>2453</v>
      </c>
      <c r="E53" s="18" t="s">
        <v>2454</v>
      </c>
      <c r="F53" s="18" t="s">
        <v>128</v>
      </c>
      <c r="G53" s="18">
        <v>22.0</v>
      </c>
      <c r="H53" s="18" t="s">
        <v>56</v>
      </c>
      <c r="I53" s="19">
        <v>6090.0</v>
      </c>
      <c r="J53" s="19">
        <v>8550.0</v>
      </c>
      <c r="K53" s="19">
        <v>7350.0</v>
      </c>
      <c r="O53" s="18" t="s">
        <v>151</v>
      </c>
      <c r="P53" s="18" t="s">
        <v>157</v>
      </c>
    </row>
    <row r="54">
      <c r="A54" s="18" t="s">
        <v>148</v>
      </c>
      <c r="B54" s="18" t="s">
        <v>45</v>
      </c>
      <c r="C54" s="18" t="s">
        <v>45</v>
      </c>
      <c r="D54" s="18" t="s">
        <v>2271</v>
      </c>
      <c r="E54" s="18" t="s">
        <v>2272</v>
      </c>
      <c r="F54" s="18" t="s">
        <v>128</v>
      </c>
      <c r="G54" s="18">
        <v>11.0</v>
      </c>
      <c r="H54" s="18" t="s">
        <v>45</v>
      </c>
      <c r="I54" s="19">
        <v>4171.0</v>
      </c>
      <c r="J54" s="19">
        <v>4200.0</v>
      </c>
      <c r="K54" s="19">
        <v>5050.0</v>
      </c>
      <c r="O54" s="18" t="s">
        <v>151</v>
      </c>
      <c r="P54" s="18" t="s">
        <v>48</v>
      </c>
    </row>
    <row r="55">
      <c r="A55" s="18" t="s">
        <v>158</v>
      </c>
      <c r="B55" s="18" t="s">
        <v>44</v>
      </c>
      <c r="C55" s="18" t="s">
        <v>64</v>
      </c>
      <c r="D55" s="18" t="s">
        <v>2498</v>
      </c>
      <c r="E55" s="18" t="s">
        <v>2499</v>
      </c>
      <c r="F55" s="18" t="s">
        <v>128</v>
      </c>
      <c r="G55" s="18">
        <v>18.11</v>
      </c>
      <c r="H55" s="18" t="s">
        <v>120</v>
      </c>
      <c r="I55" s="19">
        <v>5516.0</v>
      </c>
      <c r="J55" s="19">
        <v>5550.0</v>
      </c>
      <c r="K55" s="19">
        <v>6700.0</v>
      </c>
      <c r="O55" s="18" t="s">
        <v>161</v>
      </c>
      <c r="P55" s="18" t="s">
        <v>162</v>
      </c>
    </row>
    <row r="56">
      <c r="A56" s="18" t="s">
        <v>158</v>
      </c>
      <c r="B56" s="18" t="s">
        <v>44</v>
      </c>
      <c r="C56" s="18" t="s">
        <v>64</v>
      </c>
      <c r="D56" s="18" t="s">
        <v>2662</v>
      </c>
      <c r="E56" s="18" t="s">
        <v>2663</v>
      </c>
      <c r="F56" s="18" t="s">
        <v>128</v>
      </c>
      <c r="G56" s="18">
        <v>18.12</v>
      </c>
      <c r="H56" s="18" t="s">
        <v>120</v>
      </c>
      <c r="I56" s="19">
        <v>5516.0</v>
      </c>
      <c r="J56" s="19">
        <v>5550.0</v>
      </c>
      <c r="K56" s="19">
        <v>6700.0</v>
      </c>
      <c r="O56" s="18" t="s">
        <v>161</v>
      </c>
      <c r="P56" s="18" t="s">
        <v>162</v>
      </c>
    </row>
    <row r="57">
      <c r="A57" s="18" t="s">
        <v>165</v>
      </c>
      <c r="B57" s="18" t="s">
        <v>44</v>
      </c>
      <c r="C57" s="18" t="s">
        <v>151</v>
      </c>
      <c r="D57" s="18" t="s">
        <v>166</v>
      </c>
      <c r="E57" s="18" t="s">
        <v>167</v>
      </c>
      <c r="F57" s="18" t="s">
        <v>128</v>
      </c>
      <c r="G57" s="18">
        <v>24.71</v>
      </c>
      <c r="H57" s="18" t="s">
        <v>168</v>
      </c>
      <c r="I57" s="19">
        <v>4750.0</v>
      </c>
      <c r="J57" s="19">
        <v>5700.0</v>
      </c>
      <c r="K57" s="19">
        <v>5700.0</v>
      </c>
      <c r="O57" s="18" t="s">
        <v>117</v>
      </c>
    </row>
    <row r="58">
      <c r="A58" s="18" t="s">
        <v>43</v>
      </c>
      <c r="B58" s="18" t="s">
        <v>44</v>
      </c>
      <c r="C58" s="18" t="s">
        <v>64</v>
      </c>
      <c r="D58" s="18" t="s">
        <v>2481</v>
      </c>
      <c r="E58" s="18" t="s">
        <v>2482</v>
      </c>
      <c r="F58" s="18" t="s">
        <v>128</v>
      </c>
      <c r="G58" s="18">
        <v>17.12</v>
      </c>
      <c r="H58" s="18" t="s">
        <v>120</v>
      </c>
      <c r="I58" s="19">
        <v>6800.0</v>
      </c>
      <c r="J58" s="19">
        <v>8200.0</v>
      </c>
      <c r="O58" s="18" t="s">
        <v>41</v>
      </c>
      <c r="P58" s="18" t="s">
        <v>48</v>
      </c>
    </row>
    <row r="59">
      <c r="A59" s="18" t="s">
        <v>49</v>
      </c>
      <c r="B59" s="18" t="s">
        <v>44</v>
      </c>
      <c r="C59" s="18" t="s">
        <v>180</v>
      </c>
      <c r="D59" s="18" t="s">
        <v>2578</v>
      </c>
      <c r="E59" s="18" t="s">
        <v>2579</v>
      </c>
      <c r="F59" s="18" t="s">
        <v>128</v>
      </c>
      <c r="G59" s="18">
        <v>23.49</v>
      </c>
      <c r="H59" s="18" t="s">
        <v>168</v>
      </c>
      <c r="I59" s="19">
        <v>8300.0</v>
      </c>
      <c r="J59" s="19">
        <v>9550.0</v>
      </c>
      <c r="K59" s="19">
        <v>10000.0</v>
      </c>
      <c r="O59" s="18" t="s">
        <v>57</v>
      </c>
      <c r="P59" s="18" t="s">
        <v>48</v>
      </c>
    </row>
    <row r="60">
      <c r="A60" s="18" t="s">
        <v>171</v>
      </c>
      <c r="B60" s="18" t="s">
        <v>44</v>
      </c>
      <c r="C60" s="18" t="s">
        <v>53</v>
      </c>
      <c r="D60" s="18" t="s">
        <v>172</v>
      </c>
      <c r="E60" s="18" t="s">
        <v>173</v>
      </c>
      <c r="F60" s="18" t="s">
        <v>128</v>
      </c>
      <c r="G60" s="18">
        <v>15.43</v>
      </c>
      <c r="H60" s="18" t="s">
        <v>56</v>
      </c>
      <c r="I60" s="19">
        <v>4250.0</v>
      </c>
      <c r="J60" s="19">
        <v>4900.0</v>
      </c>
      <c r="K60" s="19">
        <v>5100.0</v>
      </c>
      <c r="O60" s="18" t="s">
        <v>117</v>
      </c>
    </row>
    <row r="61">
      <c r="A61" s="18" t="s">
        <v>171</v>
      </c>
      <c r="B61" s="18" t="s">
        <v>44</v>
      </c>
      <c r="C61" s="18" t="s">
        <v>53</v>
      </c>
      <c r="D61" s="18" t="s">
        <v>174</v>
      </c>
      <c r="E61" s="18" t="s">
        <v>175</v>
      </c>
      <c r="F61" s="18" t="s">
        <v>128</v>
      </c>
      <c r="G61" s="18">
        <v>15.67</v>
      </c>
      <c r="H61" s="18" t="s">
        <v>56</v>
      </c>
      <c r="I61" s="19">
        <v>4250.0</v>
      </c>
      <c r="J61" s="19">
        <v>4900.0</v>
      </c>
      <c r="K61" s="19">
        <v>5100.0</v>
      </c>
      <c r="O61" s="18" t="s">
        <v>117</v>
      </c>
    </row>
    <row r="62">
      <c r="A62" s="18" t="s">
        <v>171</v>
      </c>
      <c r="B62" s="18" t="s">
        <v>44</v>
      </c>
      <c r="C62" s="18" t="s">
        <v>53</v>
      </c>
      <c r="D62" s="18" t="s">
        <v>2827</v>
      </c>
      <c r="E62" s="18" t="s">
        <v>2828</v>
      </c>
      <c r="F62" s="18" t="s">
        <v>128</v>
      </c>
      <c r="G62" s="18">
        <v>15.13</v>
      </c>
      <c r="H62" s="18" t="s">
        <v>56</v>
      </c>
      <c r="I62" s="19">
        <v>4250.0</v>
      </c>
      <c r="J62" s="19">
        <v>4900.0</v>
      </c>
      <c r="K62" s="19">
        <v>5100.0</v>
      </c>
      <c r="O62" s="18" t="s">
        <v>41</v>
      </c>
    </row>
    <row r="63">
      <c r="A63" s="18" t="s">
        <v>912</v>
      </c>
      <c r="B63" s="18" t="s">
        <v>44</v>
      </c>
      <c r="C63" s="18" t="s">
        <v>180</v>
      </c>
      <c r="D63" s="18" t="s">
        <v>2518</v>
      </c>
      <c r="E63" s="18" t="s">
        <v>2519</v>
      </c>
      <c r="F63" s="18" t="s">
        <v>128</v>
      </c>
      <c r="G63" s="18">
        <v>19.54</v>
      </c>
      <c r="H63" s="18" t="s">
        <v>168</v>
      </c>
      <c r="I63" s="19">
        <v>5700.0</v>
      </c>
      <c r="J63" s="19">
        <v>7150.0</v>
      </c>
      <c r="K63" s="19">
        <v>6600.0</v>
      </c>
      <c r="O63" s="18" t="s">
        <v>41</v>
      </c>
      <c r="P63" s="18" t="s">
        <v>917</v>
      </c>
    </row>
    <row r="64">
      <c r="A64" s="18" t="s">
        <v>148</v>
      </c>
      <c r="B64" s="18" t="s">
        <v>45</v>
      </c>
      <c r="C64" s="18" t="s">
        <v>45</v>
      </c>
      <c r="D64" s="18" t="s">
        <v>2396</v>
      </c>
      <c r="E64" s="18" t="s">
        <v>2397</v>
      </c>
      <c r="F64" s="18" t="s">
        <v>128</v>
      </c>
      <c r="G64" s="18">
        <v>8.8</v>
      </c>
      <c r="H64" s="18" t="s">
        <v>45</v>
      </c>
      <c r="I64" s="19">
        <v>4171.0</v>
      </c>
      <c r="J64" s="19">
        <v>4200.0</v>
      </c>
      <c r="K64" s="19">
        <v>5050.0</v>
      </c>
      <c r="O64" s="18" t="s">
        <v>57</v>
      </c>
      <c r="P64" s="18" t="s">
        <v>48</v>
      </c>
    </row>
    <row r="65">
      <c r="A65" s="18" t="s">
        <v>191</v>
      </c>
      <c r="B65" s="18" t="s">
        <v>44</v>
      </c>
      <c r="C65" s="18" t="s">
        <v>76</v>
      </c>
      <c r="D65" s="18" t="s">
        <v>2849</v>
      </c>
      <c r="E65" s="18" t="s">
        <v>2850</v>
      </c>
      <c r="F65" s="18" t="s">
        <v>128</v>
      </c>
      <c r="G65" s="18">
        <v>19.54</v>
      </c>
      <c r="H65" s="18" t="s">
        <v>120</v>
      </c>
      <c r="I65" s="19">
        <v>6600.0</v>
      </c>
      <c r="J65" s="19">
        <v>8600.0</v>
      </c>
      <c r="O65" s="18" t="s">
        <v>57</v>
      </c>
      <c r="P65" s="18" t="s">
        <v>48</v>
      </c>
    </row>
    <row r="66">
      <c r="A66" s="18" t="s">
        <v>112</v>
      </c>
      <c r="B66" s="18" t="s">
        <v>45</v>
      </c>
      <c r="C66" s="18" t="s">
        <v>45</v>
      </c>
      <c r="D66" s="18" t="s">
        <v>2871</v>
      </c>
      <c r="E66" s="18" t="s">
        <v>2872</v>
      </c>
      <c r="F66" s="18" t="s">
        <v>128</v>
      </c>
      <c r="G66" s="18">
        <v>10.0</v>
      </c>
      <c r="H66" s="18" t="s">
        <v>45</v>
      </c>
      <c r="I66" s="19">
        <v>3257.0</v>
      </c>
      <c r="J66" s="19">
        <v>4600.0</v>
      </c>
      <c r="K66" s="19">
        <v>4000.0</v>
      </c>
      <c r="O66" s="18" t="s">
        <v>117</v>
      </c>
      <c r="P66" s="18" t="s">
        <v>42</v>
      </c>
    </row>
    <row r="67">
      <c r="A67" s="18" t="s">
        <v>112</v>
      </c>
      <c r="B67" s="18" t="s">
        <v>44</v>
      </c>
      <c r="C67" s="18" t="s">
        <v>64</v>
      </c>
      <c r="D67" s="18" t="s">
        <v>2873</v>
      </c>
      <c r="E67" s="18" t="s">
        <v>2874</v>
      </c>
      <c r="F67" s="18" t="s">
        <v>128</v>
      </c>
      <c r="G67" s="18">
        <v>18.8</v>
      </c>
      <c r="H67" s="18" t="s">
        <v>120</v>
      </c>
      <c r="I67" s="19">
        <v>6437.0</v>
      </c>
      <c r="J67" s="19">
        <v>9050.0</v>
      </c>
      <c r="K67" s="19">
        <v>7750.0</v>
      </c>
      <c r="O67" s="18" t="s">
        <v>117</v>
      </c>
      <c r="P67" s="18" t="s">
        <v>42</v>
      </c>
    </row>
    <row r="68">
      <c r="A68" s="18" t="s">
        <v>201</v>
      </c>
      <c r="B68" s="18" t="s">
        <v>44</v>
      </c>
      <c r="C68" s="18" t="s">
        <v>76</v>
      </c>
      <c r="D68" s="18" t="s">
        <v>2412</v>
      </c>
      <c r="E68" s="18" t="s">
        <v>2413</v>
      </c>
      <c r="F68" s="18" t="s">
        <v>128</v>
      </c>
      <c r="G68" s="18">
        <v>21.29</v>
      </c>
      <c r="H68" s="18" t="s">
        <v>120</v>
      </c>
      <c r="I68" s="19">
        <v>3950.0</v>
      </c>
      <c r="J68" s="19">
        <v>4750.0</v>
      </c>
      <c r="K68" s="19">
        <v>4600.0</v>
      </c>
      <c r="O68" s="18" t="s">
        <v>41</v>
      </c>
    </row>
    <row r="69">
      <c r="A69" s="18" t="s">
        <v>201</v>
      </c>
      <c r="B69" s="18" t="s">
        <v>44</v>
      </c>
      <c r="C69" s="18" t="s">
        <v>180</v>
      </c>
      <c r="D69" s="18" t="s">
        <v>2424</v>
      </c>
      <c r="E69" s="18" t="s">
        <v>2425</v>
      </c>
      <c r="F69" s="18" t="s">
        <v>128</v>
      </c>
      <c r="G69" s="18">
        <v>22.04</v>
      </c>
      <c r="H69" s="18" t="s">
        <v>168</v>
      </c>
      <c r="I69" s="19">
        <v>4150.0</v>
      </c>
      <c r="J69" s="19">
        <v>5000.0</v>
      </c>
      <c r="K69" s="19">
        <v>4800.0</v>
      </c>
      <c r="O69" s="18" t="s">
        <v>41</v>
      </c>
    </row>
    <row r="70">
      <c r="A70" s="18" t="s">
        <v>201</v>
      </c>
      <c r="B70" s="18" t="s">
        <v>44</v>
      </c>
      <c r="C70" s="18" t="s">
        <v>53</v>
      </c>
      <c r="D70" s="18" t="s">
        <v>2267</v>
      </c>
      <c r="E70" s="18" t="s">
        <v>2268</v>
      </c>
      <c r="F70" s="18" t="s">
        <v>128</v>
      </c>
      <c r="G70" s="18">
        <v>16.45</v>
      </c>
      <c r="H70" s="18" t="s">
        <v>56</v>
      </c>
      <c r="I70" s="19">
        <v>3050.0</v>
      </c>
      <c r="J70" s="19">
        <v>3700.0</v>
      </c>
      <c r="K70" s="19">
        <v>3700.0</v>
      </c>
      <c r="O70" s="18" t="s">
        <v>57</v>
      </c>
    </row>
    <row r="71">
      <c r="A71" s="18" t="s">
        <v>201</v>
      </c>
      <c r="B71" s="18" t="s">
        <v>44</v>
      </c>
      <c r="C71" s="18" t="s">
        <v>76</v>
      </c>
      <c r="D71" s="18" t="s">
        <v>2400</v>
      </c>
      <c r="E71" s="18" t="s">
        <v>2401</v>
      </c>
      <c r="F71" s="18" t="s">
        <v>128</v>
      </c>
      <c r="G71" s="18">
        <v>19.62</v>
      </c>
      <c r="H71" s="18" t="s">
        <v>120</v>
      </c>
      <c r="I71" s="19">
        <v>3950.0</v>
      </c>
      <c r="J71" s="19">
        <v>4750.0</v>
      </c>
      <c r="K71" s="19">
        <v>4600.0</v>
      </c>
      <c r="O71" s="18" t="s">
        <v>57</v>
      </c>
    </row>
    <row r="72">
      <c r="A72" s="18" t="s">
        <v>165</v>
      </c>
      <c r="B72" s="18" t="s">
        <v>44</v>
      </c>
      <c r="C72" s="18" t="s">
        <v>151</v>
      </c>
      <c r="D72" s="18" t="s">
        <v>2416</v>
      </c>
      <c r="E72" s="18" t="s">
        <v>2417</v>
      </c>
      <c r="F72" s="18" t="s">
        <v>128</v>
      </c>
      <c r="G72" s="18">
        <v>24.53</v>
      </c>
      <c r="H72" s="18" t="s">
        <v>168</v>
      </c>
      <c r="I72" s="19">
        <v>4750.0</v>
      </c>
      <c r="J72" s="19">
        <v>5700.0</v>
      </c>
      <c r="K72" s="19">
        <v>5950.0</v>
      </c>
      <c r="O72" s="18" t="s">
        <v>41</v>
      </c>
    </row>
    <row r="73">
      <c r="A73" s="18" t="s">
        <v>1238</v>
      </c>
      <c r="B73" s="18" t="s">
        <v>45</v>
      </c>
      <c r="C73" s="18" t="s">
        <v>45</v>
      </c>
      <c r="D73" s="18" t="s">
        <v>2279</v>
      </c>
      <c r="E73" s="18" t="s">
        <v>2280</v>
      </c>
      <c r="F73" s="18" t="s">
        <v>128</v>
      </c>
      <c r="G73" s="18">
        <v>10.71</v>
      </c>
      <c r="H73" s="18" t="s">
        <v>400</v>
      </c>
      <c r="I73" s="19">
        <v>1706.0</v>
      </c>
      <c r="J73" s="19">
        <v>2250.0</v>
      </c>
      <c r="O73" s="18" t="s">
        <v>41</v>
      </c>
      <c r="P73" s="18" t="s">
        <v>144</v>
      </c>
    </row>
    <row r="74">
      <c r="A74" s="18" t="s">
        <v>1238</v>
      </c>
      <c r="B74" s="18" t="s">
        <v>44</v>
      </c>
      <c r="C74" s="18" t="s">
        <v>133</v>
      </c>
      <c r="D74" s="18" t="s">
        <v>2283</v>
      </c>
      <c r="E74" s="18" t="s">
        <v>2284</v>
      </c>
      <c r="F74" s="18" t="s">
        <v>128</v>
      </c>
      <c r="G74" s="18">
        <v>13.5</v>
      </c>
      <c r="H74" s="18" t="s">
        <v>1242</v>
      </c>
      <c r="I74" s="19">
        <v>3199.0</v>
      </c>
      <c r="J74" s="19">
        <v>4200.0</v>
      </c>
      <c r="O74" s="18" t="s">
        <v>41</v>
      </c>
      <c r="P74" s="18" t="s">
        <v>144</v>
      </c>
    </row>
    <row r="75">
      <c r="A75" s="18" t="s">
        <v>216</v>
      </c>
      <c r="B75" s="18" t="s">
        <v>44</v>
      </c>
      <c r="C75" s="18" t="s">
        <v>133</v>
      </c>
      <c r="D75" s="18" t="s">
        <v>2538</v>
      </c>
      <c r="E75" s="18" t="s">
        <v>2539</v>
      </c>
      <c r="F75" s="18" t="s">
        <v>128</v>
      </c>
      <c r="G75" s="18">
        <v>11.84</v>
      </c>
      <c r="H75" s="18" t="s">
        <v>56</v>
      </c>
      <c r="I75" s="19">
        <v>4684.0</v>
      </c>
      <c r="J75" s="19">
        <v>6600.0</v>
      </c>
      <c r="K75" s="19">
        <v>5650.0</v>
      </c>
      <c r="O75" s="18" t="s">
        <v>41</v>
      </c>
      <c r="P75" s="18" t="s">
        <v>42</v>
      </c>
    </row>
    <row r="76">
      <c r="A76" s="18" t="s">
        <v>282</v>
      </c>
      <c r="B76" s="18" t="s">
        <v>44</v>
      </c>
      <c r="C76" s="18" t="s">
        <v>76</v>
      </c>
      <c r="D76" s="18" t="s">
        <v>2586</v>
      </c>
      <c r="E76" s="18" t="s">
        <v>2587</v>
      </c>
      <c r="F76" s="18" t="s">
        <v>128</v>
      </c>
      <c r="G76" s="18">
        <v>19.8</v>
      </c>
      <c r="H76" s="18" t="s">
        <v>168</v>
      </c>
      <c r="I76" s="19">
        <v>6499.0</v>
      </c>
      <c r="J76" s="19">
        <v>7800.0</v>
      </c>
      <c r="K76" s="19">
        <v>7800.0</v>
      </c>
      <c r="O76" s="18" t="s">
        <v>57</v>
      </c>
      <c r="P76" s="18" t="s">
        <v>63</v>
      </c>
    </row>
    <row r="77">
      <c r="A77" s="18" t="s">
        <v>282</v>
      </c>
      <c r="B77" s="18" t="s">
        <v>44</v>
      </c>
      <c r="C77" s="18" t="s">
        <v>64</v>
      </c>
      <c r="D77" s="18" t="s">
        <v>2582</v>
      </c>
      <c r="E77" s="18" t="s">
        <v>2583</v>
      </c>
      <c r="F77" s="18" t="s">
        <v>128</v>
      </c>
      <c r="G77" s="18">
        <v>17.59</v>
      </c>
      <c r="H77" s="18" t="s">
        <v>120</v>
      </c>
      <c r="I77" s="19">
        <v>5767.0</v>
      </c>
      <c r="J77" s="19">
        <v>6950.0</v>
      </c>
      <c r="K77" s="19">
        <v>7000.0</v>
      </c>
      <c r="O77" s="18" t="s">
        <v>41</v>
      </c>
      <c r="P77" s="18" t="s">
        <v>63</v>
      </c>
    </row>
    <row r="78">
      <c r="A78" s="18" t="s">
        <v>125</v>
      </c>
      <c r="B78" s="18" t="s">
        <v>45</v>
      </c>
      <c r="C78" s="18" t="s">
        <v>45</v>
      </c>
      <c r="D78" s="18" t="s">
        <v>2951</v>
      </c>
      <c r="E78" s="18" t="s">
        <v>2952</v>
      </c>
      <c r="F78" s="18" t="s">
        <v>128</v>
      </c>
      <c r="G78" s="18">
        <v>9.42</v>
      </c>
      <c r="H78" s="18" t="s">
        <v>45</v>
      </c>
      <c r="I78" s="19">
        <v>1995.0</v>
      </c>
      <c r="J78" s="19">
        <v>1700.0</v>
      </c>
      <c r="K78" s="19">
        <v>3300.0</v>
      </c>
      <c r="O78" s="18" t="s">
        <v>57</v>
      </c>
    </row>
    <row r="79">
      <c r="A79" s="18" t="s">
        <v>364</v>
      </c>
      <c r="B79" s="18" t="s">
        <v>44</v>
      </c>
      <c r="C79" s="18" t="s">
        <v>151</v>
      </c>
      <c r="D79" s="18" t="s">
        <v>2574</v>
      </c>
      <c r="E79" s="18" t="s">
        <v>2575</v>
      </c>
      <c r="F79" s="18" t="s">
        <v>128</v>
      </c>
      <c r="G79" s="18">
        <v>25.32</v>
      </c>
      <c r="H79" s="18" t="s">
        <v>168</v>
      </c>
      <c r="I79" s="19">
        <v>6050.0</v>
      </c>
      <c r="J79" s="19">
        <v>4850.0</v>
      </c>
      <c r="K79" s="19">
        <v>7050.0</v>
      </c>
      <c r="O79" s="18" t="s">
        <v>117</v>
      </c>
      <c r="P79" s="18" t="s">
        <v>369</v>
      </c>
    </row>
    <row r="80">
      <c r="A80" s="18" t="s">
        <v>225</v>
      </c>
      <c r="B80" s="18" t="s">
        <v>44</v>
      </c>
      <c r="C80" s="18" t="s">
        <v>133</v>
      </c>
      <c r="D80" s="18" t="s">
        <v>226</v>
      </c>
      <c r="E80" s="18" t="s">
        <v>227</v>
      </c>
      <c r="F80" s="18" t="s">
        <v>228</v>
      </c>
      <c r="G80" s="18">
        <v>13.5</v>
      </c>
      <c r="H80" s="18" t="s">
        <v>56</v>
      </c>
      <c r="I80" s="19">
        <v>4150.0</v>
      </c>
      <c r="J80" s="19">
        <v>5400.0</v>
      </c>
      <c r="K80" s="19">
        <v>4800.0</v>
      </c>
      <c r="L80" s="18" t="s">
        <v>229</v>
      </c>
      <c r="M80" s="18" t="s">
        <v>230</v>
      </c>
      <c r="N80" s="18" t="s">
        <v>231</v>
      </c>
      <c r="O80" s="18" t="s">
        <v>41</v>
      </c>
      <c r="P80" s="18" t="s">
        <v>162</v>
      </c>
      <c r="Q80" s="19">
        <v>3990.0</v>
      </c>
    </row>
    <row r="81">
      <c r="A81" s="18" t="s">
        <v>225</v>
      </c>
      <c r="B81" s="18" t="s">
        <v>44</v>
      </c>
      <c r="C81" s="18" t="s">
        <v>133</v>
      </c>
      <c r="D81" s="18" t="s">
        <v>232</v>
      </c>
      <c r="E81" s="18" t="s">
        <v>233</v>
      </c>
      <c r="F81" s="18" t="s">
        <v>228</v>
      </c>
      <c r="G81" s="18">
        <v>14.0</v>
      </c>
      <c r="H81" s="18" t="s">
        <v>56</v>
      </c>
      <c r="I81" s="19">
        <v>4650.0</v>
      </c>
      <c r="J81" s="19">
        <v>6050.0</v>
      </c>
      <c r="K81" s="19">
        <v>5400.0</v>
      </c>
      <c r="L81" s="18" t="s">
        <v>234</v>
      </c>
      <c r="M81" s="18" t="s">
        <v>235</v>
      </c>
      <c r="N81" s="18" t="s">
        <v>231</v>
      </c>
      <c r="O81" s="18" t="s">
        <v>41</v>
      </c>
      <c r="P81" s="18" t="s">
        <v>162</v>
      </c>
      <c r="Q81" s="19">
        <v>4490.0</v>
      </c>
    </row>
    <row r="82">
      <c r="A82" s="18" t="s">
        <v>148</v>
      </c>
      <c r="B82" s="18" t="s">
        <v>44</v>
      </c>
      <c r="C82" s="18" t="s">
        <v>180</v>
      </c>
      <c r="D82" s="18" t="s">
        <v>236</v>
      </c>
      <c r="E82" s="18" t="s">
        <v>237</v>
      </c>
      <c r="F82" s="18" t="s">
        <v>228</v>
      </c>
      <c r="G82" s="18">
        <v>22.2</v>
      </c>
      <c r="H82" s="18" t="s">
        <v>56</v>
      </c>
      <c r="I82" s="19">
        <v>8349.0</v>
      </c>
      <c r="J82" s="19">
        <v>8350.0</v>
      </c>
      <c r="K82" s="19">
        <v>10050.0</v>
      </c>
      <c r="L82" s="18" t="s">
        <v>238</v>
      </c>
      <c r="M82" s="18" t="s">
        <v>239</v>
      </c>
      <c r="N82" s="18" t="s">
        <v>240</v>
      </c>
      <c r="O82" s="18" t="s">
        <v>151</v>
      </c>
      <c r="P82" s="18" t="s">
        <v>48</v>
      </c>
      <c r="Q82" s="19">
        <v>9990.0</v>
      </c>
    </row>
    <row r="83">
      <c r="A83" s="18" t="s">
        <v>225</v>
      </c>
      <c r="B83" s="18" t="s">
        <v>45</v>
      </c>
      <c r="C83" s="18" t="s">
        <v>45</v>
      </c>
      <c r="D83" s="18" t="s">
        <v>241</v>
      </c>
      <c r="E83" s="18" t="s">
        <v>242</v>
      </c>
      <c r="F83" s="18" t="s">
        <v>228</v>
      </c>
      <c r="G83" s="18">
        <v>9.0</v>
      </c>
      <c r="H83" s="18" t="s">
        <v>45</v>
      </c>
      <c r="I83" s="19">
        <v>3100.0</v>
      </c>
      <c r="J83" s="19">
        <v>4050.0</v>
      </c>
      <c r="K83" s="19">
        <v>3600.0</v>
      </c>
      <c r="L83" s="18" t="s">
        <v>243</v>
      </c>
      <c r="M83" s="18" t="s">
        <v>244</v>
      </c>
      <c r="N83" s="18" t="s">
        <v>245</v>
      </c>
      <c r="O83" s="18" t="s">
        <v>161</v>
      </c>
      <c r="P83" s="18" t="s">
        <v>162</v>
      </c>
      <c r="Q83" s="19">
        <v>3150.0</v>
      </c>
    </row>
    <row r="84">
      <c r="A84" s="18" t="s">
        <v>112</v>
      </c>
      <c r="B84" s="18" t="s">
        <v>45</v>
      </c>
      <c r="C84" s="18" t="s">
        <v>45</v>
      </c>
      <c r="D84" s="18" t="s">
        <v>246</v>
      </c>
      <c r="E84" s="18" t="s">
        <v>247</v>
      </c>
      <c r="F84" s="18" t="s">
        <v>228</v>
      </c>
      <c r="G84" s="18">
        <v>10.3</v>
      </c>
      <c r="H84" s="18" t="s">
        <v>45</v>
      </c>
      <c r="I84" s="19">
        <v>3257.0</v>
      </c>
      <c r="J84" s="19">
        <v>4600.0</v>
      </c>
      <c r="K84" s="19">
        <v>4000.0</v>
      </c>
      <c r="L84" s="18" t="s">
        <v>248</v>
      </c>
      <c r="M84" s="18" t="s">
        <v>249</v>
      </c>
      <c r="N84" s="18" t="s">
        <v>250</v>
      </c>
      <c r="O84" s="18" t="s">
        <v>198</v>
      </c>
      <c r="P84" s="18" t="s">
        <v>42</v>
      </c>
      <c r="Q84" s="19">
        <v>3990.0</v>
      </c>
    </row>
    <row r="85">
      <c r="A85" s="18" t="s">
        <v>138</v>
      </c>
      <c r="B85" s="18" t="s">
        <v>45</v>
      </c>
      <c r="C85" s="18" t="s">
        <v>45</v>
      </c>
      <c r="D85" s="18" t="s">
        <v>251</v>
      </c>
      <c r="E85" s="18" t="s">
        <v>252</v>
      </c>
      <c r="F85" s="18" t="s">
        <v>228</v>
      </c>
      <c r="G85" s="18">
        <v>9.3</v>
      </c>
      <c r="H85" s="18" t="s">
        <v>45</v>
      </c>
      <c r="I85" s="19">
        <v>1652.0</v>
      </c>
      <c r="J85" s="19">
        <v>2400.0</v>
      </c>
      <c r="K85" s="19">
        <v>2050.0</v>
      </c>
      <c r="L85" s="18" t="s">
        <v>253</v>
      </c>
      <c r="M85" s="18" t="s">
        <v>254</v>
      </c>
      <c r="N85" s="18" t="s">
        <v>143</v>
      </c>
      <c r="O85" s="18" t="s">
        <v>41</v>
      </c>
      <c r="P85" s="18" t="s">
        <v>144</v>
      </c>
      <c r="Q85" s="19">
        <v>2049.0</v>
      </c>
    </row>
    <row r="86">
      <c r="A86" s="18" t="s">
        <v>225</v>
      </c>
      <c r="B86" s="18" t="s">
        <v>44</v>
      </c>
      <c r="C86" s="18" t="s">
        <v>53</v>
      </c>
      <c r="D86" s="18" t="s">
        <v>255</v>
      </c>
      <c r="E86" s="18" t="s">
        <v>256</v>
      </c>
      <c r="F86" s="18" t="s">
        <v>228</v>
      </c>
      <c r="G86" s="18">
        <v>16.2</v>
      </c>
      <c r="H86" s="18" t="s">
        <v>120</v>
      </c>
      <c r="I86" s="19">
        <v>5700.0</v>
      </c>
      <c r="J86" s="19">
        <v>7450.0</v>
      </c>
      <c r="K86" s="19">
        <v>6600.0</v>
      </c>
      <c r="L86" s="18" t="s">
        <v>257</v>
      </c>
      <c r="M86" s="18" t="s">
        <v>239</v>
      </c>
      <c r="N86" s="18" t="s">
        <v>240</v>
      </c>
      <c r="O86" s="18" t="s">
        <v>41</v>
      </c>
      <c r="P86" s="18" t="s">
        <v>162</v>
      </c>
      <c r="Q86" s="19">
        <v>5750.0</v>
      </c>
    </row>
    <row r="87">
      <c r="A87" s="18" t="s">
        <v>145</v>
      </c>
      <c r="B87" s="18" t="s">
        <v>44</v>
      </c>
      <c r="C87" s="18" t="s">
        <v>53</v>
      </c>
      <c r="D87" s="18" t="s">
        <v>258</v>
      </c>
      <c r="E87" s="18" t="s">
        <v>259</v>
      </c>
      <c r="F87" s="18" t="s">
        <v>228</v>
      </c>
      <c r="G87" s="18">
        <v>16.4</v>
      </c>
      <c r="H87" s="18" t="s">
        <v>56</v>
      </c>
      <c r="I87" s="19">
        <v>8592.0</v>
      </c>
      <c r="J87" s="19">
        <v>9500.0</v>
      </c>
      <c r="K87" s="19">
        <v>10350.0</v>
      </c>
      <c r="L87" s="18" t="s">
        <v>260</v>
      </c>
      <c r="M87" s="18" t="s">
        <v>261</v>
      </c>
      <c r="N87" s="18" t="s">
        <v>245</v>
      </c>
      <c r="O87" s="18" t="s">
        <v>57</v>
      </c>
      <c r="P87" s="18" t="s">
        <v>63</v>
      </c>
      <c r="Q87" s="19">
        <v>10597.0</v>
      </c>
    </row>
    <row r="88">
      <c r="A88" s="18" t="s">
        <v>216</v>
      </c>
      <c r="B88" s="18" t="s">
        <v>44</v>
      </c>
      <c r="C88" s="18" t="s">
        <v>64</v>
      </c>
      <c r="D88" s="18" t="s">
        <v>262</v>
      </c>
      <c r="E88" s="18" t="s">
        <v>263</v>
      </c>
      <c r="F88" s="18" t="s">
        <v>228</v>
      </c>
      <c r="G88" s="18">
        <v>18.64</v>
      </c>
      <c r="H88" s="18" t="s">
        <v>120</v>
      </c>
      <c r="I88" s="19">
        <v>6345.0</v>
      </c>
      <c r="J88" s="19">
        <v>8900.0</v>
      </c>
      <c r="K88" s="19">
        <v>7650.0</v>
      </c>
      <c r="L88" s="18" t="s">
        <v>264</v>
      </c>
      <c r="M88" s="18" t="s">
        <v>265</v>
      </c>
      <c r="N88" s="18" t="s">
        <v>240</v>
      </c>
      <c r="O88" s="18" t="s">
        <v>57</v>
      </c>
      <c r="P88" s="18" t="s">
        <v>42</v>
      </c>
      <c r="Q88" s="19">
        <v>6650.0</v>
      </c>
    </row>
    <row r="89">
      <c r="A89" s="18" t="s">
        <v>148</v>
      </c>
      <c r="B89" s="18" t="s">
        <v>44</v>
      </c>
      <c r="C89" s="18" t="s">
        <v>76</v>
      </c>
      <c r="D89" s="18" t="s">
        <v>266</v>
      </c>
      <c r="E89" s="18" t="s">
        <v>267</v>
      </c>
      <c r="F89" s="18" t="s">
        <v>228</v>
      </c>
      <c r="G89" s="18">
        <v>21.9</v>
      </c>
      <c r="H89" s="18" t="s">
        <v>56</v>
      </c>
      <c r="I89" s="19">
        <v>8349.0</v>
      </c>
      <c r="J89" s="19">
        <v>8350.0</v>
      </c>
      <c r="K89" s="19">
        <v>10050.0</v>
      </c>
      <c r="L89" s="18" t="s">
        <v>268</v>
      </c>
      <c r="M89" s="18" t="s">
        <v>269</v>
      </c>
      <c r="N89" s="18" t="s">
        <v>270</v>
      </c>
      <c r="O89" s="18" t="s">
        <v>151</v>
      </c>
      <c r="P89" s="18" t="s">
        <v>48</v>
      </c>
      <c r="Q89" s="19">
        <v>8400.0</v>
      </c>
    </row>
    <row r="90">
      <c r="A90" s="18" t="s">
        <v>154</v>
      </c>
      <c r="B90" s="18" t="s">
        <v>44</v>
      </c>
      <c r="C90" s="18" t="s">
        <v>180</v>
      </c>
      <c r="D90" s="18" t="s">
        <v>271</v>
      </c>
      <c r="E90" s="18" t="s">
        <v>272</v>
      </c>
      <c r="F90" s="18" t="s">
        <v>228</v>
      </c>
      <c r="G90" s="18">
        <v>22.0</v>
      </c>
      <c r="H90" s="18" t="s">
        <v>56</v>
      </c>
      <c r="I90" s="19">
        <v>6090.0</v>
      </c>
      <c r="J90" s="19">
        <v>8550.0</v>
      </c>
      <c r="K90" s="19">
        <v>7350.0</v>
      </c>
      <c r="L90" s="18" t="s">
        <v>273</v>
      </c>
      <c r="M90" s="18" t="s">
        <v>239</v>
      </c>
      <c r="N90" s="18" t="s">
        <v>240</v>
      </c>
      <c r="O90" s="18" t="s">
        <v>151</v>
      </c>
      <c r="P90" s="18" t="s">
        <v>157</v>
      </c>
      <c r="Q90" s="19">
        <v>9006.0</v>
      </c>
    </row>
    <row r="91">
      <c r="A91" s="18" t="s">
        <v>138</v>
      </c>
      <c r="B91" s="18" t="s">
        <v>44</v>
      </c>
      <c r="C91" s="18" t="s">
        <v>151</v>
      </c>
      <c r="D91" s="18" t="s">
        <v>274</v>
      </c>
      <c r="E91" s="18" t="s">
        <v>275</v>
      </c>
      <c r="F91" s="18" t="s">
        <v>228</v>
      </c>
      <c r="G91" s="18">
        <v>28.95</v>
      </c>
      <c r="H91" s="18" t="s">
        <v>168</v>
      </c>
      <c r="I91" s="19">
        <v>4973.0</v>
      </c>
      <c r="J91" s="19">
        <v>7250.0</v>
      </c>
      <c r="K91" s="19">
        <v>6000.0</v>
      </c>
      <c r="L91" s="18" t="s">
        <v>276</v>
      </c>
      <c r="M91" s="18" t="s">
        <v>277</v>
      </c>
      <c r="N91" s="18" t="s">
        <v>270</v>
      </c>
      <c r="O91" s="18" t="s">
        <v>57</v>
      </c>
      <c r="P91" s="18" t="s">
        <v>144</v>
      </c>
      <c r="Q91" s="19">
        <v>7200.0</v>
      </c>
    </row>
    <row r="92">
      <c r="A92" s="18" t="s">
        <v>158</v>
      </c>
      <c r="B92" s="18" t="s">
        <v>45</v>
      </c>
      <c r="C92" s="18" t="s">
        <v>45</v>
      </c>
      <c r="D92" s="18" t="s">
        <v>278</v>
      </c>
      <c r="E92" s="18" t="s">
        <v>279</v>
      </c>
      <c r="F92" s="18" t="s">
        <v>228</v>
      </c>
      <c r="G92" s="18">
        <v>10.44</v>
      </c>
      <c r="H92" s="18" t="s">
        <v>45</v>
      </c>
      <c r="I92" s="19">
        <v>2542.0</v>
      </c>
      <c r="J92" s="19">
        <v>2550.0</v>
      </c>
      <c r="K92" s="19">
        <v>3100.0</v>
      </c>
      <c r="L92" s="18" t="s">
        <v>280</v>
      </c>
      <c r="M92" s="18" t="s">
        <v>281</v>
      </c>
      <c r="N92" s="18" t="s">
        <v>245</v>
      </c>
      <c r="O92" s="18" t="s">
        <v>41</v>
      </c>
      <c r="P92" s="18" t="s">
        <v>162</v>
      </c>
      <c r="Q92" s="19">
        <v>3300.0</v>
      </c>
    </row>
    <row r="93">
      <c r="A93" s="18" t="s">
        <v>282</v>
      </c>
      <c r="B93" s="18" t="s">
        <v>44</v>
      </c>
      <c r="C93" s="18" t="s">
        <v>76</v>
      </c>
      <c r="D93" s="18" t="s">
        <v>283</v>
      </c>
      <c r="E93" s="18" t="s">
        <v>284</v>
      </c>
      <c r="F93" s="18" t="s">
        <v>228</v>
      </c>
      <c r="G93" s="18">
        <v>20.03</v>
      </c>
      <c r="H93" s="18" t="s">
        <v>168</v>
      </c>
      <c r="I93" s="19">
        <v>6499.0</v>
      </c>
      <c r="J93" s="19">
        <v>7800.0</v>
      </c>
      <c r="K93" s="19">
        <v>7800.0</v>
      </c>
      <c r="L93" s="18" t="s">
        <v>285</v>
      </c>
      <c r="M93" s="18" t="s">
        <v>286</v>
      </c>
      <c r="N93" s="18" t="s">
        <v>270</v>
      </c>
      <c r="O93" s="18" t="s">
        <v>57</v>
      </c>
      <c r="P93" s="18" t="s">
        <v>63</v>
      </c>
      <c r="Q93" s="19">
        <v>6750.0</v>
      </c>
    </row>
    <row r="94">
      <c r="A94" s="18" t="s">
        <v>225</v>
      </c>
      <c r="B94" s="18" t="s">
        <v>44</v>
      </c>
      <c r="C94" s="18" t="s">
        <v>53</v>
      </c>
      <c r="D94" s="18" t="s">
        <v>287</v>
      </c>
      <c r="E94" s="18" t="s">
        <v>288</v>
      </c>
      <c r="F94" s="18" t="s">
        <v>228</v>
      </c>
      <c r="G94" s="18">
        <v>15.6</v>
      </c>
      <c r="H94" s="18" t="s">
        <v>120</v>
      </c>
      <c r="I94" s="19">
        <v>5700.0</v>
      </c>
      <c r="J94" s="19">
        <v>7450.0</v>
      </c>
      <c r="K94" s="19">
        <v>6600.0</v>
      </c>
      <c r="L94" s="18" t="s">
        <v>289</v>
      </c>
      <c r="M94" s="18" t="s">
        <v>290</v>
      </c>
      <c r="N94" s="18" t="s">
        <v>270</v>
      </c>
      <c r="O94" s="18" t="s">
        <v>41</v>
      </c>
      <c r="P94" s="18" t="s">
        <v>162</v>
      </c>
      <c r="Q94" s="19">
        <v>5490.0</v>
      </c>
    </row>
    <row r="95">
      <c r="A95" s="18" t="s">
        <v>171</v>
      </c>
      <c r="B95" s="18" t="s">
        <v>44</v>
      </c>
      <c r="C95" s="18" t="s">
        <v>64</v>
      </c>
      <c r="D95" s="18" t="s">
        <v>176</v>
      </c>
      <c r="E95" s="18" t="s">
        <v>177</v>
      </c>
      <c r="F95" s="18" t="s">
        <v>228</v>
      </c>
      <c r="G95" s="18">
        <v>18.31</v>
      </c>
      <c r="H95" s="18" t="s">
        <v>120</v>
      </c>
      <c r="I95" s="19">
        <v>4990.0</v>
      </c>
      <c r="J95" s="19">
        <v>5750.0</v>
      </c>
      <c r="K95" s="19">
        <v>6000.0</v>
      </c>
      <c r="L95" s="18" t="s">
        <v>3032</v>
      </c>
      <c r="M95" s="18" t="s">
        <v>3033</v>
      </c>
      <c r="N95" s="18" t="s">
        <v>311</v>
      </c>
      <c r="O95" s="18" t="s">
        <v>41</v>
      </c>
      <c r="Q95" s="19">
        <v>5275.0</v>
      </c>
    </row>
    <row r="96">
      <c r="A96" s="18" t="s">
        <v>171</v>
      </c>
      <c r="B96" s="18" t="s">
        <v>45</v>
      </c>
      <c r="C96" s="18" t="s">
        <v>45</v>
      </c>
      <c r="D96" s="18" t="s">
        <v>291</v>
      </c>
      <c r="E96" s="18" t="s">
        <v>292</v>
      </c>
      <c r="F96" s="18" t="s">
        <v>228</v>
      </c>
      <c r="G96" s="18">
        <v>17.44</v>
      </c>
      <c r="H96" s="18" t="s">
        <v>45</v>
      </c>
      <c r="I96" s="19">
        <v>2490.0</v>
      </c>
      <c r="J96" s="19">
        <v>2900.0</v>
      </c>
      <c r="K96" s="19">
        <v>3000.0</v>
      </c>
      <c r="L96" s="18" t="s">
        <v>293</v>
      </c>
      <c r="M96" s="18" t="s">
        <v>294</v>
      </c>
      <c r="N96" s="18" t="s">
        <v>240</v>
      </c>
      <c r="O96" s="18" t="s">
        <v>198</v>
      </c>
      <c r="Q96" s="19">
        <v>3300.0</v>
      </c>
    </row>
    <row r="97">
      <c r="A97" s="18" t="s">
        <v>138</v>
      </c>
      <c r="B97" s="18" t="s">
        <v>45</v>
      </c>
      <c r="C97" s="18" t="s">
        <v>45</v>
      </c>
      <c r="D97" s="18" t="s">
        <v>295</v>
      </c>
      <c r="E97" s="18" t="s">
        <v>296</v>
      </c>
      <c r="F97" s="18" t="s">
        <v>228</v>
      </c>
      <c r="G97" s="18">
        <v>10.09</v>
      </c>
      <c r="H97" s="18" t="s">
        <v>45</v>
      </c>
      <c r="I97" s="19">
        <v>1652.0</v>
      </c>
      <c r="J97" s="19">
        <v>2400.0</v>
      </c>
      <c r="K97" s="19">
        <v>2050.0</v>
      </c>
      <c r="L97" s="18" t="s">
        <v>297</v>
      </c>
      <c r="M97" s="18" t="s">
        <v>298</v>
      </c>
      <c r="N97" s="18" t="s">
        <v>250</v>
      </c>
      <c r="O97" s="18" t="s">
        <v>57</v>
      </c>
      <c r="P97" s="18" t="s">
        <v>144</v>
      </c>
      <c r="Q97" s="19">
        <v>2400.0</v>
      </c>
    </row>
    <row r="98">
      <c r="A98" s="18" t="s">
        <v>138</v>
      </c>
      <c r="B98" s="18" t="s">
        <v>44</v>
      </c>
      <c r="C98" s="18" t="s">
        <v>133</v>
      </c>
      <c r="D98" s="18" t="s">
        <v>299</v>
      </c>
      <c r="E98" s="18" t="s">
        <v>300</v>
      </c>
      <c r="F98" s="18" t="s">
        <v>228</v>
      </c>
      <c r="G98" s="18">
        <v>13.04</v>
      </c>
      <c r="H98" s="18" t="s">
        <v>56</v>
      </c>
      <c r="I98" s="19">
        <v>3113.0</v>
      </c>
      <c r="J98" s="19">
        <v>4550.0</v>
      </c>
      <c r="K98" s="19">
        <v>3800.0</v>
      </c>
      <c r="L98" s="18" t="s">
        <v>301</v>
      </c>
      <c r="M98" s="18" t="s">
        <v>302</v>
      </c>
      <c r="N98" s="18" t="s">
        <v>245</v>
      </c>
      <c r="O98" s="18" t="s">
        <v>57</v>
      </c>
      <c r="P98" s="18" t="s">
        <v>144</v>
      </c>
      <c r="Q98" s="19">
        <v>4500.0</v>
      </c>
    </row>
    <row r="99">
      <c r="A99" s="18" t="s">
        <v>35</v>
      </c>
      <c r="B99" s="18" t="s">
        <v>44</v>
      </c>
      <c r="C99" s="18" t="s">
        <v>64</v>
      </c>
      <c r="D99" s="18" t="s">
        <v>303</v>
      </c>
      <c r="E99" s="18" t="s">
        <v>304</v>
      </c>
      <c r="F99" s="18" t="s">
        <v>228</v>
      </c>
      <c r="G99" s="18">
        <v>19.46</v>
      </c>
      <c r="H99" s="18" t="s">
        <v>168</v>
      </c>
      <c r="I99" s="19">
        <v>6648.0</v>
      </c>
      <c r="J99" s="19">
        <v>9000.0</v>
      </c>
      <c r="K99" s="19">
        <v>8000.0</v>
      </c>
      <c r="L99" s="18" t="s">
        <v>305</v>
      </c>
      <c r="M99" s="18" t="s">
        <v>306</v>
      </c>
      <c r="N99" s="18" t="s">
        <v>231</v>
      </c>
      <c r="O99" s="18" t="s">
        <v>57</v>
      </c>
      <c r="P99" s="18" t="s">
        <v>42</v>
      </c>
      <c r="Q99" s="19">
        <v>8500.0</v>
      </c>
    </row>
    <row r="100">
      <c r="A100" s="18" t="s">
        <v>35</v>
      </c>
      <c r="B100" s="18" t="s">
        <v>45</v>
      </c>
      <c r="C100" s="18" t="s">
        <v>45</v>
      </c>
      <c r="D100" s="18" t="s">
        <v>307</v>
      </c>
      <c r="E100" s="18" t="s">
        <v>308</v>
      </c>
      <c r="F100" s="18" t="s">
        <v>228</v>
      </c>
      <c r="G100" s="18">
        <v>8.66</v>
      </c>
      <c r="H100" s="18" t="s">
        <v>45</v>
      </c>
      <c r="I100" s="19">
        <v>2885.0</v>
      </c>
      <c r="J100" s="19">
        <v>3900.0</v>
      </c>
      <c r="K100" s="19">
        <v>3500.0</v>
      </c>
      <c r="L100" s="18" t="s">
        <v>309</v>
      </c>
      <c r="M100" s="18" t="s">
        <v>310</v>
      </c>
      <c r="N100" s="18" t="s">
        <v>311</v>
      </c>
      <c r="O100" s="18" t="s">
        <v>83</v>
      </c>
      <c r="P100" s="18" t="s">
        <v>42</v>
      </c>
      <c r="Q100" s="19">
        <v>3400.0</v>
      </c>
    </row>
    <row r="101">
      <c r="A101" s="18" t="s">
        <v>216</v>
      </c>
      <c r="B101" s="18" t="s">
        <v>44</v>
      </c>
      <c r="C101" s="18" t="s">
        <v>53</v>
      </c>
      <c r="D101" s="18" t="s">
        <v>312</v>
      </c>
      <c r="E101" s="18" t="s">
        <v>313</v>
      </c>
      <c r="F101" s="18" t="s">
        <v>228</v>
      </c>
      <c r="G101" s="18">
        <v>17.19</v>
      </c>
      <c r="H101" s="18" t="s">
        <v>120</v>
      </c>
      <c r="I101" s="19">
        <v>5494.0</v>
      </c>
      <c r="J101" s="19">
        <v>7700.0</v>
      </c>
      <c r="K101" s="19">
        <v>6600.0</v>
      </c>
      <c r="L101" s="18" t="s">
        <v>314</v>
      </c>
      <c r="M101" s="18" t="s">
        <v>315</v>
      </c>
      <c r="N101" s="18" t="s">
        <v>316</v>
      </c>
      <c r="O101" s="18" t="s">
        <v>41</v>
      </c>
      <c r="P101" s="18" t="s">
        <v>42</v>
      </c>
      <c r="Q101" s="19">
        <v>7700.0</v>
      </c>
    </row>
    <row r="102">
      <c r="A102" s="18" t="s">
        <v>35</v>
      </c>
      <c r="B102" s="18" t="s">
        <v>44</v>
      </c>
      <c r="C102" s="18" t="s">
        <v>64</v>
      </c>
      <c r="D102" s="18" t="s">
        <v>2943</v>
      </c>
      <c r="E102" s="18" t="s">
        <v>2944</v>
      </c>
      <c r="F102" s="18" t="s">
        <v>228</v>
      </c>
      <c r="G102" s="18">
        <v>19.28</v>
      </c>
      <c r="H102" s="18" t="s">
        <v>168</v>
      </c>
      <c r="I102" s="19">
        <v>6648.0</v>
      </c>
      <c r="J102" s="19">
        <v>9000.0</v>
      </c>
      <c r="K102" s="19">
        <v>8000.0</v>
      </c>
      <c r="L102" s="18" t="s">
        <v>3034</v>
      </c>
      <c r="M102" s="18" t="s">
        <v>3035</v>
      </c>
      <c r="N102" s="18" t="s">
        <v>333</v>
      </c>
      <c r="O102" s="18" t="s">
        <v>41</v>
      </c>
      <c r="P102" s="18" t="s">
        <v>42</v>
      </c>
      <c r="Q102" s="19">
        <v>6650.0</v>
      </c>
    </row>
    <row r="103">
      <c r="A103" s="18" t="s">
        <v>145</v>
      </c>
      <c r="B103" s="18" t="s">
        <v>44</v>
      </c>
      <c r="C103" s="18" t="s">
        <v>64</v>
      </c>
      <c r="D103" s="18" t="s">
        <v>2590</v>
      </c>
      <c r="E103" s="18" t="s">
        <v>2591</v>
      </c>
      <c r="F103" s="18" t="s">
        <v>228</v>
      </c>
      <c r="G103" s="18">
        <v>17.0</v>
      </c>
      <c r="H103" s="18" t="s">
        <v>56</v>
      </c>
      <c r="I103" s="19">
        <v>9022.0</v>
      </c>
      <c r="J103" s="19">
        <v>9950.0</v>
      </c>
      <c r="K103" s="19">
        <v>10900.0</v>
      </c>
      <c r="L103" s="18" t="s">
        <v>3036</v>
      </c>
      <c r="M103" s="18" t="s">
        <v>3035</v>
      </c>
      <c r="N103" s="18" t="s">
        <v>333</v>
      </c>
      <c r="O103" s="18" t="s">
        <v>151</v>
      </c>
      <c r="P103" s="18" t="s">
        <v>63</v>
      </c>
      <c r="Q103" s="19">
        <v>9050.0</v>
      </c>
    </row>
    <row r="104">
      <c r="A104" s="18" t="s">
        <v>216</v>
      </c>
      <c r="B104" s="18" t="s">
        <v>45</v>
      </c>
      <c r="C104" s="18" t="s">
        <v>45</v>
      </c>
      <c r="D104" s="18" t="s">
        <v>317</v>
      </c>
      <c r="E104" s="18" t="s">
        <v>318</v>
      </c>
      <c r="F104" s="18" t="s">
        <v>228</v>
      </c>
      <c r="G104" s="18">
        <v>9.63</v>
      </c>
      <c r="H104" s="18" t="s">
        <v>45</v>
      </c>
      <c r="I104" s="19">
        <v>3194.0</v>
      </c>
      <c r="J104" s="19">
        <v>4500.0</v>
      </c>
      <c r="K104" s="19">
        <v>3850.0</v>
      </c>
      <c r="L104" s="18" t="s">
        <v>319</v>
      </c>
      <c r="M104" s="18" t="s">
        <v>320</v>
      </c>
      <c r="N104" s="18" t="s">
        <v>143</v>
      </c>
      <c r="O104" s="18" t="s">
        <v>57</v>
      </c>
      <c r="P104" s="18" t="s">
        <v>42</v>
      </c>
      <c r="Q104" s="19">
        <v>4300.0</v>
      </c>
    </row>
    <row r="105">
      <c r="A105" s="18" t="s">
        <v>112</v>
      </c>
      <c r="B105" s="18" t="s">
        <v>44</v>
      </c>
      <c r="C105" s="18" t="s">
        <v>180</v>
      </c>
      <c r="D105" s="18" t="s">
        <v>321</v>
      </c>
      <c r="E105" s="18" t="s">
        <v>322</v>
      </c>
      <c r="F105" s="18" t="s">
        <v>228</v>
      </c>
      <c r="G105" s="18">
        <v>22.9</v>
      </c>
      <c r="H105" s="18" t="s">
        <v>168</v>
      </c>
      <c r="I105" s="19">
        <v>6867.0</v>
      </c>
      <c r="J105" s="19">
        <v>9650.0</v>
      </c>
      <c r="K105" s="19">
        <v>8300.0</v>
      </c>
      <c r="L105" s="18" t="s">
        <v>323</v>
      </c>
      <c r="M105" s="18" t="s">
        <v>324</v>
      </c>
      <c r="N105" s="18" t="s">
        <v>270</v>
      </c>
      <c r="O105" s="18" t="s">
        <v>41</v>
      </c>
      <c r="P105" s="18" t="s">
        <v>42</v>
      </c>
      <c r="Q105" s="19">
        <v>9100.0</v>
      </c>
    </row>
    <row r="106">
      <c r="A106" s="18" t="s">
        <v>3037</v>
      </c>
      <c r="B106" s="18" t="s">
        <v>44</v>
      </c>
      <c r="C106" s="18" t="s">
        <v>3038</v>
      </c>
      <c r="D106" s="18" t="s">
        <v>3039</v>
      </c>
      <c r="E106" s="18" t="s">
        <v>3040</v>
      </c>
      <c r="F106" s="18" t="s">
        <v>228</v>
      </c>
      <c r="G106" s="18">
        <v>17.18</v>
      </c>
      <c r="H106" s="18" t="s">
        <v>120</v>
      </c>
      <c r="I106" s="19">
        <v>3200.0</v>
      </c>
      <c r="J106" s="19">
        <v>3200.0</v>
      </c>
      <c r="K106" s="19">
        <v>6600.0</v>
      </c>
      <c r="L106" s="18" t="s">
        <v>3041</v>
      </c>
      <c r="M106" s="18" t="s">
        <v>3042</v>
      </c>
      <c r="N106" s="18" t="s">
        <v>250</v>
      </c>
      <c r="O106" s="18" t="s">
        <v>57</v>
      </c>
      <c r="Q106" s="19">
        <v>3296.0</v>
      </c>
    </row>
    <row r="107">
      <c r="A107" s="18" t="s">
        <v>3037</v>
      </c>
      <c r="B107" s="18" t="s">
        <v>44</v>
      </c>
      <c r="C107" s="18" t="s">
        <v>64</v>
      </c>
      <c r="D107" s="18" t="s">
        <v>3043</v>
      </c>
      <c r="E107" s="18" t="s">
        <v>3044</v>
      </c>
      <c r="F107" s="18" t="s">
        <v>228</v>
      </c>
      <c r="G107" s="18">
        <v>28.99</v>
      </c>
      <c r="H107" s="18" t="s">
        <v>168</v>
      </c>
      <c r="I107" s="19">
        <v>5500.0</v>
      </c>
      <c r="J107" s="19">
        <v>5500.0</v>
      </c>
      <c r="K107" s="19">
        <v>7200.0</v>
      </c>
      <c r="L107" s="18" t="s">
        <v>3045</v>
      </c>
      <c r="M107" s="18" t="s">
        <v>3046</v>
      </c>
      <c r="N107" s="18" t="s">
        <v>250</v>
      </c>
      <c r="O107" s="18" t="s">
        <v>41</v>
      </c>
      <c r="Q107" s="19">
        <v>5665.0</v>
      </c>
    </row>
    <row r="108">
      <c r="A108" s="18" t="s">
        <v>3037</v>
      </c>
      <c r="B108" s="18" t="s">
        <v>44</v>
      </c>
      <c r="C108" s="18" t="s">
        <v>113</v>
      </c>
      <c r="D108" s="18" t="s">
        <v>3047</v>
      </c>
      <c r="E108" s="18" t="s">
        <v>3048</v>
      </c>
      <c r="F108" s="18" t="s">
        <v>228</v>
      </c>
      <c r="G108" s="18">
        <v>19.65</v>
      </c>
      <c r="H108" s="18" t="s">
        <v>168</v>
      </c>
      <c r="I108" s="19">
        <v>3800.0</v>
      </c>
      <c r="J108" s="19">
        <v>3800.0</v>
      </c>
      <c r="K108" s="19">
        <v>6600.0</v>
      </c>
      <c r="L108" s="18" t="s">
        <v>3049</v>
      </c>
      <c r="M108" s="18" t="s">
        <v>3050</v>
      </c>
      <c r="N108" s="18" t="s">
        <v>250</v>
      </c>
      <c r="O108" s="18" t="s">
        <v>83</v>
      </c>
      <c r="Q108" s="19">
        <v>3914.0</v>
      </c>
    </row>
    <row r="109">
      <c r="A109" s="18" t="s">
        <v>3037</v>
      </c>
      <c r="B109" s="18" t="s">
        <v>44</v>
      </c>
      <c r="C109" s="18" t="s">
        <v>113</v>
      </c>
      <c r="D109" s="18" t="s">
        <v>3051</v>
      </c>
      <c r="E109" s="18" t="s">
        <v>3052</v>
      </c>
      <c r="F109" s="18" t="s">
        <v>228</v>
      </c>
      <c r="G109" s="18">
        <v>19.22</v>
      </c>
      <c r="H109" s="18" t="s">
        <v>168</v>
      </c>
      <c r="I109" s="19">
        <v>3800.0</v>
      </c>
      <c r="J109" s="19">
        <v>3800.0</v>
      </c>
      <c r="K109" s="19">
        <v>6600.0</v>
      </c>
      <c r="L109" s="18" t="s">
        <v>3053</v>
      </c>
      <c r="M109" s="18" t="s">
        <v>3054</v>
      </c>
      <c r="N109" s="18" t="s">
        <v>250</v>
      </c>
      <c r="O109" s="18" t="s">
        <v>57</v>
      </c>
      <c r="Q109" s="19">
        <v>3914.0</v>
      </c>
    </row>
    <row r="110">
      <c r="A110" s="18" t="s">
        <v>3037</v>
      </c>
      <c r="B110" s="18" t="s">
        <v>44</v>
      </c>
      <c r="C110" s="18" t="s">
        <v>3055</v>
      </c>
      <c r="D110" s="18" t="s">
        <v>3056</v>
      </c>
      <c r="E110" s="18" t="s">
        <v>3057</v>
      </c>
      <c r="F110" s="18" t="s">
        <v>228</v>
      </c>
      <c r="G110" s="18">
        <v>14.15</v>
      </c>
      <c r="H110" s="18" t="s">
        <v>56</v>
      </c>
      <c r="I110" s="19">
        <v>2600.0</v>
      </c>
      <c r="J110" s="19">
        <v>2600.0</v>
      </c>
      <c r="K110" s="19">
        <v>6600.0</v>
      </c>
      <c r="L110" s="18" t="s">
        <v>3058</v>
      </c>
      <c r="M110" s="18" t="s">
        <v>3059</v>
      </c>
      <c r="N110" s="18" t="s">
        <v>250</v>
      </c>
      <c r="O110" s="18" t="s">
        <v>41</v>
      </c>
      <c r="Q110" s="19">
        <v>2678.0</v>
      </c>
    </row>
    <row r="111">
      <c r="A111" s="18" t="s">
        <v>3037</v>
      </c>
      <c r="B111" s="18" t="s">
        <v>44</v>
      </c>
      <c r="C111" s="18" t="s">
        <v>3055</v>
      </c>
      <c r="D111" s="18" t="s">
        <v>3060</v>
      </c>
      <c r="E111" s="18" t="s">
        <v>3061</v>
      </c>
      <c r="F111" s="18" t="s">
        <v>228</v>
      </c>
      <c r="G111" s="18">
        <v>12.63</v>
      </c>
      <c r="H111" s="18" t="s">
        <v>56</v>
      </c>
      <c r="I111" s="19">
        <v>2600.0</v>
      </c>
      <c r="J111" s="19">
        <v>2600.0</v>
      </c>
      <c r="K111" s="19">
        <v>6600.0</v>
      </c>
      <c r="L111" s="18" t="s">
        <v>3062</v>
      </c>
      <c r="M111" s="18" t="s">
        <v>3063</v>
      </c>
      <c r="N111" s="18" t="s">
        <v>250</v>
      </c>
      <c r="O111" s="18" t="s">
        <v>83</v>
      </c>
      <c r="Q111" s="19">
        <v>2678.0</v>
      </c>
    </row>
    <row r="112">
      <c r="A112" s="18" t="s">
        <v>3037</v>
      </c>
      <c r="B112" s="18" t="s">
        <v>44</v>
      </c>
      <c r="C112" s="18" t="s">
        <v>133</v>
      </c>
      <c r="D112" s="18" t="s">
        <v>3064</v>
      </c>
      <c r="E112" s="18" t="s">
        <v>3065</v>
      </c>
      <c r="F112" s="18" t="s">
        <v>228</v>
      </c>
      <c r="G112" s="18">
        <v>20.67</v>
      </c>
      <c r="H112" s="18" t="s">
        <v>168</v>
      </c>
      <c r="I112" s="19">
        <v>4250.0</v>
      </c>
      <c r="J112" s="19">
        <v>4250.0</v>
      </c>
      <c r="K112" s="19">
        <v>6600.0</v>
      </c>
      <c r="L112" s="18" t="s">
        <v>3066</v>
      </c>
      <c r="M112" s="18" t="s">
        <v>3067</v>
      </c>
      <c r="N112" s="18" t="s">
        <v>250</v>
      </c>
      <c r="O112" s="18" t="s">
        <v>57</v>
      </c>
      <c r="Q112" s="19">
        <v>4377.0</v>
      </c>
    </row>
    <row r="113">
      <c r="A113" s="18" t="s">
        <v>3068</v>
      </c>
      <c r="B113" s="18" t="s">
        <v>44</v>
      </c>
      <c r="C113" s="18" t="s">
        <v>133</v>
      </c>
      <c r="D113" s="18" t="s">
        <v>3069</v>
      </c>
      <c r="E113" s="18" t="s">
        <v>3070</v>
      </c>
      <c r="F113" s="18" t="s">
        <v>228</v>
      </c>
      <c r="G113" s="18">
        <v>20.06</v>
      </c>
      <c r="H113" s="18" t="s">
        <v>120</v>
      </c>
      <c r="I113" s="19">
        <v>4250.0</v>
      </c>
      <c r="J113" s="19">
        <v>4250.0</v>
      </c>
      <c r="K113" s="19">
        <v>37962.96</v>
      </c>
      <c r="L113" s="18" t="s">
        <v>3071</v>
      </c>
      <c r="M113" s="18" t="s">
        <v>3072</v>
      </c>
      <c r="N113" s="18" t="s">
        <v>250</v>
      </c>
      <c r="O113" s="18" t="s">
        <v>57</v>
      </c>
      <c r="Q113" s="19">
        <v>5500.0</v>
      </c>
    </row>
    <row r="114">
      <c r="A114" s="18" t="s">
        <v>3037</v>
      </c>
      <c r="B114" s="18" t="s">
        <v>44</v>
      </c>
      <c r="C114" s="18" t="s">
        <v>53</v>
      </c>
      <c r="D114" s="18" t="s">
        <v>3073</v>
      </c>
      <c r="E114" s="18" t="s">
        <v>3074</v>
      </c>
      <c r="F114" s="18" t="s">
        <v>228</v>
      </c>
      <c r="G114" s="18">
        <v>23.44</v>
      </c>
      <c r="H114" s="18" t="s">
        <v>168</v>
      </c>
      <c r="I114" s="19">
        <v>4800.0</v>
      </c>
      <c r="J114" s="19">
        <v>4800.0</v>
      </c>
      <c r="K114" s="19">
        <v>6600.0</v>
      </c>
      <c r="L114" s="18" t="s">
        <v>3075</v>
      </c>
      <c r="M114" s="18" t="s">
        <v>3076</v>
      </c>
      <c r="N114" s="18" t="s">
        <v>250</v>
      </c>
      <c r="O114" s="18" t="s">
        <v>57</v>
      </c>
      <c r="Q114" s="19">
        <v>4944.0</v>
      </c>
    </row>
    <row r="115">
      <c r="A115" s="18" t="s">
        <v>3037</v>
      </c>
      <c r="B115" s="18" t="s">
        <v>44</v>
      </c>
      <c r="C115" s="18" t="s">
        <v>64</v>
      </c>
      <c r="D115" s="18" t="s">
        <v>3077</v>
      </c>
      <c r="E115" s="18" t="s">
        <v>3078</v>
      </c>
      <c r="F115" s="18" t="s">
        <v>228</v>
      </c>
      <c r="G115" s="18">
        <v>29.01</v>
      </c>
      <c r="H115" s="18" t="s">
        <v>3079</v>
      </c>
      <c r="I115" s="19">
        <v>5500.0</v>
      </c>
      <c r="J115" s="19">
        <v>5500.0</v>
      </c>
      <c r="K115" s="19">
        <v>4800.0</v>
      </c>
      <c r="L115" s="18" t="s">
        <v>3080</v>
      </c>
      <c r="M115" s="18" t="s">
        <v>3081</v>
      </c>
      <c r="N115" s="18" t="s">
        <v>250</v>
      </c>
      <c r="O115" s="18" t="s">
        <v>83</v>
      </c>
      <c r="Q115" s="19">
        <v>5665.0</v>
      </c>
    </row>
    <row r="116">
      <c r="A116" s="18" t="s">
        <v>3037</v>
      </c>
      <c r="B116" s="18" t="s">
        <v>44</v>
      </c>
      <c r="C116" s="18" t="s">
        <v>64</v>
      </c>
      <c r="D116" s="18" t="s">
        <v>3082</v>
      </c>
      <c r="E116" s="18" t="s">
        <v>3083</v>
      </c>
      <c r="F116" s="18" t="s">
        <v>228</v>
      </c>
      <c r="G116" s="18">
        <v>26.62</v>
      </c>
      <c r="H116" s="18" t="s">
        <v>168</v>
      </c>
      <c r="I116" s="19">
        <v>5500.0</v>
      </c>
      <c r="J116" s="19">
        <v>5500.0</v>
      </c>
      <c r="K116" s="19">
        <v>4800.0</v>
      </c>
      <c r="L116" s="18" t="s">
        <v>3084</v>
      </c>
      <c r="M116" s="18" t="s">
        <v>3085</v>
      </c>
      <c r="N116" s="18" t="s">
        <v>250</v>
      </c>
      <c r="O116" s="18" t="s">
        <v>57</v>
      </c>
      <c r="Q116" s="19">
        <v>5665.0</v>
      </c>
    </row>
    <row r="117">
      <c r="A117" s="18" t="s">
        <v>3037</v>
      </c>
      <c r="B117" s="18" t="s">
        <v>44</v>
      </c>
      <c r="C117" s="18" t="s">
        <v>3038</v>
      </c>
      <c r="D117" s="18" t="s">
        <v>3086</v>
      </c>
      <c r="E117" s="18" t="s">
        <v>3087</v>
      </c>
      <c r="F117" s="18" t="s">
        <v>228</v>
      </c>
      <c r="G117" s="18">
        <v>15.39</v>
      </c>
      <c r="H117" s="18" t="s">
        <v>120</v>
      </c>
      <c r="I117" s="19">
        <v>3200.0</v>
      </c>
      <c r="J117" s="19">
        <v>3200.0</v>
      </c>
      <c r="K117" s="19">
        <v>4800.0</v>
      </c>
      <c r="L117" s="18" t="s">
        <v>3088</v>
      </c>
      <c r="M117" s="18" t="s">
        <v>3089</v>
      </c>
      <c r="N117" s="18" t="s">
        <v>250</v>
      </c>
      <c r="O117" s="18" t="s">
        <v>83</v>
      </c>
      <c r="Q117" s="19">
        <v>3296.0</v>
      </c>
    </row>
    <row r="118">
      <c r="A118" s="18" t="s">
        <v>3037</v>
      </c>
      <c r="B118" s="18" t="s">
        <v>44</v>
      </c>
      <c r="C118" s="18" t="s">
        <v>64</v>
      </c>
      <c r="D118" s="18" t="s">
        <v>3090</v>
      </c>
      <c r="E118" s="18" t="s">
        <v>3091</v>
      </c>
      <c r="F118" s="18" t="s">
        <v>228</v>
      </c>
      <c r="G118" s="18">
        <v>26.62</v>
      </c>
      <c r="H118" s="18" t="s">
        <v>168</v>
      </c>
      <c r="I118" s="19">
        <v>5500.0</v>
      </c>
      <c r="J118" s="19">
        <v>5500.0</v>
      </c>
      <c r="K118" s="19">
        <v>4800.0</v>
      </c>
      <c r="L118" s="18" t="s">
        <v>3092</v>
      </c>
      <c r="M118" s="18" t="s">
        <v>3093</v>
      </c>
      <c r="N118" s="18" t="s">
        <v>250</v>
      </c>
      <c r="O118" s="18" t="s">
        <v>83</v>
      </c>
      <c r="Q118" s="19">
        <v>5665.0</v>
      </c>
    </row>
    <row r="119">
      <c r="A119" s="18" t="s">
        <v>3037</v>
      </c>
      <c r="B119" s="18" t="s">
        <v>44</v>
      </c>
      <c r="C119" s="18" t="s">
        <v>113</v>
      </c>
      <c r="D119" s="18" t="s">
        <v>3094</v>
      </c>
      <c r="E119" s="18" t="s">
        <v>3095</v>
      </c>
      <c r="F119" s="18" t="s">
        <v>228</v>
      </c>
      <c r="G119" s="18">
        <v>18.82</v>
      </c>
      <c r="H119" s="18" t="s">
        <v>120</v>
      </c>
      <c r="I119" s="19">
        <v>3800.0</v>
      </c>
      <c r="J119" s="19">
        <v>3800.0</v>
      </c>
      <c r="K119" s="19">
        <v>4200.0</v>
      </c>
      <c r="L119" s="18" t="s">
        <v>3096</v>
      </c>
      <c r="M119" s="18" t="s">
        <v>3097</v>
      </c>
      <c r="N119" s="18" t="s">
        <v>250</v>
      </c>
      <c r="O119" s="18" t="s">
        <v>83</v>
      </c>
      <c r="Q119" s="19">
        <v>3914.0</v>
      </c>
    </row>
    <row r="120">
      <c r="A120" s="18" t="s">
        <v>3037</v>
      </c>
      <c r="B120" s="18" t="s">
        <v>44</v>
      </c>
      <c r="C120" s="18" t="s">
        <v>3055</v>
      </c>
      <c r="D120" s="18" t="s">
        <v>3098</v>
      </c>
      <c r="E120" s="18" t="s">
        <v>3099</v>
      </c>
      <c r="F120" s="18" t="s">
        <v>228</v>
      </c>
      <c r="G120" s="18">
        <v>14.48</v>
      </c>
      <c r="H120" s="18" t="s">
        <v>56</v>
      </c>
      <c r="I120" s="19">
        <v>2600.0</v>
      </c>
      <c r="J120" s="19">
        <v>2600.0</v>
      </c>
      <c r="K120" s="19">
        <v>4200.0</v>
      </c>
      <c r="L120" s="18" t="s">
        <v>3100</v>
      </c>
      <c r="M120" s="18" t="s">
        <v>3101</v>
      </c>
      <c r="N120" s="18" t="s">
        <v>250</v>
      </c>
      <c r="O120" s="18" t="s">
        <v>83</v>
      </c>
      <c r="Q120" s="19">
        <v>2678.0</v>
      </c>
    </row>
    <row r="121">
      <c r="A121" s="18" t="s">
        <v>3037</v>
      </c>
      <c r="B121" s="18" t="s">
        <v>44</v>
      </c>
      <c r="C121" s="18" t="s">
        <v>133</v>
      </c>
      <c r="D121" s="18" t="s">
        <v>3102</v>
      </c>
      <c r="E121" s="18" t="s">
        <v>3103</v>
      </c>
      <c r="F121" s="18" t="s">
        <v>228</v>
      </c>
      <c r="G121" s="18">
        <v>20.33</v>
      </c>
      <c r="H121" s="18" t="s">
        <v>168</v>
      </c>
      <c r="I121" s="19">
        <v>4250.0</v>
      </c>
      <c r="J121" s="19">
        <v>4250.0</v>
      </c>
      <c r="K121" s="19">
        <v>4200.0</v>
      </c>
      <c r="L121" s="18" t="s">
        <v>3104</v>
      </c>
      <c r="M121" s="18" t="s">
        <v>3105</v>
      </c>
      <c r="N121" s="18" t="s">
        <v>250</v>
      </c>
      <c r="O121" s="18" t="s">
        <v>57</v>
      </c>
      <c r="Q121" s="19">
        <v>4377.0</v>
      </c>
    </row>
    <row r="122">
      <c r="A122" s="18" t="s">
        <v>3037</v>
      </c>
      <c r="B122" s="18" t="s">
        <v>44</v>
      </c>
      <c r="C122" s="18" t="s">
        <v>113</v>
      </c>
      <c r="D122" s="18" t="s">
        <v>3106</v>
      </c>
      <c r="E122" s="18" t="s">
        <v>3107</v>
      </c>
      <c r="F122" s="18" t="s">
        <v>228</v>
      </c>
      <c r="G122" s="18">
        <v>19.44</v>
      </c>
      <c r="H122" s="18" t="s">
        <v>168</v>
      </c>
      <c r="I122" s="19">
        <v>3800.0</v>
      </c>
      <c r="J122" s="19">
        <v>3800.0</v>
      </c>
      <c r="K122" s="19">
        <v>4200.0</v>
      </c>
      <c r="L122" s="18" t="s">
        <v>3108</v>
      </c>
      <c r="M122" s="18" t="s">
        <v>3109</v>
      </c>
      <c r="N122" s="18" t="s">
        <v>250</v>
      </c>
      <c r="O122" s="18" t="s">
        <v>83</v>
      </c>
      <c r="Q122" s="19">
        <v>3914.0</v>
      </c>
    </row>
    <row r="123">
      <c r="A123" s="18" t="s">
        <v>3037</v>
      </c>
      <c r="B123" s="18" t="s">
        <v>44</v>
      </c>
      <c r="C123" s="18" t="s">
        <v>133</v>
      </c>
      <c r="D123" s="18" t="s">
        <v>3110</v>
      </c>
      <c r="E123" s="18" t="s">
        <v>3111</v>
      </c>
      <c r="F123" s="18" t="s">
        <v>228</v>
      </c>
      <c r="G123" s="18">
        <v>20.04</v>
      </c>
      <c r="H123" s="18" t="s">
        <v>168</v>
      </c>
      <c r="I123" s="19">
        <v>4250.0</v>
      </c>
      <c r="J123" s="19">
        <v>4250.0</v>
      </c>
      <c r="K123" s="19">
        <v>4200.0</v>
      </c>
      <c r="L123" s="18" t="s">
        <v>3112</v>
      </c>
      <c r="M123" s="18" t="s">
        <v>3113</v>
      </c>
      <c r="N123" s="18" t="s">
        <v>250</v>
      </c>
      <c r="O123" s="18" t="s">
        <v>57</v>
      </c>
      <c r="Q123" s="19">
        <v>4377.0</v>
      </c>
    </row>
    <row r="124">
      <c r="A124" s="18" t="s">
        <v>3037</v>
      </c>
      <c r="B124" s="18" t="s">
        <v>44</v>
      </c>
      <c r="C124" s="18" t="s">
        <v>53</v>
      </c>
      <c r="D124" s="18" t="s">
        <v>3114</v>
      </c>
      <c r="E124" s="18" t="s">
        <v>3115</v>
      </c>
      <c r="F124" s="18" t="s">
        <v>228</v>
      </c>
      <c r="G124" s="18">
        <v>23.32</v>
      </c>
      <c r="H124" s="18" t="s">
        <v>168</v>
      </c>
      <c r="I124" s="19">
        <v>4800.0</v>
      </c>
      <c r="J124" s="19">
        <v>4800.0</v>
      </c>
      <c r="K124" s="19">
        <v>4200.0</v>
      </c>
      <c r="L124" s="18" t="s">
        <v>3116</v>
      </c>
      <c r="M124" s="18" t="s">
        <v>3117</v>
      </c>
      <c r="N124" s="18" t="s">
        <v>250</v>
      </c>
      <c r="O124" s="18" t="s">
        <v>41</v>
      </c>
      <c r="Q124" s="19">
        <v>4944.0</v>
      </c>
    </row>
    <row r="125">
      <c r="A125" s="18" t="s">
        <v>3037</v>
      </c>
      <c r="B125" s="18" t="s">
        <v>44</v>
      </c>
      <c r="C125" s="18" t="s">
        <v>133</v>
      </c>
      <c r="D125" s="18" t="s">
        <v>3118</v>
      </c>
      <c r="E125" s="18" t="s">
        <v>3119</v>
      </c>
      <c r="F125" s="18" t="s">
        <v>228</v>
      </c>
      <c r="G125" s="18">
        <v>20.67</v>
      </c>
      <c r="H125" s="18" t="s">
        <v>168</v>
      </c>
      <c r="I125" s="19">
        <v>4250.0</v>
      </c>
      <c r="J125" s="19">
        <v>4250.0</v>
      </c>
      <c r="K125" s="19">
        <v>4200.0</v>
      </c>
      <c r="L125" s="18" t="s">
        <v>3120</v>
      </c>
      <c r="M125" s="18" t="s">
        <v>3121</v>
      </c>
      <c r="N125" s="18" t="s">
        <v>250</v>
      </c>
      <c r="O125" s="18" t="s">
        <v>83</v>
      </c>
      <c r="Q125" s="19">
        <v>4377.0</v>
      </c>
    </row>
    <row r="126">
      <c r="A126" s="18" t="s">
        <v>3037</v>
      </c>
      <c r="B126" s="18" t="s">
        <v>44</v>
      </c>
      <c r="C126" s="18" t="s">
        <v>133</v>
      </c>
      <c r="D126" s="18" t="s">
        <v>3122</v>
      </c>
      <c r="E126" s="18" t="s">
        <v>3123</v>
      </c>
      <c r="F126" s="18" t="s">
        <v>228</v>
      </c>
      <c r="G126" s="18">
        <v>20.35</v>
      </c>
      <c r="H126" s="18" t="s">
        <v>168</v>
      </c>
      <c r="I126" s="19">
        <v>4250.0</v>
      </c>
      <c r="J126" s="19">
        <v>4250.0</v>
      </c>
      <c r="K126" s="19">
        <v>4200.0</v>
      </c>
      <c r="L126" s="18" t="s">
        <v>3124</v>
      </c>
      <c r="M126" s="18" t="s">
        <v>3125</v>
      </c>
      <c r="N126" s="18" t="s">
        <v>250</v>
      </c>
      <c r="O126" s="18" t="s">
        <v>41</v>
      </c>
      <c r="Q126" s="19">
        <v>4377.0</v>
      </c>
    </row>
    <row r="127">
      <c r="A127" s="18" t="s">
        <v>3037</v>
      </c>
      <c r="B127" s="18" t="s">
        <v>44</v>
      </c>
      <c r="C127" s="18" t="s">
        <v>3038</v>
      </c>
      <c r="D127" s="18" t="s">
        <v>3126</v>
      </c>
      <c r="E127" s="18" t="s">
        <v>3127</v>
      </c>
      <c r="F127" s="18" t="s">
        <v>228</v>
      </c>
      <c r="G127" s="18">
        <v>15.39</v>
      </c>
      <c r="H127" s="18" t="s">
        <v>120</v>
      </c>
      <c r="I127" s="19">
        <v>3200.0</v>
      </c>
      <c r="J127" s="19">
        <v>3200.0</v>
      </c>
      <c r="K127" s="19">
        <v>2100.0</v>
      </c>
      <c r="L127" s="18" t="s">
        <v>3128</v>
      </c>
      <c r="M127" s="18" t="s">
        <v>3129</v>
      </c>
      <c r="N127" s="18" t="s">
        <v>250</v>
      </c>
      <c r="O127" s="18" t="s">
        <v>57</v>
      </c>
      <c r="Q127" s="19">
        <v>3296.0</v>
      </c>
    </row>
    <row r="128">
      <c r="A128" s="18" t="s">
        <v>3037</v>
      </c>
      <c r="B128" s="18" t="s">
        <v>44</v>
      </c>
      <c r="C128" s="18" t="s">
        <v>64</v>
      </c>
      <c r="D128" s="18" t="s">
        <v>3130</v>
      </c>
      <c r="E128" s="18" t="s">
        <v>3131</v>
      </c>
      <c r="F128" s="18" t="s">
        <v>228</v>
      </c>
      <c r="G128" s="18">
        <v>26.88</v>
      </c>
      <c r="H128" s="18" t="s">
        <v>168</v>
      </c>
      <c r="I128" s="19">
        <v>5500.0</v>
      </c>
      <c r="J128" s="19">
        <v>5500.0</v>
      </c>
      <c r="K128" s="19">
        <v>2100.0</v>
      </c>
      <c r="L128" s="18" t="s">
        <v>3132</v>
      </c>
      <c r="M128" s="18" t="s">
        <v>3133</v>
      </c>
      <c r="N128" s="18" t="s">
        <v>250</v>
      </c>
      <c r="O128" s="18" t="s">
        <v>41</v>
      </c>
      <c r="Q128" s="19">
        <v>5665.0</v>
      </c>
    </row>
    <row r="129">
      <c r="A129" s="18" t="s">
        <v>3037</v>
      </c>
      <c r="B129" s="18" t="s">
        <v>44</v>
      </c>
      <c r="C129" s="18" t="s">
        <v>64</v>
      </c>
      <c r="D129" s="18" t="s">
        <v>3134</v>
      </c>
      <c r="E129" s="18" t="s">
        <v>3135</v>
      </c>
      <c r="F129" s="18" t="s">
        <v>228</v>
      </c>
      <c r="G129" s="18">
        <v>29.01</v>
      </c>
      <c r="H129" s="18" t="s">
        <v>3079</v>
      </c>
      <c r="I129" s="19">
        <v>5500.0</v>
      </c>
      <c r="J129" s="19">
        <v>5500.0</v>
      </c>
      <c r="K129" s="19">
        <v>2100.0</v>
      </c>
      <c r="L129" s="18" t="s">
        <v>3136</v>
      </c>
      <c r="M129" s="18" t="s">
        <v>3137</v>
      </c>
      <c r="N129" s="18" t="s">
        <v>250</v>
      </c>
      <c r="O129" s="18" t="s">
        <v>57</v>
      </c>
      <c r="Q129" s="19">
        <v>5665.0</v>
      </c>
    </row>
    <row r="130">
      <c r="A130" s="18" t="s">
        <v>3068</v>
      </c>
      <c r="B130" s="18" t="s">
        <v>44</v>
      </c>
      <c r="C130" s="18" t="s">
        <v>3138</v>
      </c>
      <c r="D130" s="18" t="s">
        <v>3139</v>
      </c>
      <c r="E130" s="18" t="s">
        <v>3140</v>
      </c>
      <c r="F130" s="18" t="s">
        <v>228</v>
      </c>
      <c r="G130" s="18">
        <v>14.97</v>
      </c>
      <c r="H130" s="18" t="s">
        <v>56</v>
      </c>
      <c r="I130" s="19">
        <v>3200.0</v>
      </c>
      <c r="J130" s="19">
        <v>3200.0</v>
      </c>
      <c r="K130" s="19">
        <v>31712.96</v>
      </c>
      <c r="L130" s="18" t="s">
        <v>3141</v>
      </c>
      <c r="M130" s="18" t="s">
        <v>3142</v>
      </c>
      <c r="N130" s="18" t="s">
        <v>250</v>
      </c>
      <c r="O130" s="18" t="s">
        <v>41</v>
      </c>
      <c r="Q130" s="19">
        <v>4800.0</v>
      </c>
    </row>
    <row r="131">
      <c r="A131" s="18" t="s">
        <v>3037</v>
      </c>
      <c r="B131" s="18" t="s">
        <v>44</v>
      </c>
      <c r="C131" s="18" t="s">
        <v>133</v>
      </c>
      <c r="D131" s="18" t="s">
        <v>3143</v>
      </c>
      <c r="E131" s="18" t="s">
        <v>3144</v>
      </c>
      <c r="F131" s="18" t="s">
        <v>228</v>
      </c>
      <c r="G131" s="18">
        <v>20.84</v>
      </c>
      <c r="H131" s="18" t="s">
        <v>168</v>
      </c>
      <c r="I131" s="19">
        <v>4250.0</v>
      </c>
      <c r="J131" s="19">
        <v>4250.0</v>
      </c>
      <c r="K131" s="19">
        <v>2100.0</v>
      </c>
      <c r="L131" s="18" t="s">
        <v>3145</v>
      </c>
      <c r="M131" s="18" t="s">
        <v>3146</v>
      </c>
      <c r="N131" s="18" t="s">
        <v>250</v>
      </c>
      <c r="O131" s="18" t="s">
        <v>57</v>
      </c>
      <c r="Q131" s="19">
        <v>4377.0</v>
      </c>
    </row>
    <row r="132">
      <c r="A132" s="18" t="s">
        <v>3068</v>
      </c>
      <c r="B132" s="18" t="s">
        <v>44</v>
      </c>
      <c r="C132" s="18" t="s">
        <v>53</v>
      </c>
      <c r="D132" s="18" t="s">
        <v>3147</v>
      </c>
      <c r="E132" s="18" t="s">
        <v>3148</v>
      </c>
      <c r="F132" s="18" t="s">
        <v>228</v>
      </c>
      <c r="G132" s="18">
        <v>23.16</v>
      </c>
      <c r="H132" s="18" t="s">
        <v>168</v>
      </c>
      <c r="I132" s="19">
        <v>4800.0</v>
      </c>
      <c r="J132" s="19">
        <v>4800.0</v>
      </c>
      <c r="K132" s="19">
        <v>26851.85</v>
      </c>
      <c r="L132" s="18" t="s">
        <v>3149</v>
      </c>
      <c r="M132" s="18" t="s">
        <v>3150</v>
      </c>
      <c r="N132" s="18" t="s">
        <v>250</v>
      </c>
      <c r="O132" s="18" t="s">
        <v>57</v>
      </c>
      <c r="Q132" s="19">
        <v>4250.0</v>
      </c>
    </row>
    <row r="133">
      <c r="A133" s="18" t="s">
        <v>3037</v>
      </c>
      <c r="B133" s="18" t="s">
        <v>44</v>
      </c>
      <c r="C133" s="18" t="s">
        <v>3038</v>
      </c>
      <c r="D133" s="18" t="s">
        <v>3151</v>
      </c>
      <c r="E133" s="18" t="s">
        <v>3152</v>
      </c>
      <c r="F133" s="18" t="s">
        <v>228</v>
      </c>
      <c r="G133" s="18">
        <v>17.32</v>
      </c>
      <c r="H133" s="18" t="s">
        <v>120</v>
      </c>
      <c r="I133" s="19">
        <v>3200.0</v>
      </c>
      <c r="J133" s="19">
        <v>3200.0</v>
      </c>
      <c r="K133" s="19">
        <v>2100.0</v>
      </c>
      <c r="L133" s="18" t="s">
        <v>3153</v>
      </c>
      <c r="M133" s="18" t="s">
        <v>3154</v>
      </c>
      <c r="N133" s="18" t="s">
        <v>250</v>
      </c>
      <c r="O133" s="18" t="s">
        <v>83</v>
      </c>
      <c r="Q133" s="19">
        <v>3296.0</v>
      </c>
    </row>
    <row r="134">
      <c r="A134" s="18" t="s">
        <v>3068</v>
      </c>
      <c r="B134" s="18" t="s">
        <v>45</v>
      </c>
      <c r="C134" s="18" t="s">
        <v>45</v>
      </c>
      <c r="D134" s="18" t="s">
        <v>3155</v>
      </c>
      <c r="E134" s="18" t="s">
        <v>3156</v>
      </c>
      <c r="F134" s="18" t="s">
        <v>228</v>
      </c>
      <c r="G134" s="18">
        <v>15.19</v>
      </c>
      <c r="H134" s="18" t="s">
        <v>400</v>
      </c>
      <c r="I134" s="19">
        <v>2600.0</v>
      </c>
      <c r="J134" s="19">
        <v>2600.0</v>
      </c>
      <c r="K134" s="19">
        <v>37962.96</v>
      </c>
      <c r="L134" s="18" t="s">
        <v>3157</v>
      </c>
      <c r="M134" s="18" t="s">
        <v>3158</v>
      </c>
      <c r="N134" s="18" t="s">
        <v>250</v>
      </c>
      <c r="O134" s="18" t="s">
        <v>57</v>
      </c>
      <c r="Q134" s="19">
        <v>5500.0</v>
      </c>
    </row>
    <row r="135">
      <c r="A135" s="18" t="s">
        <v>3068</v>
      </c>
      <c r="B135" s="18" t="s">
        <v>45</v>
      </c>
      <c r="C135" s="18" t="s">
        <v>45</v>
      </c>
      <c r="D135" s="18" t="s">
        <v>3159</v>
      </c>
      <c r="E135" s="18" t="s">
        <v>3160</v>
      </c>
      <c r="F135" s="18" t="s">
        <v>228</v>
      </c>
      <c r="G135" s="18">
        <v>14.08</v>
      </c>
      <c r="H135" s="18" t="s">
        <v>400</v>
      </c>
      <c r="I135" s="19">
        <v>2600.0</v>
      </c>
      <c r="J135" s="19">
        <v>2600.0</v>
      </c>
      <c r="K135" s="19">
        <v>37962.96</v>
      </c>
      <c r="L135" s="18" t="s">
        <v>3161</v>
      </c>
      <c r="M135" s="18" t="s">
        <v>3162</v>
      </c>
      <c r="N135" s="18" t="s">
        <v>250</v>
      </c>
      <c r="O135" s="18" t="s">
        <v>83</v>
      </c>
      <c r="Q135" s="19">
        <v>3800.0</v>
      </c>
    </row>
    <row r="136">
      <c r="A136" s="18" t="s">
        <v>3068</v>
      </c>
      <c r="B136" s="18" t="s">
        <v>44</v>
      </c>
      <c r="C136" s="18" t="s">
        <v>133</v>
      </c>
      <c r="D136" s="18" t="s">
        <v>3163</v>
      </c>
      <c r="E136" s="18" t="s">
        <v>3164</v>
      </c>
      <c r="F136" s="18" t="s">
        <v>228</v>
      </c>
      <c r="G136" s="18">
        <v>22.62</v>
      </c>
      <c r="H136" s="18" t="s">
        <v>120</v>
      </c>
      <c r="I136" s="19">
        <v>4250.0</v>
      </c>
      <c r="J136" s="19">
        <v>4250.0</v>
      </c>
      <c r="K136" s="19">
        <v>37962.96</v>
      </c>
      <c r="L136" s="18" t="s">
        <v>3165</v>
      </c>
      <c r="M136" s="18" t="s">
        <v>3166</v>
      </c>
      <c r="N136" s="18" t="s">
        <v>250</v>
      </c>
      <c r="O136" s="18" t="s">
        <v>41</v>
      </c>
      <c r="Q136" s="19">
        <v>4250.0</v>
      </c>
    </row>
    <row r="137">
      <c r="A137" s="18" t="s">
        <v>3068</v>
      </c>
      <c r="B137" s="18" t="s">
        <v>44</v>
      </c>
      <c r="C137" s="18" t="s">
        <v>64</v>
      </c>
      <c r="D137" s="18" t="s">
        <v>3167</v>
      </c>
      <c r="E137" s="18" t="s">
        <v>3168</v>
      </c>
      <c r="F137" s="18" t="s">
        <v>228</v>
      </c>
      <c r="G137" s="18">
        <v>25.02</v>
      </c>
      <c r="H137" s="18" t="s">
        <v>168</v>
      </c>
      <c r="I137" s="19">
        <v>5500.0</v>
      </c>
      <c r="J137" s="19">
        <v>5500.0</v>
      </c>
      <c r="K137" s="19">
        <v>31712.96</v>
      </c>
      <c r="L137" s="18" t="s">
        <v>3169</v>
      </c>
      <c r="M137" s="18" t="s">
        <v>3170</v>
      </c>
      <c r="N137" s="18" t="s">
        <v>250</v>
      </c>
      <c r="O137" s="18" t="s">
        <v>57</v>
      </c>
      <c r="Q137" s="19">
        <v>5500.0</v>
      </c>
    </row>
    <row r="138">
      <c r="A138" s="18" t="s">
        <v>3068</v>
      </c>
      <c r="B138" s="18" t="s">
        <v>44</v>
      </c>
      <c r="C138" s="18" t="s">
        <v>64</v>
      </c>
      <c r="D138" s="18" t="s">
        <v>3171</v>
      </c>
      <c r="E138" s="18" t="s">
        <v>3172</v>
      </c>
      <c r="F138" s="18" t="s">
        <v>228</v>
      </c>
      <c r="G138" s="18">
        <v>25.8</v>
      </c>
      <c r="H138" s="18" t="s">
        <v>168</v>
      </c>
      <c r="I138" s="19">
        <v>5500.0</v>
      </c>
      <c r="J138" s="19">
        <v>5500.0</v>
      </c>
      <c r="K138" s="19">
        <v>31712.96</v>
      </c>
      <c r="L138" s="18" t="s">
        <v>3173</v>
      </c>
      <c r="M138" s="18" t="s">
        <v>3174</v>
      </c>
      <c r="N138" s="18" t="s">
        <v>250</v>
      </c>
      <c r="O138" s="18" t="s">
        <v>57</v>
      </c>
      <c r="Q138" s="19">
        <v>2600.0</v>
      </c>
    </row>
    <row r="139">
      <c r="A139" s="18" t="s">
        <v>3068</v>
      </c>
      <c r="B139" s="18" t="s">
        <v>44</v>
      </c>
      <c r="C139" s="18" t="s">
        <v>113</v>
      </c>
      <c r="D139" s="18" t="s">
        <v>3175</v>
      </c>
      <c r="E139" s="18" t="s">
        <v>3176</v>
      </c>
      <c r="F139" s="18" t="s">
        <v>228</v>
      </c>
      <c r="G139" s="18">
        <v>18.55</v>
      </c>
      <c r="H139" s="18" t="s">
        <v>56</v>
      </c>
      <c r="I139" s="19">
        <v>3800.0</v>
      </c>
      <c r="J139" s="19">
        <v>3800.0</v>
      </c>
      <c r="K139" s="19">
        <v>31712.96</v>
      </c>
      <c r="L139" s="18" t="s">
        <v>3177</v>
      </c>
      <c r="M139" s="18" t="s">
        <v>3178</v>
      </c>
      <c r="N139" s="18" t="s">
        <v>250</v>
      </c>
      <c r="O139" s="18" t="s">
        <v>41</v>
      </c>
      <c r="Q139" s="19">
        <v>3800.0</v>
      </c>
    </row>
    <row r="140">
      <c r="A140" s="18" t="s">
        <v>3016</v>
      </c>
      <c r="B140" s="18" t="s">
        <v>44</v>
      </c>
      <c r="C140" s="18" t="s">
        <v>53</v>
      </c>
      <c r="D140" s="18" t="s">
        <v>3179</v>
      </c>
      <c r="E140" s="18" t="s">
        <v>3180</v>
      </c>
      <c r="F140" s="18" t="s">
        <v>228</v>
      </c>
      <c r="G140" s="18">
        <v>23.12</v>
      </c>
      <c r="H140" s="18" t="s">
        <v>168</v>
      </c>
      <c r="I140" s="19">
        <v>4800.0</v>
      </c>
      <c r="J140" s="19">
        <v>4800.0</v>
      </c>
      <c r="K140" s="19">
        <v>5300.0</v>
      </c>
      <c r="L140" s="18" t="s">
        <v>3181</v>
      </c>
      <c r="M140" s="18" t="s">
        <v>3182</v>
      </c>
      <c r="N140" s="18" t="s">
        <v>250</v>
      </c>
      <c r="O140" s="18" t="s">
        <v>83</v>
      </c>
      <c r="Q140" s="19">
        <v>3766.0</v>
      </c>
    </row>
    <row r="141">
      <c r="A141" s="18" t="s">
        <v>3068</v>
      </c>
      <c r="B141" s="18" t="s">
        <v>44</v>
      </c>
      <c r="C141" s="18" t="s">
        <v>133</v>
      </c>
      <c r="D141" s="18" t="s">
        <v>3183</v>
      </c>
      <c r="E141" s="18" t="s">
        <v>3184</v>
      </c>
      <c r="F141" s="18" t="s">
        <v>228</v>
      </c>
      <c r="G141" s="18">
        <v>20.08</v>
      </c>
      <c r="H141" s="18" t="s">
        <v>120</v>
      </c>
      <c r="I141" s="19">
        <v>4250.0</v>
      </c>
      <c r="J141" s="19">
        <v>4250.0</v>
      </c>
      <c r="K141" s="19">
        <v>31712.96</v>
      </c>
      <c r="L141" s="18" t="s">
        <v>3185</v>
      </c>
      <c r="M141" s="18" t="s">
        <v>3186</v>
      </c>
      <c r="N141" s="18" t="s">
        <v>250</v>
      </c>
      <c r="O141" s="18" t="s">
        <v>57</v>
      </c>
      <c r="Q141" s="19">
        <v>4250.0</v>
      </c>
    </row>
    <row r="142">
      <c r="A142" s="18" t="s">
        <v>3068</v>
      </c>
      <c r="B142" s="18" t="s">
        <v>44</v>
      </c>
      <c r="C142" s="18" t="s">
        <v>113</v>
      </c>
      <c r="D142" s="18" t="s">
        <v>3187</v>
      </c>
      <c r="E142" s="18" t="s">
        <v>3188</v>
      </c>
      <c r="F142" s="18" t="s">
        <v>228</v>
      </c>
      <c r="G142" s="18">
        <v>18.01</v>
      </c>
      <c r="H142" s="18" t="s">
        <v>56</v>
      </c>
      <c r="I142" s="19">
        <v>3800.0</v>
      </c>
      <c r="J142" s="19">
        <v>3800.0</v>
      </c>
      <c r="K142" s="19">
        <v>26851.85</v>
      </c>
      <c r="L142" s="18" t="s">
        <v>3189</v>
      </c>
      <c r="M142" s="18" t="s">
        <v>3190</v>
      </c>
      <c r="N142" s="18" t="s">
        <v>250</v>
      </c>
      <c r="O142" s="18" t="s">
        <v>41</v>
      </c>
      <c r="Q142" s="19">
        <v>3800.0</v>
      </c>
    </row>
    <row r="143">
      <c r="A143" s="18" t="s">
        <v>3068</v>
      </c>
      <c r="B143" s="18" t="s">
        <v>44</v>
      </c>
      <c r="C143" s="18" t="s">
        <v>3138</v>
      </c>
      <c r="D143" s="18" t="s">
        <v>3191</v>
      </c>
      <c r="E143" s="18" t="s">
        <v>3192</v>
      </c>
      <c r="F143" s="18" t="s">
        <v>228</v>
      </c>
      <c r="G143" s="18">
        <v>15.3</v>
      </c>
      <c r="H143" s="18" t="s">
        <v>56</v>
      </c>
      <c r="I143" s="19">
        <v>3200.0</v>
      </c>
      <c r="J143" s="19">
        <v>3200.0</v>
      </c>
      <c r="K143" s="19">
        <v>26851.85</v>
      </c>
      <c r="L143" s="18" t="s">
        <v>3193</v>
      </c>
      <c r="M143" s="18" t="s">
        <v>3194</v>
      </c>
      <c r="N143" s="18" t="s">
        <v>250</v>
      </c>
      <c r="O143" s="18" t="s">
        <v>41</v>
      </c>
      <c r="Q143" s="19">
        <v>4800.0</v>
      </c>
    </row>
    <row r="144">
      <c r="A144" s="18" t="s">
        <v>3068</v>
      </c>
      <c r="B144" s="18" t="s">
        <v>44</v>
      </c>
      <c r="C144" s="18" t="s">
        <v>113</v>
      </c>
      <c r="D144" s="18" t="s">
        <v>3195</v>
      </c>
      <c r="E144" s="18" t="s">
        <v>3196</v>
      </c>
      <c r="F144" s="18" t="s">
        <v>228</v>
      </c>
      <c r="G144" s="18">
        <v>18.0</v>
      </c>
      <c r="H144" s="18" t="s">
        <v>56</v>
      </c>
      <c r="I144" s="19">
        <v>3800.0</v>
      </c>
      <c r="J144" s="19">
        <v>3800.0</v>
      </c>
      <c r="K144" s="19">
        <v>12500.0</v>
      </c>
      <c r="L144" s="18" t="s">
        <v>3197</v>
      </c>
      <c r="M144" s="18" t="s">
        <v>3198</v>
      </c>
      <c r="N144" s="18" t="s">
        <v>250</v>
      </c>
      <c r="O144" s="18" t="s">
        <v>57</v>
      </c>
      <c r="Q144" s="19">
        <v>4250.0</v>
      </c>
    </row>
    <row r="145">
      <c r="A145" s="18" t="s">
        <v>3068</v>
      </c>
      <c r="B145" s="18" t="s">
        <v>44</v>
      </c>
      <c r="C145" s="18" t="s">
        <v>133</v>
      </c>
      <c r="D145" s="18" t="s">
        <v>3199</v>
      </c>
      <c r="E145" s="18" t="s">
        <v>3200</v>
      </c>
      <c r="F145" s="18" t="s">
        <v>228</v>
      </c>
      <c r="G145" s="18">
        <v>20.7</v>
      </c>
      <c r="H145" s="18" t="s">
        <v>120</v>
      </c>
      <c r="I145" s="19">
        <v>4250.0</v>
      </c>
      <c r="J145" s="19">
        <v>4250.0</v>
      </c>
      <c r="K145" s="19">
        <v>12500.0</v>
      </c>
      <c r="L145" s="18" t="s">
        <v>3201</v>
      </c>
      <c r="M145" s="18" t="s">
        <v>3202</v>
      </c>
      <c r="N145" s="18" t="s">
        <v>250</v>
      </c>
      <c r="O145" s="18" t="s">
        <v>57</v>
      </c>
      <c r="Q145" s="19">
        <v>3800.0</v>
      </c>
    </row>
    <row r="146">
      <c r="A146" s="18" t="s">
        <v>3068</v>
      </c>
      <c r="B146" s="18" t="s">
        <v>44</v>
      </c>
      <c r="C146" s="18" t="s">
        <v>64</v>
      </c>
      <c r="D146" s="18" t="s">
        <v>3203</v>
      </c>
      <c r="E146" s="18" t="s">
        <v>3204</v>
      </c>
      <c r="F146" s="18" t="s">
        <v>228</v>
      </c>
      <c r="G146" s="18">
        <v>25.07</v>
      </c>
      <c r="H146" s="18" t="s">
        <v>168</v>
      </c>
      <c r="I146" s="19">
        <v>5500.0</v>
      </c>
      <c r="J146" s="19">
        <v>5500.0</v>
      </c>
      <c r="K146" s="19">
        <v>12500.0</v>
      </c>
      <c r="L146" s="18" t="s">
        <v>3205</v>
      </c>
      <c r="M146" s="18" t="s">
        <v>3206</v>
      </c>
      <c r="N146" s="18" t="s">
        <v>250</v>
      </c>
      <c r="O146" s="18" t="s">
        <v>83</v>
      </c>
      <c r="Q146" s="19">
        <v>2600.0</v>
      </c>
    </row>
    <row r="147">
      <c r="A147" s="18" t="s">
        <v>3068</v>
      </c>
      <c r="B147" s="18" t="s">
        <v>44</v>
      </c>
      <c r="C147" s="18" t="s">
        <v>113</v>
      </c>
      <c r="D147" s="18" t="s">
        <v>3207</v>
      </c>
      <c r="E147" s="18" t="s">
        <v>3208</v>
      </c>
      <c r="F147" s="18" t="s">
        <v>228</v>
      </c>
      <c r="G147" s="18">
        <v>18.41</v>
      </c>
      <c r="H147" s="18" t="s">
        <v>56</v>
      </c>
      <c r="I147" s="19">
        <v>3800.0</v>
      </c>
      <c r="J147" s="19">
        <v>3800.0</v>
      </c>
      <c r="K147" s="19">
        <v>12500.0</v>
      </c>
      <c r="L147" s="18" t="s">
        <v>3209</v>
      </c>
      <c r="M147" s="18" t="s">
        <v>3210</v>
      </c>
      <c r="N147" s="18" t="s">
        <v>250</v>
      </c>
      <c r="O147" s="18" t="s">
        <v>41</v>
      </c>
      <c r="Q147" s="19">
        <v>3800.0</v>
      </c>
    </row>
    <row r="148">
      <c r="A148" s="18" t="s">
        <v>3007</v>
      </c>
      <c r="B148" s="18" t="s">
        <v>44</v>
      </c>
      <c r="C148" s="18" t="s">
        <v>133</v>
      </c>
      <c r="D148" s="18" t="s">
        <v>3211</v>
      </c>
      <c r="E148" s="18" t="s">
        <v>3212</v>
      </c>
      <c r="F148" s="18" t="s">
        <v>228</v>
      </c>
      <c r="G148" s="18">
        <v>20.18</v>
      </c>
      <c r="H148" s="18" t="s">
        <v>120</v>
      </c>
      <c r="I148" s="19">
        <v>4250.0</v>
      </c>
      <c r="J148" s="19">
        <v>4250.0</v>
      </c>
      <c r="K148" s="19">
        <v>6100.0</v>
      </c>
      <c r="L148" s="18" t="s">
        <v>3213</v>
      </c>
      <c r="M148" s="18" t="s">
        <v>3214</v>
      </c>
      <c r="N148" s="18" t="s">
        <v>250</v>
      </c>
      <c r="O148" s="18" t="s">
        <v>41</v>
      </c>
      <c r="Q148" s="19">
        <v>4643.0</v>
      </c>
    </row>
    <row r="149">
      <c r="A149" s="18" t="s">
        <v>3016</v>
      </c>
      <c r="B149" s="18" t="s">
        <v>44</v>
      </c>
      <c r="C149" s="18" t="s">
        <v>133</v>
      </c>
      <c r="D149" s="18" t="s">
        <v>3215</v>
      </c>
      <c r="E149" s="18" t="s">
        <v>3216</v>
      </c>
      <c r="F149" s="18" t="s">
        <v>228</v>
      </c>
      <c r="G149" s="18">
        <v>21.04</v>
      </c>
      <c r="H149" s="18" t="s">
        <v>120</v>
      </c>
      <c r="I149" s="19">
        <v>4250.0</v>
      </c>
      <c r="J149" s="19">
        <v>4250.0</v>
      </c>
      <c r="K149" s="19">
        <v>7500.0</v>
      </c>
      <c r="L149" s="18" t="s">
        <v>3217</v>
      </c>
      <c r="M149" s="18" t="s">
        <v>3218</v>
      </c>
      <c r="N149" s="18" t="s">
        <v>250</v>
      </c>
      <c r="O149" s="18" t="s">
        <v>57</v>
      </c>
      <c r="Q149" s="19">
        <v>5309.0</v>
      </c>
    </row>
    <row r="150">
      <c r="A150" s="18" t="s">
        <v>3007</v>
      </c>
      <c r="B150" s="18" t="s">
        <v>44</v>
      </c>
      <c r="C150" s="18" t="s">
        <v>64</v>
      </c>
      <c r="D150" s="18" t="s">
        <v>3219</v>
      </c>
      <c r="E150" s="18" t="s">
        <v>3220</v>
      </c>
      <c r="F150" s="18" t="s">
        <v>228</v>
      </c>
      <c r="G150" s="18">
        <v>25.16</v>
      </c>
      <c r="H150" s="18" t="s">
        <v>168</v>
      </c>
      <c r="I150" s="19">
        <v>5500.0</v>
      </c>
      <c r="J150" s="19">
        <v>5500.0</v>
      </c>
      <c r="K150" s="19">
        <v>7400.0</v>
      </c>
      <c r="L150" s="18" t="s">
        <v>3221</v>
      </c>
      <c r="M150" s="18" t="s">
        <v>3222</v>
      </c>
      <c r="N150" s="18" t="s">
        <v>250</v>
      </c>
      <c r="O150" s="18" t="s">
        <v>57</v>
      </c>
      <c r="Q150" s="19">
        <v>5569.0</v>
      </c>
    </row>
    <row r="151">
      <c r="A151" s="18" t="s">
        <v>3007</v>
      </c>
      <c r="B151" s="18" t="s">
        <v>44</v>
      </c>
      <c r="C151" s="18" t="s">
        <v>53</v>
      </c>
      <c r="D151" s="18" t="s">
        <v>3223</v>
      </c>
      <c r="E151" s="18" t="s">
        <v>3224</v>
      </c>
      <c r="F151" s="18" t="s">
        <v>228</v>
      </c>
      <c r="G151" s="18">
        <v>24.77</v>
      </c>
      <c r="H151" s="18" t="s">
        <v>168</v>
      </c>
      <c r="I151" s="19">
        <v>4800.0</v>
      </c>
      <c r="J151" s="19">
        <v>4800.0</v>
      </c>
      <c r="K151" s="19">
        <v>7400.0</v>
      </c>
      <c r="L151" s="18" t="s">
        <v>3225</v>
      </c>
      <c r="M151" s="18" t="s">
        <v>3226</v>
      </c>
      <c r="N151" s="18" t="s">
        <v>250</v>
      </c>
      <c r="O151" s="18" t="s">
        <v>57</v>
      </c>
      <c r="Q151" s="19">
        <v>5569.0</v>
      </c>
    </row>
    <row r="152">
      <c r="A152" s="18" t="s">
        <v>3007</v>
      </c>
      <c r="B152" s="18" t="s">
        <v>45</v>
      </c>
      <c r="C152" s="18" t="s">
        <v>45</v>
      </c>
      <c r="D152" s="18" t="s">
        <v>3227</v>
      </c>
      <c r="E152" s="18" t="s">
        <v>3228</v>
      </c>
      <c r="F152" s="18" t="s">
        <v>228</v>
      </c>
      <c r="G152" s="18">
        <v>15.0</v>
      </c>
      <c r="H152" s="18" t="s">
        <v>400</v>
      </c>
      <c r="I152" s="19">
        <v>2600.0</v>
      </c>
      <c r="J152" s="19">
        <v>2600.0</v>
      </c>
      <c r="K152" s="19">
        <v>6100.0</v>
      </c>
      <c r="L152" s="18" t="s">
        <v>3229</v>
      </c>
      <c r="M152" s="18" t="s">
        <v>3230</v>
      </c>
      <c r="N152" s="18" t="s">
        <v>250</v>
      </c>
      <c r="O152" s="18" t="s">
        <v>41</v>
      </c>
      <c r="Q152" s="19">
        <v>4643.0</v>
      </c>
    </row>
    <row r="153">
      <c r="A153" s="18" t="s">
        <v>3007</v>
      </c>
      <c r="B153" s="18" t="s">
        <v>44</v>
      </c>
      <c r="C153" s="18" t="s">
        <v>133</v>
      </c>
      <c r="D153" s="18" t="s">
        <v>3231</v>
      </c>
      <c r="E153" s="18" t="s">
        <v>3232</v>
      </c>
      <c r="F153" s="18" t="s">
        <v>228</v>
      </c>
      <c r="G153" s="18">
        <v>21.78</v>
      </c>
      <c r="H153" s="18" t="s">
        <v>120</v>
      </c>
      <c r="I153" s="19">
        <v>4250.0</v>
      </c>
      <c r="J153" s="19">
        <v>4250.0</v>
      </c>
      <c r="K153" s="19">
        <v>6100.0</v>
      </c>
      <c r="L153" s="18" t="s">
        <v>3233</v>
      </c>
      <c r="M153" s="18" t="s">
        <v>3234</v>
      </c>
      <c r="N153" s="18" t="s">
        <v>250</v>
      </c>
      <c r="O153" s="18" t="s">
        <v>57</v>
      </c>
      <c r="Q153" s="19">
        <v>4643.0</v>
      </c>
    </row>
    <row r="154">
      <c r="A154" s="18" t="s">
        <v>3007</v>
      </c>
      <c r="B154" s="18" t="s">
        <v>44</v>
      </c>
      <c r="C154" s="18" t="s">
        <v>53</v>
      </c>
      <c r="D154" s="18" t="s">
        <v>3235</v>
      </c>
      <c r="E154" s="18" t="s">
        <v>3236</v>
      </c>
      <c r="F154" s="18" t="s">
        <v>228</v>
      </c>
      <c r="G154" s="18">
        <v>24.48</v>
      </c>
      <c r="H154" s="18" t="s">
        <v>168</v>
      </c>
      <c r="I154" s="19">
        <v>4800.0</v>
      </c>
      <c r="J154" s="19">
        <v>4800.0</v>
      </c>
      <c r="K154" s="19">
        <v>6100.0</v>
      </c>
      <c r="L154" s="18" t="s">
        <v>3237</v>
      </c>
      <c r="M154" s="18" t="s">
        <v>3238</v>
      </c>
      <c r="N154" s="18" t="s">
        <v>250</v>
      </c>
      <c r="O154" s="18" t="s">
        <v>83</v>
      </c>
      <c r="Q154" s="19">
        <v>4643.0</v>
      </c>
    </row>
    <row r="155">
      <c r="A155" s="18" t="s">
        <v>3007</v>
      </c>
      <c r="B155" s="18" t="s">
        <v>44</v>
      </c>
      <c r="C155" s="18" t="s">
        <v>133</v>
      </c>
      <c r="D155" s="18" t="s">
        <v>3239</v>
      </c>
      <c r="E155" s="18" t="s">
        <v>3240</v>
      </c>
      <c r="F155" s="18" t="s">
        <v>228</v>
      </c>
      <c r="G155" s="18">
        <v>20.08</v>
      </c>
      <c r="H155" s="18" t="s">
        <v>120</v>
      </c>
      <c r="I155" s="19">
        <v>4250.0</v>
      </c>
      <c r="J155" s="19">
        <v>4250.0</v>
      </c>
      <c r="K155" s="19">
        <v>6100.0</v>
      </c>
      <c r="L155" s="18" t="s">
        <v>3241</v>
      </c>
      <c r="M155" s="18" t="s">
        <v>3242</v>
      </c>
      <c r="N155" s="18" t="s">
        <v>250</v>
      </c>
      <c r="O155" s="18" t="s">
        <v>41</v>
      </c>
      <c r="Q155" s="19">
        <v>4643.0</v>
      </c>
    </row>
    <row r="156">
      <c r="A156" s="18" t="s">
        <v>3007</v>
      </c>
      <c r="B156" s="18" t="s">
        <v>44</v>
      </c>
      <c r="C156" s="18" t="s">
        <v>133</v>
      </c>
      <c r="D156" s="18" t="s">
        <v>3243</v>
      </c>
      <c r="E156" s="18" t="s">
        <v>3244</v>
      </c>
      <c r="F156" s="18" t="s">
        <v>228</v>
      </c>
      <c r="G156" s="18">
        <v>20.4</v>
      </c>
      <c r="H156" s="18" t="s">
        <v>120</v>
      </c>
      <c r="I156" s="19">
        <v>4250.0</v>
      </c>
      <c r="J156" s="19">
        <v>4250.0</v>
      </c>
      <c r="K156" s="19">
        <v>6100.0</v>
      </c>
      <c r="L156" s="18" t="s">
        <v>3245</v>
      </c>
      <c r="M156" s="18" t="s">
        <v>3246</v>
      </c>
      <c r="N156" s="18" t="s">
        <v>250</v>
      </c>
      <c r="O156" s="18" t="s">
        <v>41</v>
      </c>
      <c r="Q156" s="19">
        <v>4643.0</v>
      </c>
    </row>
    <row r="157">
      <c r="A157" s="18" t="s">
        <v>3007</v>
      </c>
      <c r="B157" s="18" t="s">
        <v>44</v>
      </c>
      <c r="C157" s="18" t="s">
        <v>113</v>
      </c>
      <c r="D157" s="18" t="s">
        <v>3247</v>
      </c>
      <c r="E157" s="18" t="s">
        <v>3248</v>
      </c>
      <c r="F157" s="18" t="s">
        <v>228</v>
      </c>
      <c r="G157" s="18">
        <v>18.35</v>
      </c>
      <c r="H157" s="18" t="s">
        <v>56</v>
      </c>
      <c r="I157" s="19">
        <v>3800.0</v>
      </c>
      <c r="J157" s="19">
        <v>3800.0</v>
      </c>
      <c r="K157" s="19">
        <v>5200.0</v>
      </c>
      <c r="L157" s="18" t="s">
        <v>3249</v>
      </c>
      <c r="M157" s="18" t="s">
        <v>3250</v>
      </c>
      <c r="N157" s="18" t="s">
        <v>250</v>
      </c>
      <c r="O157" s="18" t="s">
        <v>41</v>
      </c>
      <c r="Q157" s="19">
        <v>3953.0</v>
      </c>
    </row>
    <row r="158">
      <c r="A158" s="18" t="s">
        <v>3007</v>
      </c>
      <c r="B158" s="18" t="s">
        <v>44</v>
      </c>
      <c r="C158" s="18" t="s">
        <v>64</v>
      </c>
      <c r="D158" s="18" t="s">
        <v>3251</v>
      </c>
      <c r="E158" s="18" t="s">
        <v>3252</v>
      </c>
      <c r="F158" s="18" t="s">
        <v>228</v>
      </c>
      <c r="G158" s="18">
        <v>25.07</v>
      </c>
      <c r="H158" s="18" t="s">
        <v>168</v>
      </c>
      <c r="I158" s="19">
        <v>5500.0</v>
      </c>
      <c r="J158" s="19">
        <v>5500.0</v>
      </c>
      <c r="K158" s="19">
        <v>5200.0</v>
      </c>
      <c r="L158" s="18" t="s">
        <v>3253</v>
      </c>
      <c r="M158" s="18" t="s">
        <v>3254</v>
      </c>
      <c r="N158" s="18" t="s">
        <v>250</v>
      </c>
      <c r="O158" s="18" t="s">
        <v>57</v>
      </c>
      <c r="Q158" s="19">
        <v>3953.0</v>
      </c>
    </row>
    <row r="159">
      <c r="A159" s="18" t="s">
        <v>3007</v>
      </c>
      <c r="B159" s="18" t="s">
        <v>44</v>
      </c>
      <c r="C159" s="18" t="s">
        <v>113</v>
      </c>
      <c r="D159" s="18" t="s">
        <v>3255</v>
      </c>
      <c r="E159" s="18" t="s">
        <v>3256</v>
      </c>
      <c r="F159" s="18" t="s">
        <v>228</v>
      </c>
      <c r="G159" s="18">
        <v>19.71</v>
      </c>
      <c r="H159" s="18" t="s">
        <v>56</v>
      </c>
      <c r="I159" s="19">
        <v>3800.0</v>
      </c>
      <c r="J159" s="19">
        <v>3800.0</v>
      </c>
      <c r="K159" s="19">
        <v>5200.0</v>
      </c>
      <c r="L159" s="18" t="s">
        <v>3257</v>
      </c>
      <c r="M159" s="18" t="s">
        <v>3258</v>
      </c>
      <c r="N159" s="18" t="s">
        <v>250</v>
      </c>
      <c r="O159" s="18" t="s">
        <v>57</v>
      </c>
      <c r="Q159" s="19">
        <v>3953.0</v>
      </c>
    </row>
    <row r="160">
      <c r="A160" s="18" t="s">
        <v>3007</v>
      </c>
      <c r="B160" s="18" t="s">
        <v>44</v>
      </c>
      <c r="C160" s="18" t="s">
        <v>53</v>
      </c>
      <c r="D160" s="18" t="s">
        <v>3259</v>
      </c>
      <c r="E160" s="18" t="s">
        <v>3260</v>
      </c>
      <c r="F160" s="18" t="s">
        <v>228</v>
      </c>
      <c r="G160" s="18">
        <v>24.63</v>
      </c>
      <c r="H160" s="18" t="s">
        <v>168</v>
      </c>
      <c r="I160" s="19">
        <v>4800.0</v>
      </c>
      <c r="J160" s="19">
        <v>4800.0</v>
      </c>
      <c r="K160" s="19">
        <v>5200.0</v>
      </c>
      <c r="L160" s="18" t="s">
        <v>3261</v>
      </c>
      <c r="M160" s="18" t="s">
        <v>3262</v>
      </c>
      <c r="N160" s="18" t="s">
        <v>250</v>
      </c>
      <c r="O160" s="18" t="s">
        <v>57</v>
      </c>
      <c r="Q160" s="19">
        <v>3953.0</v>
      </c>
    </row>
    <row r="161">
      <c r="A161" s="18" t="s">
        <v>3007</v>
      </c>
      <c r="B161" s="18" t="s">
        <v>44</v>
      </c>
      <c r="C161" s="18" t="s">
        <v>53</v>
      </c>
      <c r="D161" s="18" t="s">
        <v>3263</v>
      </c>
      <c r="E161" s="18" t="s">
        <v>3264</v>
      </c>
      <c r="F161" s="18" t="s">
        <v>228</v>
      </c>
      <c r="G161" s="18">
        <v>23.02</v>
      </c>
      <c r="H161" s="18" t="s">
        <v>168</v>
      </c>
      <c r="I161" s="19">
        <v>4800.0</v>
      </c>
      <c r="J161" s="19">
        <v>4800.0</v>
      </c>
      <c r="K161" s="19">
        <v>5200.0</v>
      </c>
      <c r="L161" s="18" t="s">
        <v>3265</v>
      </c>
      <c r="M161" s="18" t="s">
        <v>3266</v>
      </c>
      <c r="N161" s="18" t="s">
        <v>250</v>
      </c>
      <c r="O161" s="18" t="s">
        <v>57</v>
      </c>
      <c r="Q161" s="19">
        <v>3953.0</v>
      </c>
    </row>
    <row r="162">
      <c r="A162" s="18" t="s">
        <v>3007</v>
      </c>
      <c r="B162" s="18" t="s">
        <v>44</v>
      </c>
      <c r="C162" s="18" t="s">
        <v>113</v>
      </c>
      <c r="D162" s="18" t="s">
        <v>3267</v>
      </c>
      <c r="E162" s="18" t="s">
        <v>3268</v>
      </c>
      <c r="F162" s="18" t="s">
        <v>228</v>
      </c>
      <c r="G162" s="18">
        <v>18.03</v>
      </c>
      <c r="H162" s="18" t="s">
        <v>56</v>
      </c>
      <c r="I162" s="19">
        <v>3800.0</v>
      </c>
      <c r="J162" s="19">
        <v>3800.0</v>
      </c>
      <c r="K162" s="19">
        <v>5200.0</v>
      </c>
      <c r="L162" s="18" t="s">
        <v>3269</v>
      </c>
      <c r="M162" s="18" t="s">
        <v>3270</v>
      </c>
      <c r="N162" s="18" t="s">
        <v>250</v>
      </c>
      <c r="O162" s="18" t="s">
        <v>83</v>
      </c>
      <c r="Q162" s="19">
        <v>3953.0</v>
      </c>
    </row>
    <row r="163">
      <c r="A163" s="18" t="s">
        <v>3007</v>
      </c>
      <c r="B163" s="18" t="s">
        <v>44</v>
      </c>
      <c r="C163" s="18" t="s">
        <v>53</v>
      </c>
      <c r="D163" s="18" t="s">
        <v>3271</v>
      </c>
      <c r="E163" s="18" t="s">
        <v>3272</v>
      </c>
      <c r="F163" s="18" t="s">
        <v>228</v>
      </c>
      <c r="G163" s="18">
        <v>23.56</v>
      </c>
      <c r="H163" s="18" t="s">
        <v>168</v>
      </c>
      <c r="I163" s="19">
        <v>4800.0</v>
      </c>
      <c r="J163" s="19">
        <v>4800.0</v>
      </c>
      <c r="K163" s="19">
        <v>5200.0</v>
      </c>
      <c r="L163" s="18" t="s">
        <v>3273</v>
      </c>
      <c r="M163" s="18" t="s">
        <v>3274</v>
      </c>
      <c r="N163" s="18" t="s">
        <v>250</v>
      </c>
      <c r="O163" s="18" t="s">
        <v>83</v>
      </c>
      <c r="Q163" s="19">
        <v>3953.0</v>
      </c>
    </row>
    <row r="164">
      <c r="A164" s="18" t="s">
        <v>3007</v>
      </c>
      <c r="B164" s="18" t="s">
        <v>44</v>
      </c>
      <c r="C164" s="18" t="s">
        <v>113</v>
      </c>
      <c r="D164" s="18" t="s">
        <v>3275</v>
      </c>
      <c r="E164" s="18" t="s">
        <v>3276</v>
      </c>
      <c r="F164" s="18" t="s">
        <v>228</v>
      </c>
      <c r="G164" s="18">
        <v>18.33</v>
      </c>
      <c r="H164" s="18" t="s">
        <v>56</v>
      </c>
      <c r="I164" s="19">
        <v>3800.0</v>
      </c>
      <c r="J164" s="19">
        <v>3800.0</v>
      </c>
      <c r="K164" s="19">
        <v>5200.0</v>
      </c>
      <c r="L164" s="18" t="s">
        <v>3277</v>
      </c>
      <c r="M164" s="18" t="s">
        <v>3278</v>
      </c>
      <c r="N164" s="18" t="s">
        <v>250</v>
      </c>
      <c r="O164" s="18" t="s">
        <v>41</v>
      </c>
      <c r="Q164" s="19">
        <v>3953.0</v>
      </c>
    </row>
    <row r="165">
      <c r="A165" s="18" t="s">
        <v>3007</v>
      </c>
      <c r="B165" s="18" t="s">
        <v>45</v>
      </c>
      <c r="C165" s="18" t="s">
        <v>45</v>
      </c>
      <c r="D165" s="18" t="s">
        <v>3279</v>
      </c>
      <c r="E165" s="18" t="s">
        <v>3280</v>
      </c>
      <c r="F165" s="18" t="s">
        <v>228</v>
      </c>
      <c r="G165" s="18">
        <v>15.0</v>
      </c>
      <c r="H165" s="18" t="s">
        <v>400</v>
      </c>
      <c r="I165" s="19">
        <v>2600.0</v>
      </c>
      <c r="J165" s="19">
        <v>2600.0</v>
      </c>
      <c r="K165" s="19">
        <v>2450.0</v>
      </c>
      <c r="L165" s="18" t="s">
        <v>3281</v>
      </c>
      <c r="M165" s="18" t="s">
        <v>3282</v>
      </c>
      <c r="N165" s="18" t="s">
        <v>250</v>
      </c>
      <c r="O165" s="18" t="s">
        <v>41</v>
      </c>
      <c r="Q165" s="19">
        <v>1853.0</v>
      </c>
    </row>
    <row r="166">
      <c r="A166" s="18" t="s">
        <v>3007</v>
      </c>
      <c r="B166" s="18" t="s">
        <v>44</v>
      </c>
      <c r="C166" s="18" t="s">
        <v>53</v>
      </c>
      <c r="D166" s="18" t="s">
        <v>3283</v>
      </c>
      <c r="E166" s="18" t="s">
        <v>3284</v>
      </c>
      <c r="F166" s="18" t="s">
        <v>228</v>
      </c>
      <c r="G166" s="18">
        <v>23.11</v>
      </c>
      <c r="H166" s="18" t="s">
        <v>168</v>
      </c>
      <c r="I166" s="19">
        <v>4800.0</v>
      </c>
      <c r="J166" s="19">
        <v>4800.0</v>
      </c>
      <c r="K166" s="19">
        <v>2450.0</v>
      </c>
      <c r="L166" s="18" t="s">
        <v>3285</v>
      </c>
      <c r="M166" s="18" t="s">
        <v>3286</v>
      </c>
      <c r="N166" s="18" t="s">
        <v>250</v>
      </c>
      <c r="O166" s="18" t="s">
        <v>57</v>
      </c>
      <c r="Q166" s="19">
        <v>1853.0</v>
      </c>
    </row>
    <row r="167">
      <c r="A167" s="18" t="s">
        <v>3016</v>
      </c>
      <c r="B167" s="18" t="s">
        <v>44</v>
      </c>
      <c r="C167" s="18" t="s">
        <v>53</v>
      </c>
      <c r="D167" s="18" t="s">
        <v>3287</v>
      </c>
      <c r="E167" s="18" t="s">
        <v>3288</v>
      </c>
      <c r="F167" s="18" t="s">
        <v>228</v>
      </c>
      <c r="G167" s="18">
        <v>23.75</v>
      </c>
      <c r="H167" s="18" t="s">
        <v>168</v>
      </c>
      <c r="I167" s="19">
        <v>4800.0</v>
      </c>
      <c r="J167" s="19">
        <v>4800.0</v>
      </c>
      <c r="K167" s="19">
        <v>7500.0</v>
      </c>
      <c r="L167" s="18" t="s">
        <v>3289</v>
      </c>
      <c r="M167" s="18" t="s">
        <v>3290</v>
      </c>
      <c r="N167" s="18" t="s">
        <v>250</v>
      </c>
      <c r="O167" s="18" t="s">
        <v>57</v>
      </c>
      <c r="Q167" s="19">
        <v>5309.0</v>
      </c>
    </row>
    <row r="168">
      <c r="A168" s="18" t="s">
        <v>3016</v>
      </c>
      <c r="B168" s="18" t="s">
        <v>44</v>
      </c>
      <c r="C168" s="18" t="s">
        <v>113</v>
      </c>
      <c r="D168" s="18" t="s">
        <v>3291</v>
      </c>
      <c r="E168" s="18" t="s">
        <v>3292</v>
      </c>
      <c r="F168" s="18" t="s">
        <v>228</v>
      </c>
      <c r="G168" s="18">
        <v>17.49</v>
      </c>
      <c r="H168" s="18" t="s">
        <v>56</v>
      </c>
      <c r="I168" s="19">
        <v>3800.0</v>
      </c>
      <c r="J168" s="19">
        <v>3800.0</v>
      </c>
      <c r="K168" s="19">
        <v>7500.0</v>
      </c>
      <c r="L168" s="18" t="s">
        <v>3293</v>
      </c>
      <c r="M168" s="18" t="s">
        <v>3294</v>
      </c>
      <c r="N168" s="18" t="s">
        <v>250</v>
      </c>
      <c r="O168" s="18" t="s">
        <v>41</v>
      </c>
      <c r="Q168" s="19">
        <v>5309.0</v>
      </c>
    </row>
    <row r="169">
      <c r="A169" s="18" t="s">
        <v>3016</v>
      </c>
      <c r="B169" s="18" t="s">
        <v>44</v>
      </c>
      <c r="C169" s="18" t="s">
        <v>53</v>
      </c>
      <c r="D169" s="18" t="s">
        <v>3295</v>
      </c>
      <c r="E169" s="18" t="s">
        <v>3296</v>
      </c>
      <c r="F169" s="18" t="s">
        <v>228</v>
      </c>
      <c r="G169" s="18">
        <v>23.09</v>
      </c>
      <c r="H169" s="18" t="s">
        <v>168</v>
      </c>
      <c r="I169" s="19">
        <v>4800.0</v>
      </c>
      <c r="J169" s="19">
        <v>4800.0</v>
      </c>
      <c r="K169" s="19">
        <v>7500.0</v>
      </c>
      <c r="L169" s="18" t="s">
        <v>3297</v>
      </c>
      <c r="M169" s="18" t="s">
        <v>3298</v>
      </c>
      <c r="N169" s="18" t="s">
        <v>250</v>
      </c>
      <c r="O169" s="18" t="s">
        <v>41</v>
      </c>
      <c r="Q169" s="19">
        <v>5309.0</v>
      </c>
    </row>
    <row r="170">
      <c r="A170" s="18" t="s">
        <v>3016</v>
      </c>
      <c r="B170" s="18" t="s">
        <v>45</v>
      </c>
      <c r="C170" s="18" t="s">
        <v>45</v>
      </c>
      <c r="D170" s="18" t="s">
        <v>3299</v>
      </c>
      <c r="E170" s="18" t="s">
        <v>3300</v>
      </c>
      <c r="F170" s="18" t="s">
        <v>228</v>
      </c>
      <c r="G170" s="18">
        <v>15.0</v>
      </c>
      <c r="H170" s="18" t="s">
        <v>400</v>
      </c>
      <c r="I170" s="19">
        <v>2600.0</v>
      </c>
      <c r="J170" s="19">
        <v>2600.0</v>
      </c>
      <c r="K170" s="19">
        <v>7500.0</v>
      </c>
      <c r="L170" s="18" t="s">
        <v>3301</v>
      </c>
      <c r="M170" s="18" t="s">
        <v>3302</v>
      </c>
      <c r="N170" s="18" t="s">
        <v>250</v>
      </c>
      <c r="O170" s="18" t="s">
        <v>57</v>
      </c>
      <c r="Q170" s="19">
        <v>5309.0</v>
      </c>
    </row>
    <row r="171">
      <c r="A171" s="18" t="s">
        <v>3016</v>
      </c>
      <c r="B171" s="18" t="s">
        <v>44</v>
      </c>
      <c r="C171" s="18" t="s">
        <v>133</v>
      </c>
      <c r="D171" s="18" t="s">
        <v>3303</v>
      </c>
      <c r="E171" s="18" t="s">
        <v>3304</v>
      </c>
      <c r="F171" s="18" t="s">
        <v>228</v>
      </c>
      <c r="G171" s="18">
        <v>20.24</v>
      </c>
      <c r="H171" s="18" t="s">
        <v>120</v>
      </c>
      <c r="I171" s="19">
        <v>4250.0</v>
      </c>
      <c r="J171" s="19">
        <v>4250.0</v>
      </c>
      <c r="K171" s="19">
        <v>7500.0</v>
      </c>
      <c r="L171" s="18" t="s">
        <v>3305</v>
      </c>
      <c r="M171" s="18" t="s">
        <v>3306</v>
      </c>
      <c r="N171" s="18" t="s">
        <v>250</v>
      </c>
      <c r="O171" s="18" t="s">
        <v>83</v>
      </c>
      <c r="Q171" s="19">
        <v>5309.0</v>
      </c>
    </row>
    <row r="172">
      <c r="A172" s="18" t="s">
        <v>3016</v>
      </c>
      <c r="B172" s="18" t="s">
        <v>45</v>
      </c>
      <c r="C172" s="18" t="s">
        <v>45</v>
      </c>
      <c r="D172" s="18" t="s">
        <v>3307</v>
      </c>
      <c r="E172" s="18" t="s">
        <v>3308</v>
      </c>
      <c r="F172" s="18" t="s">
        <v>228</v>
      </c>
      <c r="G172" s="18">
        <v>15.02</v>
      </c>
      <c r="H172" s="18" t="s">
        <v>400</v>
      </c>
      <c r="I172" s="19">
        <v>2600.0</v>
      </c>
      <c r="J172" s="19">
        <v>2600.0</v>
      </c>
      <c r="K172" s="19">
        <v>6250.0</v>
      </c>
      <c r="L172" s="18" t="s">
        <v>3309</v>
      </c>
      <c r="M172" s="18" t="s">
        <v>3310</v>
      </c>
      <c r="N172" s="18" t="s">
        <v>250</v>
      </c>
      <c r="O172" s="18" t="s">
        <v>57</v>
      </c>
      <c r="Q172" s="19">
        <v>4424.0</v>
      </c>
    </row>
    <row r="173">
      <c r="A173" s="18" t="s">
        <v>3016</v>
      </c>
      <c r="B173" s="18" t="s">
        <v>44</v>
      </c>
      <c r="C173" s="18" t="s">
        <v>113</v>
      </c>
      <c r="D173" s="18" t="s">
        <v>3311</v>
      </c>
      <c r="E173" s="18" t="s">
        <v>3312</v>
      </c>
      <c r="F173" s="18" t="s">
        <v>228</v>
      </c>
      <c r="G173" s="18">
        <v>18.0</v>
      </c>
      <c r="H173" s="18" t="s">
        <v>56</v>
      </c>
      <c r="I173" s="19">
        <v>3800.0</v>
      </c>
      <c r="J173" s="19">
        <v>3800.0</v>
      </c>
      <c r="K173" s="19">
        <v>6250.0</v>
      </c>
      <c r="L173" s="18" t="s">
        <v>3313</v>
      </c>
      <c r="M173" s="18" t="s">
        <v>3314</v>
      </c>
      <c r="N173" s="18" t="s">
        <v>250</v>
      </c>
      <c r="O173" s="18" t="s">
        <v>57</v>
      </c>
      <c r="Q173" s="19">
        <v>4424.0</v>
      </c>
    </row>
    <row r="174">
      <c r="A174" s="18" t="s">
        <v>3016</v>
      </c>
      <c r="B174" s="18" t="s">
        <v>44</v>
      </c>
      <c r="C174" s="18" t="s">
        <v>113</v>
      </c>
      <c r="D174" s="18" t="s">
        <v>3315</v>
      </c>
      <c r="E174" s="18" t="s">
        <v>3316</v>
      </c>
      <c r="F174" s="18" t="s">
        <v>228</v>
      </c>
      <c r="G174" s="18">
        <v>18.62</v>
      </c>
      <c r="H174" s="18" t="s">
        <v>56</v>
      </c>
      <c r="I174" s="19">
        <v>3800.0</v>
      </c>
      <c r="J174" s="19">
        <v>3800.0</v>
      </c>
      <c r="K174" s="19">
        <v>6250.0</v>
      </c>
      <c r="L174" s="18" t="s">
        <v>3317</v>
      </c>
      <c r="M174" s="18" t="s">
        <v>3318</v>
      </c>
      <c r="N174" s="18" t="s">
        <v>250</v>
      </c>
      <c r="O174" s="18" t="s">
        <v>57</v>
      </c>
      <c r="Q174" s="19">
        <v>4424.0</v>
      </c>
    </row>
    <row r="175">
      <c r="A175" s="18" t="s">
        <v>3016</v>
      </c>
      <c r="B175" s="18" t="s">
        <v>44</v>
      </c>
      <c r="C175" s="18" t="s">
        <v>133</v>
      </c>
      <c r="D175" s="18" t="s">
        <v>3319</v>
      </c>
      <c r="E175" s="18" t="s">
        <v>3320</v>
      </c>
      <c r="F175" s="18" t="s">
        <v>228</v>
      </c>
      <c r="G175" s="18">
        <v>20.02</v>
      </c>
      <c r="H175" s="18" t="s">
        <v>120</v>
      </c>
      <c r="I175" s="19">
        <v>4250.0</v>
      </c>
      <c r="J175" s="19">
        <v>4250.0</v>
      </c>
      <c r="K175" s="19">
        <v>6250.0</v>
      </c>
      <c r="L175" s="18" t="s">
        <v>3321</v>
      </c>
      <c r="M175" s="18" t="s">
        <v>3322</v>
      </c>
      <c r="N175" s="18" t="s">
        <v>250</v>
      </c>
      <c r="O175" s="18" t="s">
        <v>41</v>
      </c>
      <c r="Q175" s="19">
        <v>4424.0</v>
      </c>
    </row>
    <row r="176">
      <c r="A176" s="18" t="s">
        <v>3016</v>
      </c>
      <c r="B176" s="18" t="s">
        <v>44</v>
      </c>
      <c r="C176" s="18" t="s">
        <v>113</v>
      </c>
      <c r="D176" s="18" t="s">
        <v>3323</v>
      </c>
      <c r="E176" s="18" t="s">
        <v>3324</v>
      </c>
      <c r="F176" s="18" t="s">
        <v>228</v>
      </c>
      <c r="G176" s="18">
        <v>18.01</v>
      </c>
      <c r="H176" s="18" t="s">
        <v>56</v>
      </c>
      <c r="I176" s="19">
        <v>3800.0</v>
      </c>
      <c r="J176" s="19">
        <v>3800.0</v>
      </c>
      <c r="K176" s="19">
        <v>6250.0</v>
      </c>
      <c r="L176" s="18" t="s">
        <v>3325</v>
      </c>
      <c r="M176" s="18" t="s">
        <v>3326</v>
      </c>
      <c r="N176" s="18" t="s">
        <v>250</v>
      </c>
      <c r="O176" s="18" t="s">
        <v>41</v>
      </c>
      <c r="Q176" s="19">
        <v>4424.0</v>
      </c>
    </row>
    <row r="177">
      <c r="A177" s="18" t="s">
        <v>3016</v>
      </c>
      <c r="B177" s="18" t="s">
        <v>44</v>
      </c>
      <c r="C177" s="18" t="s">
        <v>53</v>
      </c>
      <c r="D177" s="18" t="s">
        <v>3327</v>
      </c>
      <c r="E177" s="18" t="s">
        <v>3328</v>
      </c>
      <c r="F177" s="18" t="s">
        <v>228</v>
      </c>
      <c r="G177" s="18">
        <v>23.48</v>
      </c>
      <c r="H177" s="18" t="s">
        <v>168</v>
      </c>
      <c r="I177" s="19">
        <v>4800.0</v>
      </c>
      <c r="J177" s="19">
        <v>4800.0</v>
      </c>
      <c r="K177" s="19">
        <v>6250.0</v>
      </c>
      <c r="L177" s="18" t="s">
        <v>3329</v>
      </c>
      <c r="M177" s="18" t="s">
        <v>3330</v>
      </c>
      <c r="N177" s="18" t="s">
        <v>250</v>
      </c>
      <c r="O177" s="18" t="s">
        <v>83</v>
      </c>
      <c r="Q177" s="19">
        <v>4424.0</v>
      </c>
    </row>
    <row r="178">
      <c r="A178" s="18" t="s">
        <v>3016</v>
      </c>
      <c r="B178" s="18" t="s">
        <v>44</v>
      </c>
      <c r="C178" s="18" t="s">
        <v>64</v>
      </c>
      <c r="D178" s="18" t="s">
        <v>3331</v>
      </c>
      <c r="E178" s="18" t="s">
        <v>3332</v>
      </c>
      <c r="F178" s="18" t="s">
        <v>228</v>
      </c>
      <c r="G178" s="18">
        <v>29.99</v>
      </c>
      <c r="H178" s="18" t="s">
        <v>168</v>
      </c>
      <c r="I178" s="19">
        <v>5500.0</v>
      </c>
      <c r="J178" s="19">
        <v>5500.0</v>
      </c>
      <c r="K178" s="19">
        <v>6250.0</v>
      </c>
      <c r="L178" s="18" t="s">
        <v>3333</v>
      </c>
      <c r="M178" s="18" t="s">
        <v>3334</v>
      </c>
      <c r="N178" s="18" t="s">
        <v>250</v>
      </c>
      <c r="O178" s="18" t="s">
        <v>83</v>
      </c>
      <c r="Q178" s="19">
        <v>4424.0</v>
      </c>
    </row>
    <row r="179">
      <c r="A179" s="18" t="s">
        <v>3016</v>
      </c>
      <c r="B179" s="18" t="s">
        <v>44</v>
      </c>
      <c r="C179" s="18" t="s">
        <v>113</v>
      </c>
      <c r="D179" s="18" t="s">
        <v>3335</v>
      </c>
      <c r="E179" s="18" t="s">
        <v>3336</v>
      </c>
      <c r="F179" s="18" t="s">
        <v>228</v>
      </c>
      <c r="G179" s="18">
        <v>17.99</v>
      </c>
      <c r="H179" s="18" t="s">
        <v>56</v>
      </c>
      <c r="I179" s="19">
        <v>3800.0</v>
      </c>
      <c r="J179" s="19">
        <v>3800.0</v>
      </c>
      <c r="K179" s="19">
        <v>6250.0</v>
      </c>
      <c r="L179" s="18" t="s">
        <v>3337</v>
      </c>
      <c r="M179" s="18" t="s">
        <v>3338</v>
      </c>
      <c r="N179" s="18" t="s">
        <v>250</v>
      </c>
      <c r="O179" s="18" t="s">
        <v>83</v>
      </c>
      <c r="Q179" s="19">
        <v>4424.0</v>
      </c>
    </row>
    <row r="180">
      <c r="A180" s="18" t="s">
        <v>3016</v>
      </c>
      <c r="B180" s="18" t="s">
        <v>44</v>
      </c>
      <c r="C180" s="18" t="s">
        <v>133</v>
      </c>
      <c r="D180" s="18" t="s">
        <v>3339</v>
      </c>
      <c r="E180" s="18" t="s">
        <v>3340</v>
      </c>
      <c r="F180" s="18" t="s">
        <v>228</v>
      </c>
      <c r="G180" s="18">
        <v>20.68</v>
      </c>
      <c r="H180" s="18" t="s">
        <v>120</v>
      </c>
      <c r="I180" s="19">
        <v>4250.0</v>
      </c>
      <c r="J180" s="19">
        <v>4250.0</v>
      </c>
      <c r="K180" s="19">
        <v>5300.0</v>
      </c>
      <c r="L180" s="18" t="s">
        <v>3341</v>
      </c>
      <c r="M180" s="18" t="s">
        <v>3342</v>
      </c>
      <c r="N180" s="18" t="s">
        <v>250</v>
      </c>
      <c r="O180" s="18" t="s">
        <v>57</v>
      </c>
      <c r="Q180" s="19">
        <v>3766.0</v>
      </c>
    </row>
    <row r="181">
      <c r="A181" s="18" t="s">
        <v>3016</v>
      </c>
      <c r="B181" s="18" t="s">
        <v>44</v>
      </c>
      <c r="C181" s="18" t="s">
        <v>113</v>
      </c>
      <c r="D181" s="18" t="s">
        <v>3343</v>
      </c>
      <c r="E181" s="18" t="s">
        <v>3344</v>
      </c>
      <c r="F181" s="18" t="s">
        <v>228</v>
      </c>
      <c r="G181" s="18">
        <v>18.09</v>
      </c>
      <c r="H181" s="18" t="s">
        <v>56</v>
      </c>
      <c r="I181" s="19">
        <v>3800.0</v>
      </c>
      <c r="J181" s="19">
        <v>3800.0</v>
      </c>
      <c r="K181" s="19">
        <v>5300.0</v>
      </c>
      <c r="L181" s="18" t="s">
        <v>3345</v>
      </c>
      <c r="M181" s="18" t="s">
        <v>3346</v>
      </c>
      <c r="N181" s="18" t="s">
        <v>250</v>
      </c>
      <c r="O181" s="18" t="s">
        <v>57</v>
      </c>
      <c r="Q181" s="19">
        <v>3766.0</v>
      </c>
    </row>
    <row r="182">
      <c r="A182" s="18" t="s">
        <v>3016</v>
      </c>
      <c r="B182" s="18" t="s">
        <v>44</v>
      </c>
      <c r="C182" s="18" t="s">
        <v>133</v>
      </c>
      <c r="D182" s="18" t="s">
        <v>3347</v>
      </c>
      <c r="E182" s="18" t="s">
        <v>3348</v>
      </c>
      <c r="F182" s="18" t="s">
        <v>228</v>
      </c>
      <c r="G182" s="18">
        <v>20.65</v>
      </c>
      <c r="H182" s="18" t="s">
        <v>120</v>
      </c>
      <c r="I182" s="19">
        <v>4250.0</v>
      </c>
      <c r="J182" s="19">
        <v>4250.0</v>
      </c>
      <c r="K182" s="19">
        <v>5300.0</v>
      </c>
      <c r="L182" s="18" t="s">
        <v>3349</v>
      </c>
      <c r="M182" s="18" t="s">
        <v>3350</v>
      </c>
      <c r="N182" s="18" t="s">
        <v>250</v>
      </c>
      <c r="O182" s="18" t="s">
        <v>57</v>
      </c>
      <c r="Q182" s="19">
        <v>3766.0</v>
      </c>
    </row>
    <row r="183">
      <c r="A183" s="18" t="s">
        <v>3016</v>
      </c>
      <c r="B183" s="18" t="s">
        <v>44</v>
      </c>
      <c r="C183" s="18" t="s">
        <v>133</v>
      </c>
      <c r="D183" s="18" t="s">
        <v>3351</v>
      </c>
      <c r="E183" s="18" t="s">
        <v>3352</v>
      </c>
      <c r="F183" s="18" t="s">
        <v>228</v>
      </c>
      <c r="G183" s="18">
        <v>20.1</v>
      </c>
      <c r="H183" s="18" t="s">
        <v>120</v>
      </c>
      <c r="I183" s="19">
        <v>4250.0</v>
      </c>
      <c r="J183" s="19">
        <v>4250.0</v>
      </c>
      <c r="K183" s="19">
        <v>5300.0</v>
      </c>
      <c r="L183" s="18" t="s">
        <v>3353</v>
      </c>
      <c r="M183" s="18" t="s">
        <v>3354</v>
      </c>
      <c r="N183" s="18" t="s">
        <v>250</v>
      </c>
      <c r="O183" s="18" t="s">
        <v>41</v>
      </c>
      <c r="Q183" s="19">
        <v>3766.0</v>
      </c>
    </row>
    <row r="184">
      <c r="A184" s="18" t="s">
        <v>3016</v>
      </c>
      <c r="B184" s="18" t="s">
        <v>44</v>
      </c>
      <c r="C184" s="18" t="s">
        <v>64</v>
      </c>
      <c r="D184" s="18" t="s">
        <v>3355</v>
      </c>
      <c r="E184" s="18" t="s">
        <v>3356</v>
      </c>
      <c r="F184" s="18" t="s">
        <v>228</v>
      </c>
      <c r="G184" s="18">
        <v>29.98</v>
      </c>
      <c r="H184" s="18" t="s">
        <v>168</v>
      </c>
      <c r="I184" s="19">
        <v>5500.0</v>
      </c>
      <c r="J184" s="19">
        <v>5500.0</v>
      </c>
      <c r="K184" s="19">
        <v>5300.0</v>
      </c>
      <c r="L184" s="18" t="s">
        <v>3357</v>
      </c>
      <c r="M184" s="18" t="s">
        <v>3358</v>
      </c>
      <c r="N184" s="18" t="s">
        <v>250</v>
      </c>
      <c r="O184" s="18" t="s">
        <v>83</v>
      </c>
      <c r="Q184" s="19">
        <v>3766.0</v>
      </c>
    </row>
    <row r="185">
      <c r="A185" s="18" t="s">
        <v>3016</v>
      </c>
      <c r="B185" s="18" t="s">
        <v>44</v>
      </c>
      <c r="C185" s="18" t="s">
        <v>64</v>
      </c>
      <c r="D185" s="18" t="s">
        <v>3359</v>
      </c>
      <c r="E185" s="18" t="s">
        <v>3360</v>
      </c>
      <c r="F185" s="18" t="s">
        <v>228</v>
      </c>
      <c r="G185" s="18">
        <v>25.37</v>
      </c>
      <c r="H185" s="18" t="s">
        <v>168</v>
      </c>
      <c r="I185" s="19">
        <v>5500.0</v>
      </c>
      <c r="J185" s="19">
        <v>5500.0</v>
      </c>
      <c r="K185" s="19">
        <v>5300.0</v>
      </c>
      <c r="L185" s="18" t="s">
        <v>3361</v>
      </c>
      <c r="M185" s="18" t="s">
        <v>3362</v>
      </c>
      <c r="N185" s="18" t="s">
        <v>250</v>
      </c>
      <c r="O185" s="18" t="s">
        <v>83</v>
      </c>
      <c r="Q185" s="19">
        <v>3766.0</v>
      </c>
    </row>
    <row r="186">
      <c r="A186" s="18" t="s">
        <v>3016</v>
      </c>
      <c r="B186" s="18" t="s">
        <v>44</v>
      </c>
      <c r="C186" s="18" t="s">
        <v>133</v>
      </c>
      <c r="D186" s="18" t="s">
        <v>3363</v>
      </c>
      <c r="E186" s="18" t="s">
        <v>3364</v>
      </c>
      <c r="F186" s="18" t="s">
        <v>228</v>
      </c>
      <c r="G186" s="18">
        <v>20.0</v>
      </c>
      <c r="H186" s="18" t="s">
        <v>120</v>
      </c>
      <c r="I186" s="19">
        <v>4250.0</v>
      </c>
      <c r="J186" s="19">
        <v>4250.0</v>
      </c>
      <c r="K186" s="19">
        <v>5300.0</v>
      </c>
      <c r="L186" s="18" t="s">
        <v>3365</v>
      </c>
      <c r="M186" s="18" t="s">
        <v>3366</v>
      </c>
      <c r="N186" s="18" t="s">
        <v>250</v>
      </c>
      <c r="O186" s="18" t="s">
        <v>83</v>
      </c>
      <c r="Q186" s="19">
        <v>3766.0</v>
      </c>
    </row>
    <row r="187">
      <c r="A187" s="18" t="s">
        <v>3016</v>
      </c>
      <c r="B187" s="18" t="s">
        <v>44</v>
      </c>
      <c r="C187" s="18" t="s">
        <v>133</v>
      </c>
      <c r="D187" s="18" t="s">
        <v>3367</v>
      </c>
      <c r="E187" s="18" t="s">
        <v>3368</v>
      </c>
      <c r="F187" s="18" t="s">
        <v>228</v>
      </c>
      <c r="G187" s="18">
        <v>20.44</v>
      </c>
      <c r="H187" s="18" t="s">
        <v>120</v>
      </c>
      <c r="I187" s="19">
        <v>4250.0</v>
      </c>
      <c r="J187" s="19">
        <v>4250.0</v>
      </c>
      <c r="K187" s="19">
        <v>5300.0</v>
      </c>
      <c r="L187" s="18" t="s">
        <v>3369</v>
      </c>
      <c r="M187" s="18" t="s">
        <v>3370</v>
      </c>
      <c r="N187" s="18" t="s">
        <v>250</v>
      </c>
      <c r="O187" s="18" t="s">
        <v>83</v>
      </c>
      <c r="Q187" s="19">
        <v>3766.0</v>
      </c>
    </row>
    <row r="188">
      <c r="A188" s="18" t="s">
        <v>3016</v>
      </c>
      <c r="B188" s="18" t="s">
        <v>44</v>
      </c>
      <c r="C188" s="18" t="s">
        <v>113</v>
      </c>
      <c r="D188" s="18" t="s">
        <v>3371</v>
      </c>
      <c r="E188" s="18" t="s">
        <v>3372</v>
      </c>
      <c r="F188" s="18" t="s">
        <v>228</v>
      </c>
      <c r="G188" s="18">
        <v>17.97</v>
      </c>
      <c r="H188" s="18" t="s">
        <v>56</v>
      </c>
      <c r="I188" s="19">
        <v>3800.0</v>
      </c>
      <c r="J188" s="19">
        <v>3800.0</v>
      </c>
      <c r="K188" s="19">
        <v>2450.0</v>
      </c>
      <c r="L188" s="18" t="s">
        <v>3373</v>
      </c>
      <c r="M188" s="18" t="s">
        <v>3374</v>
      </c>
      <c r="N188" s="18" t="s">
        <v>250</v>
      </c>
      <c r="O188" s="18" t="s">
        <v>57</v>
      </c>
      <c r="Q188" s="19">
        <v>1765.0</v>
      </c>
    </row>
    <row r="189">
      <c r="A189" s="18" t="s">
        <v>3016</v>
      </c>
      <c r="B189" s="18" t="s">
        <v>44</v>
      </c>
      <c r="C189" s="18" t="s">
        <v>113</v>
      </c>
      <c r="D189" s="18" t="s">
        <v>3375</v>
      </c>
      <c r="E189" s="18" t="s">
        <v>3376</v>
      </c>
      <c r="F189" s="18" t="s">
        <v>228</v>
      </c>
      <c r="G189" s="18">
        <v>14.37</v>
      </c>
      <c r="H189" s="18" t="s">
        <v>400</v>
      </c>
      <c r="I189" s="19">
        <v>3800.0</v>
      </c>
      <c r="J189" s="19">
        <v>3800.0</v>
      </c>
      <c r="K189" s="19">
        <v>2450.0</v>
      </c>
      <c r="L189" s="18" t="s">
        <v>3377</v>
      </c>
      <c r="M189" s="18" t="s">
        <v>3378</v>
      </c>
      <c r="N189" s="18" t="s">
        <v>250</v>
      </c>
      <c r="O189" s="18" t="s">
        <v>57</v>
      </c>
      <c r="Q189" s="19">
        <v>1765.0</v>
      </c>
    </row>
    <row r="190">
      <c r="A190" s="18" t="s">
        <v>3016</v>
      </c>
      <c r="B190" s="18" t="s">
        <v>44</v>
      </c>
      <c r="C190" s="18" t="s">
        <v>133</v>
      </c>
      <c r="D190" s="18" t="s">
        <v>3379</v>
      </c>
      <c r="E190" s="18" t="s">
        <v>3380</v>
      </c>
      <c r="F190" s="18" t="s">
        <v>228</v>
      </c>
      <c r="G190" s="18">
        <v>20.37</v>
      </c>
      <c r="H190" s="18" t="s">
        <v>120</v>
      </c>
      <c r="I190" s="19">
        <v>4250.0</v>
      </c>
      <c r="J190" s="19">
        <v>4250.0</v>
      </c>
      <c r="K190" s="19">
        <v>2450.0</v>
      </c>
      <c r="L190" s="18" t="s">
        <v>3381</v>
      </c>
      <c r="M190" s="18" t="s">
        <v>3382</v>
      </c>
      <c r="N190" s="18" t="s">
        <v>250</v>
      </c>
      <c r="O190" s="18" t="s">
        <v>41</v>
      </c>
      <c r="Q190" s="19">
        <v>1765.0</v>
      </c>
    </row>
    <row r="191">
      <c r="A191" s="18" t="s">
        <v>3016</v>
      </c>
      <c r="B191" s="18" t="s">
        <v>44</v>
      </c>
      <c r="C191" s="18" t="s">
        <v>133</v>
      </c>
      <c r="D191" s="18" t="s">
        <v>3383</v>
      </c>
      <c r="E191" s="18" t="s">
        <v>3384</v>
      </c>
      <c r="F191" s="18" t="s">
        <v>228</v>
      </c>
      <c r="G191" s="18">
        <v>20.03</v>
      </c>
      <c r="H191" s="18" t="s">
        <v>120</v>
      </c>
      <c r="I191" s="19">
        <v>4250.0</v>
      </c>
      <c r="J191" s="19">
        <v>4250.0</v>
      </c>
      <c r="K191" s="19">
        <v>2450.0</v>
      </c>
      <c r="L191" s="18" t="s">
        <v>3385</v>
      </c>
      <c r="M191" s="18" t="s">
        <v>3386</v>
      </c>
      <c r="N191" s="18" t="s">
        <v>250</v>
      </c>
      <c r="O191" s="18" t="s">
        <v>41</v>
      </c>
      <c r="Q191" s="19">
        <v>1765.0</v>
      </c>
    </row>
    <row r="192">
      <c r="A192" s="18" t="s">
        <v>3016</v>
      </c>
      <c r="B192" s="18" t="s">
        <v>45</v>
      </c>
      <c r="C192" s="18" t="s">
        <v>45</v>
      </c>
      <c r="D192" s="18" t="s">
        <v>3387</v>
      </c>
      <c r="E192" s="18" t="s">
        <v>3388</v>
      </c>
      <c r="F192" s="18" t="s">
        <v>228</v>
      </c>
      <c r="G192" s="18">
        <v>11.09</v>
      </c>
      <c r="H192" s="18" t="s">
        <v>400</v>
      </c>
      <c r="I192" s="19">
        <v>2600.0</v>
      </c>
      <c r="J192" s="19">
        <v>2600.0</v>
      </c>
      <c r="K192" s="19">
        <v>2450.0</v>
      </c>
      <c r="L192" s="18" t="s">
        <v>3389</v>
      </c>
      <c r="M192" s="18" t="s">
        <v>3390</v>
      </c>
      <c r="N192" s="18" t="s">
        <v>250</v>
      </c>
      <c r="O192" s="18" t="s">
        <v>41</v>
      </c>
      <c r="Q192" s="19">
        <v>1765.0</v>
      </c>
    </row>
    <row r="193">
      <c r="A193" s="18" t="s">
        <v>3016</v>
      </c>
      <c r="B193" s="18" t="s">
        <v>44</v>
      </c>
      <c r="C193" s="18" t="s">
        <v>133</v>
      </c>
      <c r="D193" s="18" t="s">
        <v>3391</v>
      </c>
      <c r="E193" s="18" t="s">
        <v>3392</v>
      </c>
      <c r="F193" s="18" t="s">
        <v>228</v>
      </c>
      <c r="G193" s="18">
        <v>21.0</v>
      </c>
      <c r="H193" s="18" t="s">
        <v>120</v>
      </c>
      <c r="I193" s="19">
        <v>4250.0</v>
      </c>
      <c r="J193" s="19">
        <v>4250.0</v>
      </c>
      <c r="K193" s="19">
        <v>2450.0</v>
      </c>
      <c r="L193" s="18" t="s">
        <v>3393</v>
      </c>
      <c r="M193" s="18" t="s">
        <v>3394</v>
      </c>
      <c r="N193" s="18" t="s">
        <v>250</v>
      </c>
      <c r="O193" s="18" t="s">
        <v>57</v>
      </c>
      <c r="Q193" s="19">
        <v>1765.0</v>
      </c>
    </row>
    <row r="194">
      <c r="A194" s="18" t="s">
        <v>282</v>
      </c>
      <c r="B194" s="18" t="s">
        <v>44</v>
      </c>
      <c r="C194" s="18" t="s">
        <v>76</v>
      </c>
      <c r="D194" s="18" t="s">
        <v>325</v>
      </c>
      <c r="E194" s="18" t="s">
        <v>326</v>
      </c>
      <c r="F194" s="18" t="s">
        <v>228</v>
      </c>
      <c r="G194" s="18">
        <v>20.7</v>
      </c>
      <c r="H194" s="18" t="s">
        <v>168</v>
      </c>
      <c r="I194" s="19">
        <v>6499.0</v>
      </c>
      <c r="J194" s="19">
        <v>7800.0</v>
      </c>
      <c r="K194" s="19">
        <v>7800.0</v>
      </c>
      <c r="L194" s="18" t="s">
        <v>327</v>
      </c>
      <c r="M194" s="18" t="s">
        <v>328</v>
      </c>
      <c r="N194" s="18" t="s">
        <v>240</v>
      </c>
      <c r="O194" s="18" t="s">
        <v>41</v>
      </c>
      <c r="P194" s="18" t="s">
        <v>63</v>
      </c>
      <c r="Q194" s="19">
        <v>6900.0</v>
      </c>
    </row>
    <row r="195">
      <c r="A195" s="18" t="s">
        <v>201</v>
      </c>
      <c r="B195" s="18" t="s">
        <v>44</v>
      </c>
      <c r="C195" s="18" t="s">
        <v>64</v>
      </c>
      <c r="D195" s="18" t="s">
        <v>2875</v>
      </c>
      <c r="E195" s="18" t="s">
        <v>2876</v>
      </c>
      <c r="F195" s="18" t="s">
        <v>228</v>
      </c>
      <c r="G195" s="18">
        <v>18.33</v>
      </c>
      <c r="H195" s="18" t="s">
        <v>120</v>
      </c>
      <c r="I195" s="19">
        <v>3500.0</v>
      </c>
      <c r="J195" s="19">
        <v>4200.0</v>
      </c>
      <c r="K195" s="19">
        <v>4100.0</v>
      </c>
      <c r="L195" s="18" t="s">
        <v>3395</v>
      </c>
      <c r="M195" s="18" t="s">
        <v>3396</v>
      </c>
      <c r="N195" s="18" t="s">
        <v>343</v>
      </c>
      <c r="O195" s="18" t="s">
        <v>41</v>
      </c>
      <c r="Q195" s="19">
        <v>3607.0</v>
      </c>
    </row>
    <row r="196">
      <c r="A196" s="18" t="s">
        <v>225</v>
      </c>
      <c r="B196" s="18" t="s">
        <v>44</v>
      </c>
      <c r="C196" s="18" t="s">
        <v>53</v>
      </c>
      <c r="D196" s="18" t="s">
        <v>329</v>
      </c>
      <c r="E196" s="18" t="s">
        <v>330</v>
      </c>
      <c r="F196" s="18" t="s">
        <v>228</v>
      </c>
      <c r="G196" s="18">
        <v>15.0</v>
      </c>
      <c r="H196" s="18" t="s">
        <v>120</v>
      </c>
      <c r="I196" s="19">
        <v>5150.0</v>
      </c>
      <c r="J196" s="19">
        <v>6700.0</v>
      </c>
      <c r="K196" s="19">
        <v>6000.0</v>
      </c>
      <c r="L196" s="18" t="s">
        <v>331</v>
      </c>
      <c r="M196" s="18" t="s">
        <v>332</v>
      </c>
      <c r="N196" s="18" t="s">
        <v>333</v>
      </c>
      <c r="O196" s="18" t="s">
        <v>161</v>
      </c>
      <c r="P196" s="18" t="s">
        <v>162</v>
      </c>
      <c r="Q196" s="19">
        <v>5700.0</v>
      </c>
    </row>
    <row r="197">
      <c r="A197" s="18" t="s">
        <v>35</v>
      </c>
      <c r="B197" s="18" t="s">
        <v>44</v>
      </c>
      <c r="C197" s="18" t="s">
        <v>64</v>
      </c>
      <c r="D197" s="18" t="s">
        <v>334</v>
      </c>
      <c r="E197" s="18" t="s">
        <v>335</v>
      </c>
      <c r="F197" s="18" t="s">
        <v>228</v>
      </c>
      <c r="G197" s="18">
        <v>19.6</v>
      </c>
      <c r="H197" s="18" t="s">
        <v>168</v>
      </c>
      <c r="I197" s="19">
        <v>6648.0</v>
      </c>
      <c r="J197" s="19">
        <v>9000.0</v>
      </c>
      <c r="K197" s="19">
        <v>8000.0</v>
      </c>
      <c r="L197" s="18" t="s">
        <v>336</v>
      </c>
      <c r="M197" s="18" t="s">
        <v>337</v>
      </c>
      <c r="N197" s="18" t="s">
        <v>338</v>
      </c>
      <c r="O197" s="18" t="s">
        <v>57</v>
      </c>
      <c r="P197" s="18" t="s">
        <v>42</v>
      </c>
      <c r="Q197" s="19">
        <v>9476.0</v>
      </c>
    </row>
    <row r="198">
      <c r="A198" s="18" t="s">
        <v>165</v>
      </c>
      <c r="B198" s="18" t="s">
        <v>45</v>
      </c>
      <c r="C198" s="18" t="s">
        <v>45</v>
      </c>
      <c r="D198" s="18" t="s">
        <v>2449</v>
      </c>
      <c r="E198" s="18" t="s">
        <v>2450</v>
      </c>
      <c r="F198" s="18" t="s">
        <v>228</v>
      </c>
      <c r="G198" s="18">
        <v>10.38</v>
      </c>
      <c r="H198" s="18" t="s">
        <v>45</v>
      </c>
      <c r="I198" s="19">
        <v>1892.0</v>
      </c>
      <c r="J198" s="19">
        <v>2300.0</v>
      </c>
      <c r="K198" s="19">
        <v>2300.0</v>
      </c>
      <c r="L198" s="18" t="s">
        <v>3397</v>
      </c>
      <c r="M198" s="18" t="s">
        <v>3398</v>
      </c>
      <c r="N198" s="18" t="s">
        <v>343</v>
      </c>
      <c r="O198" s="18" t="s">
        <v>117</v>
      </c>
      <c r="Q198" s="19">
        <v>2050.0</v>
      </c>
    </row>
    <row r="199">
      <c r="A199" s="18" t="s">
        <v>165</v>
      </c>
      <c r="B199" s="18" t="s">
        <v>44</v>
      </c>
      <c r="C199" s="18" t="s">
        <v>37</v>
      </c>
      <c r="D199" s="18" t="s">
        <v>339</v>
      </c>
      <c r="E199" s="18" t="s">
        <v>340</v>
      </c>
      <c r="F199" s="18" t="s">
        <v>228</v>
      </c>
      <c r="G199" s="18">
        <v>62.84</v>
      </c>
      <c r="H199" s="18" t="s">
        <v>168</v>
      </c>
      <c r="I199" s="19">
        <v>7150.0</v>
      </c>
      <c r="J199" s="19">
        <v>8600.0</v>
      </c>
      <c r="K199" s="19">
        <v>8600.0</v>
      </c>
      <c r="L199" s="18" t="s">
        <v>341</v>
      </c>
      <c r="M199" s="18" t="s">
        <v>342</v>
      </c>
      <c r="N199" s="18" t="s">
        <v>343</v>
      </c>
      <c r="O199" s="18" t="s">
        <v>117</v>
      </c>
      <c r="Q199" s="19">
        <v>6600.0</v>
      </c>
    </row>
    <row r="200">
      <c r="A200" s="18" t="s">
        <v>165</v>
      </c>
      <c r="B200" s="18" t="s">
        <v>44</v>
      </c>
      <c r="C200" s="18" t="s">
        <v>53</v>
      </c>
      <c r="D200" s="18" t="s">
        <v>2709</v>
      </c>
      <c r="E200" s="18" t="s">
        <v>2710</v>
      </c>
      <c r="F200" s="18" t="s">
        <v>228</v>
      </c>
      <c r="G200" s="18">
        <v>16.75</v>
      </c>
      <c r="H200" s="18" t="s">
        <v>56</v>
      </c>
      <c r="I200" s="19">
        <v>3563.0</v>
      </c>
      <c r="J200" s="19">
        <v>4300.0</v>
      </c>
      <c r="K200" s="19">
        <v>4350.0</v>
      </c>
      <c r="L200" s="18" t="s">
        <v>3399</v>
      </c>
      <c r="M200" s="18" t="s">
        <v>3400</v>
      </c>
      <c r="N200" s="18" t="s">
        <v>343</v>
      </c>
      <c r="O200" s="18" t="s">
        <v>117</v>
      </c>
      <c r="Q200" s="19">
        <v>4150.0</v>
      </c>
    </row>
    <row r="201">
      <c r="A201" s="18" t="s">
        <v>148</v>
      </c>
      <c r="B201" s="18" t="s">
        <v>44</v>
      </c>
      <c r="C201" s="18" t="s">
        <v>76</v>
      </c>
      <c r="D201" s="18" t="s">
        <v>344</v>
      </c>
      <c r="E201" s="18" t="s">
        <v>345</v>
      </c>
      <c r="F201" s="18" t="s">
        <v>228</v>
      </c>
      <c r="G201" s="18">
        <v>20.8</v>
      </c>
      <c r="H201" s="18" t="s">
        <v>56</v>
      </c>
      <c r="I201" s="19">
        <v>7514.0</v>
      </c>
      <c r="J201" s="19">
        <v>7550.0</v>
      </c>
      <c r="K201" s="19">
        <v>9100.0</v>
      </c>
      <c r="L201" s="18" t="s">
        <v>346</v>
      </c>
      <c r="M201" s="18" t="s">
        <v>328</v>
      </c>
      <c r="N201" s="18" t="s">
        <v>240</v>
      </c>
      <c r="O201" s="18" t="s">
        <v>151</v>
      </c>
      <c r="P201" s="18" t="s">
        <v>48</v>
      </c>
      <c r="Q201" s="19">
        <v>8000.0</v>
      </c>
    </row>
    <row r="202">
      <c r="A202" s="18" t="s">
        <v>210</v>
      </c>
      <c r="B202" s="18" t="s">
        <v>44</v>
      </c>
      <c r="C202" s="18" t="s">
        <v>64</v>
      </c>
      <c r="D202" s="18" t="s">
        <v>211</v>
      </c>
      <c r="E202" s="18" t="s">
        <v>212</v>
      </c>
      <c r="F202" s="18" t="s">
        <v>228</v>
      </c>
      <c r="G202" s="18">
        <v>18.15</v>
      </c>
      <c r="H202" s="18" t="s">
        <v>120</v>
      </c>
      <c r="I202" s="19">
        <v>6250.0</v>
      </c>
      <c r="J202" s="19">
        <v>8150.0</v>
      </c>
      <c r="K202" s="19">
        <v>7500.0</v>
      </c>
      <c r="L202" s="18" t="s">
        <v>3401</v>
      </c>
      <c r="M202" s="18" t="s">
        <v>3402</v>
      </c>
      <c r="N202" s="18" t="s">
        <v>240</v>
      </c>
      <c r="O202" s="18" t="s">
        <v>213</v>
      </c>
      <c r="P202" s="18" t="s">
        <v>63</v>
      </c>
      <c r="Q202" s="19">
        <v>6250.0</v>
      </c>
    </row>
    <row r="203">
      <c r="A203" s="18" t="s">
        <v>112</v>
      </c>
      <c r="B203" s="18" t="s">
        <v>45</v>
      </c>
      <c r="C203" s="18" t="s">
        <v>45</v>
      </c>
      <c r="D203" s="18" t="s">
        <v>347</v>
      </c>
      <c r="E203" s="18" t="s">
        <v>348</v>
      </c>
      <c r="F203" s="18" t="s">
        <v>228</v>
      </c>
      <c r="G203" s="18">
        <v>10.4</v>
      </c>
      <c r="H203" s="18" t="s">
        <v>45</v>
      </c>
      <c r="I203" s="19">
        <v>3257.0</v>
      </c>
      <c r="J203" s="19">
        <v>4600.0</v>
      </c>
      <c r="K203" s="19">
        <v>4000.0</v>
      </c>
      <c r="L203" s="18" t="s">
        <v>349</v>
      </c>
      <c r="M203" s="18" t="s">
        <v>350</v>
      </c>
      <c r="N203" s="18" t="s">
        <v>245</v>
      </c>
      <c r="O203" s="18" t="s">
        <v>41</v>
      </c>
      <c r="P203" s="18" t="s">
        <v>42</v>
      </c>
      <c r="Q203" s="19">
        <v>4109.0</v>
      </c>
    </row>
    <row r="204">
      <c r="A204" s="18" t="s">
        <v>112</v>
      </c>
      <c r="B204" s="18" t="s">
        <v>44</v>
      </c>
      <c r="C204" s="18" t="s">
        <v>64</v>
      </c>
      <c r="D204" s="18" t="s">
        <v>351</v>
      </c>
      <c r="E204" s="18" t="s">
        <v>352</v>
      </c>
      <c r="F204" s="18" t="s">
        <v>228</v>
      </c>
      <c r="G204" s="18">
        <v>17.6</v>
      </c>
      <c r="H204" s="18" t="s">
        <v>120</v>
      </c>
      <c r="I204" s="19">
        <v>6437.0</v>
      </c>
      <c r="J204" s="19">
        <v>9050.0</v>
      </c>
      <c r="K204" s="19">
        <v>7750.0</v>
      </c>
      <c r="L204" s="18" t="s">
        <v>353</v>
      </c>
      <c r="M204" s="18" t="s">
        <v>354</v>
      </c>
      <c r="N204" s="18" t="s">
        <v>245</v>
      </c>
      <c r="O204" s="18" t="s">
        <v>41</v>
      </c>
      <c r="P204" s="18" t="s">
        <v>42</v>
      </c>
      <c r="Q204" s="19">
        <v>7714.0</v>
      </c>
    </row>
    <row r="205">
      <c r="A205" s="18" t="s">
        <v>171</v>
      </c>
      <c r="B205" s="18" t="s">
        <v>44</v>
      </c>
      <c r="C205" s="18" t="s">
        <v>180</v>
      </c>
      <c r="D205" s="18" t="s">
        <v>355</v>
      </c>
      <c r="E205" s="18" t="s">
        <v>356</v>
      </c>
      <c r="F205" s="18" t="s">
        <v>228</v>
      </c>
      <c r="G205" s="18">
        <v>23.57</v>
      </c>
      <c r="H205" s="18" t="s">
        <v>120</v>
      </c>
      <c r="I205" s="19">
        <v>5490.0</v>
      </c>
      <c r="J205" s="19">
        <v>6350.0</v>
      </c>
      <c r="K205" s="19">
        <v>6600.0</v>
      </c>
      <c r="L205" s="18" t="s">
        <v>357</v>
      </c>
      <c r="M205" s="18" t="s">
        <v>358</v>
      </c>
      <c r="N205" s="18" t="s">
        <v>231</v>
      </c>
      <c r="O205" s="18" t="s">
        <v>41</v>
      </c>
      <c r="Q205" s="19">
        <v>5500.0</v>
      </c>
    </row>
    <row r="206">
      <c r="A206" s="18" t="s">
        <v>201</v>
      </c>
      <c r="B206" s="18" t="s">
        <v>44</v>
      </c>
      <c r="C206" s="18" t="s">
        <v>180</v>
      </c>
      <c r="D206" s="18" t="s">
        <v>359</v>
      </c>
      <c r="E206" s="18" t="s">
        <v>360</v>
      </c>
      <c r="F206" s="18" t="s">
        <v>228</v>
      </c>
      <c r="G206" s="18">
        <v>22.54</v>
      </c>
      <c r="H206" s="18" t="s">
        <v>168</v>
      </c>
      <c r="I206" s="19">
        <v>4000.0</v>
      </c>
      <c r="J206" s="19">
        <v>4800.0</v>
      </c>
      <c r="K206" s="19">
        <v>4800.0</v>
      </c>
      <c r="L206" s="18" t="s">
        <v>361</v>
      </c>
      <c r="M206" s="18" t="s">
        <v>362</v>
      </c>
      <c r="N206" s="18" t="s">
        <v>363</v>
      </c>
      <c r="O206" s="18" t="s">
        <v>41</v>
      </c>
      <c r="Q206" s="19">
        <v>4000.0</v>
      </c>
    </row>
    <row r="207">
      <c r="A207" s="18" t="s">
        <v>3403</v>
      </c>
      <c r="B207" s="18" t="s">
        <v>44</v>
      </c>
      <c r="C207" s="18" t="s">
        <v>53</v>
      </c>
      <c r="D207" s="18" t="s">
        <v>3404</v>
      </c>
      <c r="E207" s="18" t="s">
        <v>3405</v>
      </c>
      <c r="F207" s="18" t="s">
        <v>228</v>
      </c>
      <c r="G207" s="18">
        <v>23.14</v>
      </c>
      <c r="H207" s="18" t="s">
        <v>168</v>
      </c>
      <c r="I207" s="19">
        <v>4800.0</v>
      </c>
      <c r="J207" s="19">
        <v>4800.0</v>
      </c>
      <c r="L207" s="18" t="s">
        <v>3406</v>
      </c>
      <c r="M207" s="18" t="s">
        <v>3407</v>
      </c>
      <c r="N207" s="18" t="s">
        <v>250</v>
      </c>
      <c r="O207" s="18" t="s">
        <v>57</v>
      </c>
      <c r="Q207" s="19">
        <v>2600.0</v>
      </c>
    </row>
    <row r="208">
      <c r="A208" s="18" t="s">
        <v>3403</v>
      </c>
      <c r="B208" s="18" t="s">
        <v>44</v>
      </c>
      <c r="C208" s="18" t="s">
        <v>64</v>
      </c>
      <c r="D208" s="18" t="s">
        <v>3408</v>
      </c>
      <c r="E208" s="18" t="s">
        <v>3409</v>
      </c>
      <c r="F208" s="18" t="s">
        <v>228</v>
      </c>
      <c r="G208" s="18">
        <v>26.29</v>
      </c>
      <c r="H208" s="18" t="s">
        <v>168</v>
      </c>
      <c r="I208" s="19">
        <v>5500.0</v>
      </c>
      <c r="J208" s="19">
        <v>5500.0</v>
      </c>
      <c r="L208" s="18" t="s">
        <v>3410</v>
      </c>
      <c r="M208" s="18" t="s">
        <v>3411</v>
      </c>
      <c r="N208" s="18" t="s">
        <v>250</v>
      </c>
      <c r="O208" s="18" t="s">
        <v>57</v>
      </c>
      <c r="Q208" s="19">
        <v>4800.0</v>
      </c>
    </row>
    <row r="209">
      <c r="A209" s="18" t="s">
        <v>3403</v>
      </c>
      <c r="B209" s="18" t="s">
        <v>44</v>
      </c>
      <c r="C209" s="18" t="s">
        <v>133</v>
      </c>
      <c r="D209" s="18" t="s">
        <v>3412</v>
      </c>
      <c r="E209" s="18" t="s">
        <v>3413</v>
      </c>
      <c r="F209" s="18" t="s">
        <v>228</v>
      </c>
      <c r="G209" s="18">
        <v>20.56</v>
      </c>
      <c r="H209" s="18" t="s">
        <v>120</v>
      </c>
      <c r="I209" s="19">
        <v>4250.0</v>
      </c>
      <c r="J209" s="19">
        <v>4250.0</v>
      </c>
      <c r="L209" s="18" t="s">
        <v>3414</v>
      </c>
      <c r="M209" s="18" t="s">
        <v>3415</v>
      </c>
      <c r="N209" s="18" t="s">
        <v>250</v>
      </c>
      <c r="O209" s="18" t="s">
        <v>57</v>
      </c>
      <c r="Q209" s="19">
        <v>4250.0</v>
      </c>
    </row>
    <row r="210">
      <c r="A210" s="18" t="s">
        <v>3403</v>
      </c>
      <c r="B210" s="18" t="s">
        <v>44</v>
      </c>
      <c r="C210" s="18" t="s">
        <v>53</v>
      </c>
      <c r="D210" s="18" t="s">
        <v>3416</v>
      </c>
      <c r="E210" s="18" t="s">
        <v>3417</v>
      </c>
      <c r="F210" s="18" t="s">
        <v>228</v>
      </c>
      <c r="G210" s="18">
        <v>23.61</v>
      </c>
      <c r="H210" s="18" t="s">
        <v>168</v>
      </c>
      <c r="I210" s="19">
        <v>4800.0</v>
      </c>
      <c r="J210" s="19">
        <v>4800.0</v>
      </c>
      <c r="L210" s="18" t="s">
        <v>3418</v>
      </c>
      <c r="M210" s="18" t="s">
        <v>3419</v>
      </c>
      <c r="N210" s="18" t="s">
        <v>250</v>
      </c>
      <c r="O210" s="18" t="s">
        <v>57</v>
      </c>
      <c r="Q210" s="19">
        <v>5500.0</v>
      </c>
    </row>
    <row r="211">
      <c r="A211" s="18" t="s">
        <v>3403</v>
      </c>
      <c r="B211" s="18" t="s">
        <v>44</v>
      </c>
      <c r="C211" s="18" t="s">
        <v>113</v>
      </c>
      <c r="D211" s="18" t="s">
        <v>3420</v>
      </c>
      <c r="E211" s="18" t="s">
        <v>3421</v>
      </c>
      <c r="F211" s="18" t="s">
        <v>228</v>
      </c>
      <c r="G211" s="18">
        <v>19.18</v>
      </c>
      <c r="H211" s="18" t="s">
        <v>56</v>
      </c>
      <c r="I211" s="19">
        <v>3800.0</v>
      </c>
      <c r="J211" s="19">
        <v>3800.0</v>
      </c>
      <c r="L211" s="18" t="s">
        <v>3422</v>
      </c>
      <c r="M211" s="18" t="s">
        <v>3423</v>
      </c>
      <c r="N211" s="18" t="s">
        <v>250</v>
      </c>
      <c r="O211" s="18" t="s">
        <v>57</v>
      </c>
      <c r="Q211" s="19">
        <v>4250.0</v>
      </c>
    </row>
    <row r="212">
      <c r="A212" s="18" t="s">
        <v>3403</v>
      </c>
      <c r="B212" s="18" t="s">
        <v>44</v>
      </c>
      <c r="C212" s="18" t="s">
        <v>64</v>
      </c>
      <c r="D212" s="18" t="s">
        <v>3424</v>
      </c>
      <c r="E212" s="18" t="s">
        <v>3425</v>
      </c>
      <c r="F212" s="18" t="s">
        <v>228</v>
      </c>
      <c r="G212" s="18">
        <v>28.69</v>
      </c>
      <c r="H212" s="18" t="s">
        <v>168</v>
      </c>
      <c r="I212" s="19">
        <v>5500.0</v>
      </c>
      <c r="J212" s="19">
        <v>5500.0</v>
      </c>
      <c r="L212" s="18" t="s">
        <v>3426</v>
      </c>
      <c r="M212" s="18" t="s">
        <v>3427</v>
      </c>
      <c r="N212" s="18" t="s">
        <v>250</v>
      </c>
      <c r="O212" s="18" t="s">
        <v>57</v>
      </c>
      <c r="Q212" s="19">
        <v>5500.0</v>
      </c>
    </row>
    <row r="213">
      <c r="A213" s="18" t="s">
        <v>3403</v>
      </c>
      <c r="B213" s="18" t="s">
        <v>44</v>
      </c>
      <c r="C213" s="18" t="s">
        <v>64</v>
      </c>
      <c r="D213" s="18" t="s">
        <v>3428</v>
      </c>
      <c r="E213" s="18" t="s">
        <v>3429</v>
      </c>
      <c r="F213" s="18" t="s">
        <v>228</v>
      </c>
      <c r="G213" s="18">
        <v>27.15</v>
      </c>
      <c r="H213" s="18" t="s">
        <v>168</v>
      </c>
      <c r="I213" s="19">
        <v>5500.0</v>
      </c>
      <c r="J213" s="19">
        <v>5500.0</v>
      </c>
      <c r="L213" s="18" t="s">
        <v>3430</v>
      </c>
      <c r="M213" s="18" t="s">
        <v>3431</v>
      </c>
      <c r="N213" s="18" t="s">
        <v>250</v>
      </c>
      <c r="O213" s="18" t="s">
        <v>83</v>
      </c>
      <c r="Q213" s="19">
        <v>4800.0</v>
      </c>
    </row>
    <row r="214">
      <c r="A214" s="18" t="s">
        <v>3403</v>
      </c>
      <c r="B214" s="18" t="s">
        <v>44</v>
      </c>
      <c r="C214" s="18" t="s">
        <v>53</v>
      </c>
      <c r="D214" s="18" t="s">
        <v>3432</v>
      </c>
      <c r="E214" s="18" t="s">
        <v>3433</v>
      </c>
      <c r="F214" s="18" t="s">
        <v>228</v>
      </c>
      <c r="G214" s="18">
        <v>23.58</v>
      </c>
      <c r="H214" s="18" t="s">
        <v>168</v>
      </c>
      <c r="I214" s="19">
        <v>4800.0</v>
      </c>
      <c r="J214" s="19">
        <v>4800.0</v>
      </c>
      <c r="L214" s="18" t="s">
        <v>3434</v>
      </c>
      <c r="M214" s="18" t="s">
        <v>3435</v>
      </c>
      <c r="N214" s="18" t="s">
        <v>250</v>
      </c>
      <c r="O214" s="18" t="s">
        <v>83</v>
      </c>
      <c r="Q214" s="19">
        <v>4800.0</v>
      </c>
    </row>
    <row r="215">
      <c r="A215" s="18" t="s">
        <v>3403</v>
      </c>
      <c r="B215" s="18" t="s">
        <v>44</v>
      </c>
      <c r="C215" s="18" t="s">
        <v>53</v>
      </c>
      <c r="D215" s="18" t="s">
        <v>3436</v>
      </c>
      <c r="E215" s="18" t="s">
        <v>3437</v>
      </c>
      <c r="F215" s="18" t="s">
        <v>228</v>
      </c>
      <c r="G215" s="18">
        <v>23.57</v>
      </c>
      <c r="H215" s="18" t="s">
        <v>168</v>
      </c>
      <c r="I215" s="19">
        <v>4800.0</v>
      </c>
      <c r="J215" s="19">
        <v>4800.0</v>
      </c>
      <c r="L215" s="18" t="s">
        <v>3438</v>
      </c>
      <c r="M215" s="18" t="s">
        <v>3439</v>
      </c>
      <c r="N215" s="18" t="s">
        <v>250</v>
      </c>
      <c r="O215" s="18" t="s">
        <v>83</v>
      </c>
      <c r="Q215" s="19">
        <v>4250.0</v>
      </c>
    </row>
    <row r="216">
      <c r="A216" s="18" t="s">
        <v>3403</v>
      </c>
      <c r="B216" s="18" t="s">
        <v>44</v>
      </c>
      <c r="C216" s="18" t="s">
        <v>53</v>
      </c>
      <c r="D216" s="18" t="s">
        <v>3440</v>
      </c>
      <c r="E216" s="18" t="s">
        <v>3441</v>
      </c>
      <c r="F216" s="18" t="s">
        <v>228</v>
      </c>
      <c r="G216" s="18">
        <v>23.37</v>
      </c>
      <c r="H216" s="18" t="s">
        <v>168</v>
      </c>
      <c r="I216" s="19">
        <v>4800.0</v>
      </c>
      <c r="J216" s="19">
        <v>4800.0</v>
      </c>
      <c r="L216" s="18" t="s">
        <v>3442</v>
      </c>
      <c r="M216" s="18" t="s">
        <v>3443</v>
      </c>
      <c r="N216" s="18" t="s">
        <v>250</v>
      </c>
      <c r="O216" s="18" t="s">
        <v>83</v>
      </c>
      <c r="Q216" s="19">
        <v>4800.0</v>
      </c>
    </row>
    <row r="217">
      <c r="A217" s="18" t="s">
        <v>3403</v>
      </c>
      <c r="B217" s="18" t="s">
        <v>44</v>
      </c>
      <c r="C217" s="18" t="s">
        <v>53</v>
      </c>
      <c r="D217" s="18" t="s">
        <v>3444</v>
      </c>
      <c r="E217" s="18" t="s">
        <v>3445</v>
      </c>
      <c r="F217" s="18" t="s">
        <v>228</v>
      </c>
      <c r="G217" s="18">
        <v>23.56</v>
      </c>
      <c r="H217" s="18" t="s">
        <v>168</v>
      </c>
      <c r="I217" s="19">
        <v>4800.0</v>
      </c>
      <c r="J217" s="19">
        <v>4800.0</v>
      </c>
      <c r="L217" s="18" t="s">
        <v>3446</v>
      </c>
      <c r="M217" s="18" t="s">
        <v>3447</v>
      </c>
      <c r="N217" s="18" t="s">
        <v>250</v>
      </c>
      <c r="O217" s="18" t="s">
        <v>57</v>
      </c>
      <c r="Q217" s="19">
        <v>3800.0</v>
      </c>
    </row>
    <row r="218">
      <c r="A218" s="18" t="s">
        <v>3403</v>
      </c>
      <c r="B218" s="18" t="s">
        <v>44</v>
      </c>
      <c r="C218" s="18" t="s">
        <v>53</v>
      </c>
      <c r="D218" s="18" t="s">
        <v>3448</v>
      </c>
      <c r="E218" s="18" t="s">
        <v>3449</v>
      </c>
      <c r="F218" s="18" t="s">
        <v>228</v>
      </c>
      <c r="G218" s="18">
        <v>23.22</v>
      </c>
      <c r="H218" s="18" t="s">
        <v>168</v>
      </c>
      <c r="I218" s="19">
        <v>4800.0</v>
      </c>
      <c r="J218" s="19">
        <v>4800.0</v>
      </c>
      <c r="L218" s="18" t="s">
        <v>3450</v>
      </c>
      <c r="M218" s="18" t="s">
        <v>3451</v>
      </c>
      <c r="N218" s="18" t="s">
        <v>250</v>
      </c>
      <c r="O218" s="18" t="s">
        <v>57</v>
      </c>
      <c r="Q218" s="19">
        <v>4800.0</v>
      </c>
    </row>
    <row r="219">
      <c r="A219" s="18" t="s">
        <v>3403</v>
      </c>
      <c r="B219" s="18" t="s">
        <v>44</v>
      </c>
      <c r="C219" s="18" t="s">
        <v>133</v>
      </c>
      <c r="D219" s="18" t="s">
        <v>3452</v>
      </c>
      <c r="E219" s="18" t="s">
        <v>3453</v>
      </c>
      <c r="F219" s="18" t="s">
        <v>228</v>
      </c>
      <c r="G219" s="18">
        <v>20.06</v>
      </c>
      <c r="H219" s="18" t="s">
        <v>120</v>
      </c>
      <c r="I219" s="19">
        <v>4250.0</v>
      </c>
      <c r="J219" s="19">
        <v>4250.0</v>
      </c>
      <c r="L219" s="18" t="s">
        <v>3454</v>
      </c>
      <c r="M219" s="18" t="s">
        <v>3455</v>
      </c>
      <c r="N219" s="18" t="s">
        <v>250</v>
      </c>
      <c r="O219" s="18" t="s">
        <v>57</v>
      </c>
      <c r="Q219" s="19">
        <v>4800.0</v>
      </c>
    </row>
    <row r="220">
      <c r="A220" s="18" t="s">
        <v>3403</v>
      </c>
      <c r="B220" s="18" t="s">
        <v>44</v>
      </c>
      <c r="C220" s="18" t="s">
        <v>133</v>
      </c>
      <c r="D220" s="18" t="s">
        <v>3456</v>
      </c>
      <c r="E220" s="18" t="s">
        <v>3457</v>
      </c>
      <c r="F220" s="18" t="s">
        <v>228</v>
      </c>
      <c r="G220" s="18">
        <v>20.55</v>
      </c>
      <c r="H220" s="18" t="s">
        <v>120</v>
      </c>
      <c r="I220" s="19">
        <v>4250.0</v>
      </c>
      <c r="J220" s="19">
        <v>4250.0</v>
      </c>
      <c r="L220" s="18" t="s">
        <v>3458</v>
      </c>
      <c r="M220" s="18" t="s">
        <v>3459</v>
      </c>
      <c r="N220" s="18" t="s">
        <v>250</v>
      </c>
      <c r="O220" s="18" t="s">
        <v>57</v>
      </c>
      <c r="Q220" s="19">
        <v>3800.0</v>
      </c>
    </row>
    <row r="221">
      <c r="A221" s="18" t="s">
        <v>3403</v>
      </c>
      <c r="B221" s="18" t="s">
        <v>45</v>
      </c>
      <c r="C221" s="18" t="s">
        <v>45</v>
      </c>
      <c r="D221" s="18" t="s">
        <v>3460</v>
      </c>
      <c r="E221" s="18" t="s">
        <v>3461</v>
      </c>
      <c r="F221" s="18" t="s">
        <v>228</v>
      </c>
      <c r="G221" s="18">
        <v>15.07</v>
      </c>
      <c r="H221" s="18" t="s">
        <v>400</v>
      </c>
      <c r="I221" s="19">
        <v>2600.0</v>
      </c>
      <c r="J221" s="19">
        <v>2600.0</v>
      </c>
      <c r="L221" s="18" t="s">
        <v>3462</v>
      </c>
      <c r="M221" s="18" t="s">
        <v>3463</v>
      </c>
      <c r="N221" s="18" t="s">
        <v>250</v>
      </c>
      <c r="O221" s="18" t="s">
        <v>57</v>
      </c>
      <c r="Q221" s="19">
        <v>2600.0</v>
      </c>
    </row>
    <row r="222">
      <c r="A222" s="18" t="s">
        <v>3403</v>
      </c>
      <c r="B222" s="18" t="s">
        <v>44</v>
      </c>
      <c r="C222" s="18" t="s">
        <v>133</v>
      </c>
      <c r="D222" s="18" t="s">
        <v>3464</v>
      </c>
      <c r="E222" s="18" t="s">
        <v>3465</v>
      </c>
      <c r="F222" s="18" t="s">
        <v>228</v>
      </c>
      <c r="G222" s="18">
        <v>20.03</v>
      </c>
      <c r="H222" s="18" t="s">
        <v>120</v>
      </c>
      <c r="I222" s="19">
        <v>4250.0</v>
      </c>
      <c r="J222" s="19">
        <v>4250.0</v>
      </c>
      <c r="L222" s="18" t="s">
        <v>3466</v>
      </c>
      <c r="M222" s="18" t="s">
        <v>3467</v>
      </c>
      <c r="N222" s="18" t="s">
        <v>250</v>
      </c>
      <c r="O222" s="18" t="s">
        <v>83</v>
      </c>
      <c r="Q222" s="19">
        <v>4800.0</v>
      </c>
    </row>
    <row r="223">
      <c r="A223" s="18" t="s">
        <v>3403</v>
      </c>
      <c r="B223" s="18" t="s">
        <v>45</v>
      </c>
      <c r="C223" s="18" t="s">
        <v>45</v>
      </c>
      <c r="D223" s="18" t="s">
        <v>3468</v>
      </c>
      <c r="E223" s="18" t="s">
        <v>3469</v>
      </c>
      <c r="F223" s="18" t="s">
        <v>228</v>
      </c>
      <c r="G223" s="18">
        <v>15.09</v>
      </c>
      <c r="H223" s="18" t="s">
        <v>400</v>
      </c>
      <c r="I223" s="19">
        <v>2600.0</v>
      </c>
      <c r="J223" s="19">
        <v>2600.0</v>
      </c>
      <c r="L223" s="18" t="s">
        <v>3470</v>
      </c>
      <c r="M223" s="18" t="s">
        <v>3471</v>
      </c>
      <c r="N223" s="18" t="s">
        <v>250</v>
      </c>
      <c r="O223" s="18" t="s">
        <v>83</v>
      </c>
      <c r="Q223" s="19">
        <v>5500.0</v>
      </c>
    </row>
    <row r="224">
      <c r="A224" s="18" t="s">
        <v>3403</v>
      </c>
      <c r="B224" s="18" t="s">
        <v>45</v>
      </c>
      <c r="C224" s="18" t="s">
        <v>45</v>
      </c>
      <c r="D224" s="18" t="s">
        <v>3472</v>
      </c>
      <c r="E224" s="18" t="s">
        <v>3473</v>
      </c>
      <c r="F224" s="18" t="s">
        <v>228</v>
      </c>
      <c r="G224" s="18">
        <v>15.2</v>
      </c>
      <c r="H224" s="18" t="s">
        <v>400</v>
      </c>
      <c r="I224" s="19">
        <v>2600.0</v>
      </c>
      <c r="J224" s="19">
        <v>2600.0</v>
      </c>
      <c r="L224" s="18" t="s">
        <v>3474</v>
      </c>
      <c r="M224" s="18" t="s">
        <v>3475</v>
      </c>
      <c r="N224" s="18" t="s">
        <v>250</v>
      </c>
      <c r="O224" s="18" t="s">
        <v>83</v>
      </c>
      <c r="Q224" s="19">
        <v>2600.0</v>
      </c>
    </row>
    <row r="225">
      <c r="A225" s="18" t="s">
        <v>3403</v>
      </c>
      <c r="B225" s="18" t="s">
        <v>44</v>
      </c>
      <c r="C225" s="18" t="s">
        <v>113</v>
      </c>
      <c r="D225" s="18" t="s">
        <v>3476</v>
      </c>
      <c r="E225" s="18" t="s">
        <v>3477</v>
      </c>
      <c r="F225" s="18" t="s">
        <v>228</v>
      </c>
      <c r="G225" s="18">
        <v>18.51</v>
      </c>
      <c r="H225" s="18" t="s">
        <v>56</v>
      </c>
      <c r="I225" s="19">
        <v>3800.0</v>
      </c>
      <c r="J225" s="19">
        <v>3800.0</v>
      </c>
      <c r="L225" s="18" t="s">
        <v>3478</v>
      </c>
      <c r="M225" s="18" t="s">
        <v>3479</v>
      </c>
      <c r="N225" s="18" t="s">
        <v>250</v>
      </c>
      <c r="O225" s="18" t="s">
        <v>57</v>
      </c>
      <c r="Q225" s="19">
        <v>3800.0</v>
      </c>
    </row>
    <row r="226">
      <c r="A226" s="18" t="s">
        <v>3403</v>
      </c>
      <c r="B226" s="18" t="s">
        <v>44</v>
      </c>
      <c r="C226" s="18" t="s">
        <v>64</v>
      </c>
      <c r="D226" s="18" t="s">
        <v>3480</v>
      </c>
      <c r="E226" s="18" t="s">
        <v>3481</v>
      </c>
      <c r="F226" s="18" t="s">
        <v>228</v>
      </c>
      <c r="G226" s="18">
        <v>28.12</v>
      </c>
      <c r="H226" s="18" t="s">
        <v>168</v>
      </c>
      <c r="I226" s="19">
        <v>5500.0</v>
      </c>
      <c r="J226" s="19">
        <v>5500.0</v>
      </c>
      <c r="L226" s="18" t="s">
        <v>3482</v>
      </c>
      <c r="M226" s="18" t="s">
        <v>3483</v>
      </c>
      <c r="N226" s="18" t="s">
        <v>250</v>
      </c>
      <c r="O226" s="18" t="s">
        <v>57</v>
      </c>
      <c r="Q226" s="19">
        <v>4250.0</v>
      </c>
    </row>
    <row r="227">
      <c r="A227" s="18" t="s">
        <v>3403</v>
      </c>
      <c r="B227" s="18" t="s">
        <v>44</v>
      </c>
      <c r="C227" s="18" t="s">
        <v>53</v>
      </c>
      <c r="D227" s="18" t="s">
        <v>3484</v>
      </c>
      <c r="E227" s="18" t="s">
        <v>3485</v>
      </c>
      <c r="F227" s="18" t="s">
        <v>228</v>
      </c>
      <c r="G227" s="18">
        <v>24.85</v>
      </c>
      <c r="H227" s="18" t="s">
        <v>168</v>
      </c>
      <c r="I227" s="19">
        <v>4800.0</v>
      </c>
      <c r="J227" s="19">
        <v>4800.0</v>
      </c>
      <c r="L227" s="18" t="s">
        <v>3486</v>
      </c>
      <c r="M227" s="18" t="s">
        <v>3487</v>
      </c>
      <c r="N227" s="18" t="s">
        <v>250</v>
      </c>
      <c r="O227" s="18" t="s">
        <v>57</v>
      </c>
      <c r="Q227" s="19">
        <v>5500.0</v>
      </c>
    </row>
    <row r="228">
      <c r="A228" s="18" t="s">
        <v>3403</v>
      </c>
      <c r="B228" s="18" t="s">
        <v>44</v>
      </c>
      <c r="C228" s="18" t="s">
        <v>133</v>
      </c>
      <c r="D228" s="18" t="s">
        <v>3488</v>
      </c>
      <c r="E228" s="18" t="s">
        <v>3489</v>
      </c>
      <c r="F228" s="18" t="s">
        <v>228</v>
      </c>
      <c r="G228" s="18">
        <v>20.59</v>
      </c>
      <c r="H228" s="18" t="s">
        <v>120</v>
      </c>
      <c r="I228" s="19">
        <v>4250.0</v>
      </c>
      <c r="J228" s="19">
        <v>4250.0</v>
      </c>
      <c r="L228" s="18" t="s">
        <v>3490</v>
      </c>
      <c r="M228" s="18" t="s">
        <v>3491</v>
      </c>
      <c r="N228" s="18" t="s">
        <v>250</v>
      </c>
      <c r="O228" s="18" t="s">
        <v>83</v>
      </c>
      <c r="Q228" s="19">
        <v>4250.0</v>
      </c>
    </row>
    <row r="229">
      <c r="A229" s="18" t="s">
        <v>3403</v>
      </c>
      <c r="B229" s="18" t="s">
        <v>44</v>
      </c>
      <c r="C229" s="18" t="s">
        <v>113</v>
      </c>
      <c r="D229" s="18" t="s">
        <v>3492</v>
      </c>
      <c r="E229" s="18" t="s">
        <v>3493</v>
      </c>
      <c r="F229" s="18" t="s">
        <v>228</v>
      </c>
      <c r="G229" s="18">
        <v>18.15</v>
      </c>
      <c r="H229" s="18" t="s">
        <v>56</v>
      </c>
      <c r="I229" s="19">
        <v>3800.0</v>
      </c>
      <c r="J229" s="19">
        <v>3800.0</v>
      </c>
      <c r="L229" s="18" t="s">
        <v>3494</v>
      </c>
      <c r="M229" s="18" t="s">
        <v>3495</v>
      </c>
      <c r="N229" s="18" t="s">
        <v>250</v>
      </c>
      <c r="O229" s="18" t="s">
        <v>83</v>
      </c>
      <c r="Q229" s="19">
        <v>3800.0</v>
      </c>
    </row>
    <row r="230">
      <c r="A230" s="18" t="s">
        <v>3403</v>
      </c>
      <c r="B230" s="18" t="s">
        <v>45</v>
      </c>
      <c r="C230" s="18" t="s">
        <v>45</v>
      </c>
      <c r="D230" s="18" t="s">
        <v>3496</v>
      </c>
      <c r="E230" s="18" t="s">
        <v>3497</v>
      </c>
      <c r="F230" s="18" t="s">
        <v>228</v>
      </c>
      <c r="G230" s="18">
        <v>15.14</v>
      </c>
      <c r="H230" s="18" t="s">
        <v>400</v>
      </c>
      <c r="I230" s="19">
        <v>2600.0</v>
      </c>
      <c r="J230" s="19">
        <v>2600.0</v>
      </c>
      <c r="L230" s="18" t="s">
        <v>3498</v>
      </c>
      <c r="M230" s="18" t="s">
        <v>3499</v>
      </c>
      <c r="N230" s="18" t="s">
        <v>250</v>
      </c>
      <c r="O230" s="18" t="s">
        <v>57</v>
      </c>
      <c r="Q230" s="19">
        <v>5500.0</v>
      </c>
    </row>
    <row r="231">
      <c r="A231" s="18" t="s">
        <v>3403</v>
      </c>
      <c r="B231" s="18" t="s">
        <v>44</v>
      </c>
      <c r="C231" s="18" t="s">
        <v>53</v>
      </c>
      <c r="D231" s="18" t="s">
        <v>3500</v>
      </c>
      <c r="E231" s="18" t="s">
        <v>3501</v>
      </c>
      <c r="F231" s="18" t="s">
        <v>228</v>
      </c>
      <c r="G231" s="18">
        <v>23.5</v>
      </c>
      <c r="H231" s="18" t="s">
        <v>168</v>
      </c>
      <c r="I231" s="19">
        <v>4800.0</v>
      </c>
      <c r="J231" s="19">
        <v>4800.0</v>
      </c>
      <c r="L231" s="18" t="s">
        <v>3502</v>
      </c>
      <c r="M231" s="18" t="s">
        <v>3503</v>
      </c>
      <c r="N231" s="18" t="s">
        <v>250</v>
      </c>
      <c r="O231" s="18" t="s">
        <v>83</v>
      </c>
      <c r="Q231" s="19">
        <v>2600.0</v>
      </c>
    </row>
    <row r="232">
      <c r="A232" s="18" t="s">
        <v>3403</v>
      </c>
      <c r="B232" s="18" t="s">
        <v>44</v>
      </c>
      <c r="C232" s="18" t="s">
        <v>53</v>
      </c>
      <c r="D232" s="18" t="s">
        <v>3504</v>
      </c>
      <c r="E232" s="18" t="s">
        <v>3505</v>
      </c>
      <c r="F232" s="18" t="s">
        <v>228</v>
      </c>
      <c r="G232" s="18">
        <v>23.56</v>
      </c>
      <c r="H232" s="18" t="s">
        <v>168</v>
      </c>
      <c r="I232" s="19">
        <v>4800.0</v>
      </c>
      <c r="J232" s="19">
        <v>4800.0</v>
      </c>
      <c r="L232" s="18" t="s">
        <v>3506</v>
      </c>
      <c r="M232" s="18" t="s">
        <v>3507</v>
      </c>
      <c r="N232" s="18" t="s">
        <v>250</v>
      </c>
      <c r="O232" s="18" t="s">
        <v>83</v>
      </c>
      <c r="Q232" s="19">
        <v>3800.0</v>
      </c>
    </row>
    <row r="233">
      <c r="A233" s="18" t="s">
        <v>3403</v>
      </c>
      <c r="B233" s="18" t="s">
        <v>44</v>
      </c>
      <c r="C233" s="18" t="s">
        <v>113</v>
      </c>
      <c r="D233" s="18" t="s">
        <v>3508</v>
      </c>
      <c r="E233" s="18" t="s">
        <v>3509</v>
      </c>
      <c r="F233" s="18" t="s">
        <v>228</v>
      </c>
      <c r="G233" s="18">
        <v>18.14</v>
      </c>
      <c r="H233" s="18" t="s">
        <v>56</v>
      </c>
      <c r="I233" s="19">
        <v>3800.0</v>
      </c>
      <c r="J233" s="19">
        <v>3800.0</v>
      </c>
      <c r="L233" s="18" t="s">
        <v>3510</v>
      </c>
      <c r="M233" s="18" t="s">
        <v>3511</v>
      </c>
      <c r="N233" s="18" t="s">
        <v>250</v>
      </c>
      <c r="O233" s="18" t="s">
        <v>83</v>
      </c>
      <c r="Q233" s="19">
        <v>4250.0</v>
      </c>
    </row>
    <row r="234">
      <c r="A234" s="18" t="s">
        <v>3403</v>
      </c>
      <c r="B234" s="18" t="s">
        <v>44</v>
      </c>
      <c r="C234" s="18" t="s">
        <v>53</v>
      </c>
      <c r="D234" s="18" t="s">
        <v>3512</v>
      </c>
      <c r="E234" s="18" t="s">
        <v>3513</v>
      </c>
      <c r="F234" s="18" t="s">
        <v>228</v>
      </c>
      <c r="G234" s="18">
        <v>23.46</v>
      </c>
      <c r="H234" s="18" t="s">
        <v>168</v>
      </c>
      <c r="I234" s="19">
        <v>4800.0</v>
      </c>
      <c r="J234" s="19">
        <v>4800.0</v>
      </c>
      <c r="L234" s="18" t="s">
        <v>3514</v>
      </c>
      <c r="M234" s="18" t="s">
        <v>3515</v>
      </c>
      <c r="N234" s="18" t="s">
        <v>250</v>
      </c>
      <c r="O234" s="18" t="s">
        <v>83</v>
      </c>
      <c r="Q234" s="19">
        <v>5500.0</v>
      </c>
    </row>
    <row r="235">
      <c r="A235" s="18" t="s">
        <v>3403</v>
      </c>
      <c r="B235" s="18" t="s">
        <v>44</v>
      </c>
      <c r="C235" s="18" t="s">
        <v>133</v>
      </c>
      <c r="D235" s="18" t="s">
        <v>3516</v>
      </c>
      <c r="E235" s="18" t="s">
        <v>3517</v>
      </c>
      <c r="F235" s="18" t="s">
        <v>228</v>
      </c>
      <c r="G235" s="18">
        <v>20.06</v>
      </c>
      <c r="H235" s="18" t="s">
        <v>120</v>
      </c>
      <c r="I235" s="19">
        <v>4250.0</v>
      </c>
      <c r="J235" s="19">
        <v>4250.0</v>
      </c>
      <c r="L235" s="18" t="s">
        <v>3518</v>
      </c>
      <c r="M235" s="18" t="s">
        <v>3519</v>
      </c>
      <c r="N235" s="18" t="s">
        <v>250</v>
      </c>
      <c r="O235" s="18" t="s">
        <v>83</v>
      </c>
      <c r="Q235" s="19">
        <v>3800.0</v>
      </c>
    </row>
    <row r="236">
      <c r="A236" s="18" t="s">
        <v>3403</v>
      </c>
      <c r="B236" s="18" t="s">
        <v>44</v>
      </c>
      <c r="C236" s="18" t="s">
        <v>64</v>
      </c>
      <c r="D236" s="18" t="s">
        <v>3520</v>
      </c>
      <c r="E236" s="18" t="s">
        <v>3521</v>
      </c>
      <c r="F236" s="18" t="s">
        <v>228</v>
      </c>
      <c r="G236" s="18">
        <v>28.85</v>
      </c>
      <c r="H236" s="18" t="s">
        <v>168</v>
      </c>
      <c r="I236" s="19">
        <v>5500.0</v>
      </c>
      <c r="J236" s="19">
        <v>5500.0</v>
      </c>
      <c r="L236" s="18" t="s">
        <v>3522</v>
      </c>
      <c r="M236" s="18" t="s">
        <v>3523</v>
      </c>
      <c r="N236" s="18" t="s">
        <v>250</v>
      </c>
      <c r="O236" s="18" t="s">
        <v>83</v>
      </c>
      <c r="Q236" s="19">
        <v>5500.0</v>
      </c>
    </row>
    <row r="237">
      <c r="A237" s="18" t="s">
        <v>364</v>
      </c>
      <c r="B237" s="18" t="s">
        <v>44</v>
      </c>
      <c r="C237" s="18" t="s">
        <v>180</v>
      </c>
      <c r="D237" s="18" t="s">
        <v>365</v>
      </c>
      <c r="E237" s="18" t="s">
        <v>366</v>
      </c>
      <c r="F237" s="18" t="s">
        <v>228</v>
      </c>
      <c r="G237" s="18">
        <v>22.59</v>
      </c>
      <c r="H237" s="18" t="s">
        <v>168</v>
      </c>
      <c r="I237" s="19">
        <v>5600.0</v>
      </c>
      <c r="J237" s="19">
        <v>4500.0</v>
      </c>
      <c r="K237" s="19">
        <v>6500.0</v>
      </c>
      <c r="L237" s="18" t="s">
        <v>367</v>
      </c>
      <c r="M237" s="18" t="s">
        <v>368</v>
      </c>
      <c r="N237" s="18" t="s">
        <v>245</v>
      </c>
      <c r="O237" s="18" t="s">
        <v>117</v>
      </c>
      <c r="P237" s="18" t="s">
        <v>369</v>
      </c>
      <c r="Q237" s="19">
        <v>5400.0</v>
      </c>
    </row>
    <row r="238">
      <c r="A238" s="18" t="s">
        <v>201</v>
      </c>
      <c r="B238" s="18" t="s">
        <v>44</v>
      </c>
      <c r="C238" s="18" t="s">
        <v>64</v>
      </c>
      <c r="D238" s="18" t="s">
        <v>370</v>
      </c>
      <c r="E238" s="18" t="s">
        <v>371</v>
      </c>
      <c r="F238" s="18" t="s">
        <v>228</v>
      </c>
      <c r="G238" s="18">
        <v>18.81</v>
      </c>
      <c r="H238" s="18" t="s">
        <v>120</v>
      </c>
      <c r="I238" s="19">
        <v>3400.0</v>
      </c>
      <c r="J238" s="19">
        <v>4100.0</v>
      </c>
      <c r="K238" s="19">
        <v>4100.0</v>
      </c>
      <c r="L238" s="18" t="s">
        <v>372</v>
      </c>
      <c r="M238" s="18" t="s">
        <v>373</v>
      </c>
      <c r="N238" s="18" t="s">
        <v>240</v>
      </c>
      <c r="O238" s="18" t="s">
        <v>41</v>
      </c>
      <c r="Q238" s="19">
        <v>3607.0</v>
      </c>
    </row>
    <row r="239">
      <c r="A239" s="18" t="s">
        <v>112</v>
      </c>
      <c r="B239" s="18" t="s">
        <v>44</v>
      </c>
      <c r="C239" s="18" t="s">
        <v>76</v>
      </c>
      <c r="D239" s="18" t="s">
        <v>374</v>
      </c>
      <c r="E239" s="18" t="s">
        <v>375</v>
      </c>
      <c r="F239" s="18" t="s">
        <v>228</v>
      </c>
      <c r="G239" s="18">
        <v>19.3</v>
      </c>
      <c r="H239" s="18" t="s">
        <v>120</v>
      </c>
      <c r="I239" s="19">
        <v>6437.0</v>
      </c>
      <c r="J239" s="19">
        <v>9050.0</v>
      </c>
      <c r="K239" s="19">
        <v>7750.0</v>
      </c>
      <c r="L239" s="18" t="s">
        <v>376</v>
      </c>
      <c r="M239" s="18" t="s">
        <v>377</v>
      </c>
      <c r="N239" s="18" t="s">
        <v>378</v>
      </c>
      <c r="O239" s="18" t="s">
        <v>117</v>
      </c>
      <c r="P239" s="18" t="s">
        <v>42</v>
      </c>
      <c r="Q239" s="19">
        <v>6450.0</v>
      </c>
    </row>
    <row r="240">
      <c r="A240" s="18" t="s">
        <v>35</v>
      </c>
      <c r="B240" s="18" t="s">
        <v>45</v>
      </c>
      <c r="C240" s="18" t="s">
        <v>45</v>
      </c>
      <c r="D240" s="18" t="s">
        <v>379</v>
      </c>
      <c r="E240" s="18" t="s">
        <v>380</v>
      </c>
      <c r="F240" s="18" t="s">
        <v>228</v>
      </c>
      <c r="G240" s="18">
        <v>9.22</v>
      </c>
      <c r="H240" s="18" t="s">
        <v>45</v>
      </c>
      <c r="I240" s="19">
        <v>2885.0</v>
      </c>
      <c r="J240" s="19">
        <v>3900.0</v>
      </c>
      <c r="K240" s="19">
        <v>3500.0</v>
      </c>
      <c r="L240" s="18" t="s">
        <v>381</v>
      </c>
      <c r="M240" s="18" t="s">
        <v>382</v>
      </c>
      <c r="N240" s="18" t="s">
        <v>240</v>
      </c>
      <c r="O240" s="18" t="s">
        <v>83</v>
      </c>
      <c r="P240" s="18" t="s">
        <v>42</v>
      </c>
      <c r="Q240" s="19">
        <v>2900.0</v>
      </c>
    </row>
    <row r="241">
      <c r="A241" s="18" t="s">
        <v>158</v>
      </c>
      <c r="B241" s="18" t="s">
        <v>44</v>
      </c>
      <c r="C241" s="18" t="s">
        <v>64</v>
      </c>
      <c r="D241" s="18" t="s">
        <v>383</v>
      </c>
      <c r="E241" s="18" t="s">
        <v>384</v>
      </c>
      <c r="F241" s="18" t="s">
        <v>228</v>
      </c>
      <c r="G241" s="18">
        <v>17.2</v>
      </c>
      <c r="H241" s="18" t="s">
        <v>120</v>
      </c>
      <c r="I241" s="19">
        <v>5516.0</v>
      </c>
      <c r="J241" s="19">
        <v>5550.0</v>
      </c>
      <c r="K241" s="19">
        <v>6700.0</v>
      </c>
      <c r="L241" s="18" t="s">
        <v>385</v>
      </c>
      <c r="M241" s="18" t="s">
        <v>377</v>
      </c>
      <c r="N241" s="18" t="s">
        <v>378</v>
      </c>
      <c r="O241" s="18" t="s">
        <v>41</v>
      </c>
      <c r="P241" s="18" t="s">
        <v>162</v>
      </c>
      <c r="Q241" s="19">
        <v>5550.0</v>
      </c>
    </row>
    <row r="242">
      <c r="A242" s="18" t="s">
        <v>282</v>
      </c>
      <c r="B242" s="18" t="s">
        <v>45</v>
      </c>
      <c r="C242" s="18" t="s">
        <v>45</v>
      </c>
      <c r="D242" s="18" t="s">
        <v>387</v>
      </c>
      <c r="E242" s="18" t="s">
        <v>388</v>
      </c>
      <c r="F242" s="18" t="s">
        <v>228</v>
      </c>
      <c r="G242" s="18">
        <v>9.95</v>
      </c>
      <c r="H242" s="18" t="s">
        <v>45</v>
      </c>
      <c r="I242" s="19">
        <v>2838.0</v>
      </c>
      <c r="J242" s="19">
        <v>3450.0</v>
      </c>
      <c r="K242" s="19">
        <v>3450.0</v>
      </c>
      <c r="L242" s="18" t="s">
        <v>389</v>
      </c>
      <c r="M242" s="18" t="s">
        <v>390</v>
      </c>
      <c r="N242" s="18" t="s">
        <v>338</v>
      </c>
      <c r="O242" s="18" t="s">
        <v>41</v>
      </c>
      <c r="P242" s="18" t="s">
        <v>63</v>
      </c>
      <c r="Q242" s="19">
        <v>2850.0</v>
      </c>
    </row>
    <row r="243">
      <c r="A243" s="18" t="s">
        <v>138</v>
      </c>
      <c r="B243" s="18" t="s">
        <v>45</v>
      </c>
      <c r="C243" s="18" t="s">
        <v>45</v>
      </c>
      <c r="D243" s="18" t="s">
        <v>391</v>
      </c>
      <c r="E243" s="18" t="s">
        <v>392</v>
      </c>
      <c r="F243" s="18" t="s">
        <v>228</v>
      </c>
      <c r="G243" s="18">
        <v>9.0</v>
      </c>
      <c r="H243" s="18" t="s">
        <v>45</v>
      </c>
      <c r="I243" s="19">
        <v>1652.0</v>
      </c>
      <c r="J243" s="19">
        <v>2400.0</v>
      </c>
      <c r="K243" s="19">
        <v>2050.0</v>
      </c>
      <c r="L243" s="18" t="s">
        <v>393</v>
      </c>
      <c r="M243" s="18" t="s">
        <v>394</v>
      </c>
      <c r="N243" s="18" t="s">
        <v>231</v>
      </c>
      <c r="O243" s="18" t="s">
        <v>41</v>
      </c>
      <c r="P243" s="18" t="s">
        <v>144</v>
      </c>
      <c r="Q243" s="19">
        <v>1700.0</v>
      </c>
    </row>
    <row r="244">
      <c r="A244" s="18" t="s">
        <v>49</v>
      </c>
      <c r="B244" s="18" t="s">
        <v>44</v>
      </c>
      <c r="C244" s="18" t="s">
        <v>180</v>
      </c>
      <c r="D244" s="18" t="s">
        <v>395</v>
      </c>
      <c r="E244" s="18" t="s">
        <v>396</v>
      </c>
      <c r="F244" s="18" t="s">
        <v>228</v>
      </c>
      <c r="G244" s="18">
        <v>23.06</v>
      </c>
      <c r="H244" s="18" t="s">
        <v>168</v>
      </c>
      <c r="I244" s="19">
        <v>8300.0</v>
      </c>
      <c r="J244" s="19">
        <v>9550.0</v>
      </c>
      <c r="K244" s="19">
        <v>10000.0</v>
      </c>
      <c r="L244" s="18" t="s">
        <v>397</v>
      </c>
      <c r="M244" s="18" t="s">
        <v>377</v>
      </c>
      <c r="N244" s="18" t="s">
        <v>378</v>
      </c>
      <c r="O244" s="18" t="s">
        <v>57</v>
      </c>
      <c r="P244" s="18" t="s">
        <v>48</v>
      </c>
      <c r="Q244" s="19">
        <v>8300.0</v>
      </c>
    </row>
    <row r="245">
      <c r="A245" s="18" t="s">
        <v>132</v>
      </c>
      <c r="B245" s="18" t="s">
        <v>45</v>
      </c>
      <c r="C245" s="18" t="s">
        <v>45</v>
      </c>
      <c r="D245" s="18" t="s">
        <v>398</v>
      </c>
      <c r="E245" s="18" t="s">
        <v>399</v>
      </c>
      <c r="F245" s="18" t="s">
        <v>228</v>
      </c>
      <c r="G245" s="18">
        <v>10.55</v>
      </c>
      <c r="H245" s="18" t="s">
        <v>400</v>
      </c>
      <c r="I245" s="19">
        <v>1822.08</v>
      </c>
      <c r="J245" s="19">
        <v>1500.0</v>
      </c>
      <c r="K245" s="19">
        <v>3500.0</v>
      </c>
      <c r="L245" s="18" t="s">
        <v>401</v>
      </c>
      <c r="M245" s="18" t="s">
        <v>402</v>
      </c>
      <c r="N245" s="18" t="s">
        <v>403</v>
      </c>
      <c r="O245" s="18" t="s">
        <v>41</v>
      </c>
      <c r="Q245" s="19">
        <v>1800.0</v>
      </c>
    </row>
    <row r="246">
      <c r="A246" s="18" t="s">
        <v>138</v>
      </c>
      <c r="B246" s="18" t="s">
        <v>44</v>
      </c>
      <c r="C246" s="18" t="s">
        <v>64</v>
      </c>
      <c r="D246" s="18" t="s">
        <v>404</v>
      </c>
      <c r="E246" s="18" t="s">
        <v>405</v>
      </c>
      <c r="F246" s="18" t="s">
        <v>228</v>
      </c>
      <c r="G246" s="18">
        <v>18.24</v>
      </c>
      <c r="H246" s="18" t="s">
        <v>120</v>
      </c>
      <c r="I246" s="19">
        <v>3944.0</v>
      </c>
      <c r="J246" s="19">
        <v>5750.0</v>
      </c>
      <c r="K246" s="19">
        <v>4750.0</v>
      </c>
      <c r="L246" s="18" t="s">
        <v>406</v>
      </c>
      <c r="M246" s="18" t="s">
        <v>265</v>
      </c>
      <c r="N246" s="18" t="s">
        <v>240</v>
      </c>
      <c r="O246" s="18" t="s">
        <v>41</v>
      </c>
      <c r="P246" s="18" t="s">
        <v>144</v>
      </c>
      <c r="Q246" s="19">
        <v>3950.0</v>
      </c>
    </row>
    <row r="247">
      <c r="A247" s="18" t="s">
        <v>125</v>
      </c>
      <c r="B247" s="18" t="s">
        <v>36</v>
      </c>
      <c r="C247" s="18" t="s">
        <v>37</v>
      </c>
      <c r="D247" s="18" t="s">
        <v>407</v>
      </c>
      <c r="E247" s="18" t="s">
        <v>408</v>
      </c>
      <c r="F247" s="18" t="s">
        <v>228</v>
      </c>
      <c r="G247" s="18">
        <v>45.97</v>
      </c>
      <c r="H247" s="18" t="s">
        <v>168</v>
      </c>
      <c r="I247" s="19">
        <v>4500.0</v>
      </c>
      <c r="J247" s="19">
        <v>3850.0</v>
      </c>
      <c r="K247" s="19">
        <v>5700.0</v>
      </c>
      <c r="L247" s="18" t="s">
        <v>409</v>
      </c>
      <c r="M247" s="18" t="s">
        <v>410</v>
      </c>
      <c r="N247" s="18" t="s">
        <v>231</v>
      </c>
      <c r="O247" s="18" t="s">
        <v>57</v>
      </c>
      <c r="Q247" s="19">
        <v>5665.0</v>
      </c>
    </row>
    <row r="248">
      <c r="A248" s="18" t="s">
        <v>158</v>
      </c>
      <c r="B248" s="18" t="s">
        <v>44</v>
      </c>
      <c r="C248" s="18" t="s">
        <v>133</v>
      </c>
      <c r="D248" s="18" t="s">
        <v>411</v>
      </c>
      <c r="E248" s="18" t="s">
        <v>412</v>
      </c>
      <c r="F248" s="18" t="s">
        <v>228</v>
      </c>
      <c r="G248" s="18">
        <v>14.49</v>
      </c>
      <c r="H248" s="18" t="s">
        <v>56</v>
      </c>
      <c r="I248" s="19">
        <v>4666.0</v>
      </c>
      <c r="J248" s="19">
        <v>4700.0</v>
      </c>
      <c r="K248" s="19">
        <v>5650.0</v>
      </c>
      <c r="L248" s="18" t="s">
        <v>413</v>
      </c>
      <c r="M248" s="18" t="s">
        <v>414</v>
      </c>
      <c r="N248" s="18" t="s">
        <v>143</v>
      </c>
      <c r="O248" s="18" t="s">
        <v>41</v>
      </c>
      <c r="P248" s="18" t="s">
        <v>162</v>
      </c>
      <c r="Q248" s="19">
        <v>4700.0</v>
      </c>
    </row>
    <row r="249">
      <c r="A249" s="18" t="s">
        <v>225</v>
      </c>
      <c r="B249" s="18" t="s">
        <v>45</v>
      </c>
      <c r="C249" s="18" t="s">
        <v>45</v>
      </c>
      <c r="D249" s="18" t="s">
        <v>415</v>
      </c>
      <c r="E249" s="18" t="s">
        <v>416</v>
      </c>
      <c r="F249" s="18" t="s">
        <v>228</v>
      </c>
      <c r="G249" s="18">
        <v>9.0</v>
      </c>
      <c r="H249" s="18" t="s">
        <v>45</v>
      </c>
      <c r="I249" s="19">
        <v>3100.0</v>
      </c>
      <c r="J249" s="19">
        <v>4050.0</v>
      </c>
      <c r="K249" s="19">
        <v>3600.0</v>
      </c>
      <c r="L249" s="18" t="s">
        <v>417</v>
      </c>
      <c r="M249" s="18" t="s">
        <v>418</v>
      </c>
      <c r="N249" s="18" t="s">
        <v>343</v>
      </c>
      <c r="O249" s="18" t="s">
        <v>41</v>
      </c>
      <c r="P249" s="18" t="s">
        <v>162</v>
      </c>
      <c r="Q249" s="19">
        <v>3000.0</v>
      </c>
    </row>
    <row r="250">
      <c r="A250" s="18" t="s">
        <v>282</v>
      </c>
      <c r="B250" s="18" t="s">
        <v>44</v>
      </c>
      <c r="C250" s="18" t="s">
        <v>133</v>
      </c>
      <c r="D250" s="18" t="s">
        <v>419</v>
      </c>
      <c r="E250" s="18" t="s">
        <v>420</v>
      </c>
      <c r="F250" s="18" t="s">
        <v>228</v>
      </c>
      <c r="G250" s="18">
        <v>14.15</v>
      </c>
      <c r="H250" s="18" t="s">
        <v>56</v>
      </c>
      <c r="I250" s="19">
        <v>4851.0</v>
      </c>
      <c r="J250" s="19">
        <v>5850.0</v>
      </c>
      <c r="K250" s="19">
        <v>5900.0</v>
      </c>
      <c r="L250" s="18" t="s">
        <v>421</v>
      </c>
      <c r="M250" s="18" t="s">
        <v>422</v>
      </c>
      <c r="N250" s="18" t="s">
        <v>363</v>
      </c>
      <c r="O250" s="18" t="s">
        <v>57</v>
      </c>
      <c r="P250" s="18" t="s">
        <v>63</v>
      </c>
      <c r="Q250" s="19">
        <v>4900.0</v>
      </c>
    </row>
    <row r="251">
      <c r="A251" s="18" t="s">
        <v>148</v>
      </c>
      <c r="B251" s="18" t="s">
        <v>44</v>
      </c>
      <c r="C251" s="18" t="s">
        <v>423</v>
      </c>
      <c r="D251" s="18" t="s">
        <v>424</v>
      </c>
      <c r="E251" s="18" t="s">
        <v>425</v>
      </c>
      <c r="F251" s="18" t="s">
        <v>228</v>
      </c>
      <c r="G251" s="18">
        <v>29.9</v>
      </c>
      <c r="H251" s="18" t="s">
        <v>168</v>
      </c>
      <c r="I251" s="19">
        <v>10857.0</v>
      </c>
      <c r="J251" s="19">
        <v>10900.0</v>
      </c>
      <c r="K251" s="19">
        <v>13100.0</v>
      </c>
      <c r="L251" s="18" t="s">
        <v>426</v>
      </c>
      <c r="M251" s="18" t="s">
        <v>427</v>
      </c>
      <c r="N251" s="18" t="s">
        <v>245</v>
      </c>
      <c r="O251" s="18" t="s">
        <v>57</v>
      </c>
      <c r="P251" s="18" t="s">
        <v>48</v>
      </c>
      <c r="Q251" s="19">
        <v>11227.0</v>
      </c>
    </row>
    <row r="252">
      <c r="A252" s="18" t="s">
        <v>35</v>
      </c>
      <c r="B252" s="18" t="s">
        <v>45</v>
      </c>
      <c r="C252" s="18" t="s">
        <v>45</v>
      </c>
      <c r="D252" s="18" t="s">
        <v>428</v>
      </c>
      <c r="E252" s="18" t="s">
        <v>429</v>
      </c>
      <c r="F252" s="18" t="s">
        <v>228</v>
      </c>
      <c r="G252" s="18">
        <v>8.38</v>
      </c>
      <c r="H252" s="18" t="s">
        <v>45</v>
      </c>
      <c r="I252" s="19">
        <v>2885.0</v>
      </c>
      <c r="J252" s="19">
        <v>3900.0</v>
      </c>
      <c r="K252" s="19">
        <v>3500.0</v>
      </c>
      <c r="L252" s="18" t="s">
        <v>430</v>
      </c>
      <c r="M252" s="18" t="s">
        <v>431</v>
      </c>
      <c r="N252" s="18" t="s">
        <v>363</v>
      </c>
      <c r="O252" s="18" t="s">
        <v>83</v>
      </c>
      <c r="P252" s="18" t="s">
        <v>42</v>
      </c>
      <c r="Q252" s="19">
        <v>2900.0</v>
      </c>
    </row>
    <row r="253">
      <c r="A253" s="18" t="s">
        <v>158</v>
      </c>
      <c r="B253" s="18" t="s">
        <v>44</v>
      </c>
      <c r="C253" s="18" t="s">
        <v>53</v>
      </c>
      <c r="D253" s="18" t="s">
        <v>432</v>
      </c>
      <c r="E253" s="18" t="s">
        <v>433</v>
      </c>
      <c r="F253" s="18" t="s">
        <v>228</v>
      </c>
      <c r="G253" s="18">
        <v>16.2</v>
      </c>
      <c r="H253" s="18" t="s">
        <v>120</v>
      </c>
      <c r="I253" s="19">
        <v>5091.0</v>
      </c>
      <c r="J253" s="19">
        <v>5100.0</v>
      </c>
      <c r="K253" s="19">
        <v>6150.0</v>
      </c>
      <c r="L253" s="18" t="s">
        <v>434</v>
      </c>
      <c r="M253" s="18" t="s">
        <v>435</v>
      </c>
      <c r="N253" s="18" t="s">
        <v>231</v>
      </c>
      <c r="O253" s="18" t="s">
        <v>41</v>
      </c>
      <c r="P253" s="18" t="s">
        <v>162</v>
      </c>
      <c r="Q253" s="19">
        <v>5100.0</v>
      </c>
    </row>
    <row r="254">
      <c r="A254" s="18" t="s">
        <v>158</v>
      </c>
      <c r="B254" s="18" t="s">
        <v>44</v>
      </c>
      <c r="C254" s="18" t="s">
        <v>133</v>
      </c>
      <c r="D254" s="18" t="s">
        <v>436</v>
      </c>
      <c r="E254" s="18" t="s">
        <v>437</v>
      </c>
      <c r="F254" s="18" t="s">
        <v>228</v>
      </c>
      <c r="G254" s="18">
        <v>14.49</v>
      </c>
      <c r="H254" s="18" t="s">
        <v>56</v>
      </c>
      <c r="I254" s="19">
        <v>4666.0</v>
      </c>
      <c r="J254" s="19">
        <v>4700.0</v>
      </c>
      <c r="K254" s="19">
        <v>5650.0</v>
      </c>
      <c r="L254" s="18" t="s">
        <v>438</v>
      </c>
      <c r="M254" s="18" t="s">
        <v>439</v>
      </c>
      <c r="N254" s="18" t="s">
        <v>270</v>
      </c>
      <c r="O254" s="18" t="s">
        <v>41</v>
      </c>
      <c r="P254" s="18" t="s">
        <v>162</v>
      </c>
      <c r="Q254" s="19">
        <v>4700.0</v>
      </c>
    </row>
    <row r="255">
      <c r="A255" s="18" t="s">
        <v>35</v>
      </c>
      <c r="B255" s="18" t="s">
        <v>44</v>
      </c>
      <c r="C255" s="18" t="s">
        <v>133</v>
      </c>
      <c r="D255" s="18" t="s">
        <v>440</v>
      </c>
      <c r="E255" s="18" t="s">
        <v>441</v>
      </c>
      <c r="F255" s="18" t="s">
        <v>228</v>
      </c>
      <c r="G255" s="18">
        <v>13.8</v>
      </c>
      <c r="H255" s="18" t="s">
        <v>56</v>
      </c>
      <c r="I255" s="19">
        <v>5436.0</v>
      </c>
      <c r="J255" s="19">
        <v>7350.0</v>
      </c>
      <c r="K255" s="19">
        <v>6550.0</v>
      </c>
      <c r="L255" s="18" t="s">
        <v>442</v>
      </c>
      <c r="M255" s="18" t="s">
        <v>443</v>
      </c>
      <c r="N255" s="18" t="s">
        <v>338</v>
      </c>
      <c r="O255" s="18" t="s">
        <v>41</v>
      </c>
      <c r="P255" s="18" t="s">
        <v>42</v>
      </c>
      <c r="Q255" s="19">
        <v>5450.0</v>
      </c>
    </row>
    <row r="256">
      <c r="A256" s="18" t="s">
        <v>112</v>
      </c>
      <c r="B256" s="18" t="s">
        <v>44</v>
      </c>
      <c r="C256" s="18" t="s">
        <v>76</v>
      </c>
      <c r="D256" s="18" t="s">
        <v>444</v>
      </c>
      <c r="E256" s="18" t="s">
        <v>445</v>
      </c>
      <c r="F256" s="18" t="s">
        <v>228</v>
      </c>
      <c r="G256" s="18">
        <v>20.6</v>
      </c>
      <c r="H256" s="18" t="s">
        <v>168</v>
      </c>
      <c r="I256" s="19">
        <v>6867.0</v>
      </c>
      <c r="J256" s="19">
        <v>9650.0</v>
      </c>
      <c r="K256" s="19">
        <v>8300.0</v>
      </c>
      <c r="L256" s="18" t="s">
        <v>446</v>
      </c>
      <c r="M256" s="18" t="s">
        <v>447</v>
      </c>
      <c r="N256" s="18" t="s">
        <v>240</v>
      </c>
      <c r="O256" s="18" t="s">
        <v>41</v>
      </c>
      <c r="P256" s="18" t="s">
        <v>42</v>
      </c>
      <c r="Q256" s="19">
        <v>6900.0</v>
      </c>
    </row>
    <row r="257">
      <c r="A257" s="18" t="s">
        <v>145</v>
      </c>
      <c r="B257" s="18" t="s">
        <v>44</v>
      </c>
      <c r="C257" s="18" t="s">
        <v>53</v>
      </c>
      <c r="D257" s="18" t="s">
        <v>448</v>
      </c>
      <c r="E257" s="18" t="s">
        <v>449</v>
      </c>
      <c r="F257" s="18" t="s">
        <v>228</v>
      </c>
      <c r="G257" s="18">
        <v>16.7</v>
      </c>
      <c r="H257" s="18" t="s">
        <v>56</v>
      </c>
      <c r="I257" s="19">
        <v>8592.0</v>
      </c>
      <c r="J257" s="19">
        <v>9500.0</v>
      </c>
      <c r="K257" s="19">
        <v>10350.0</v>
      </c>
      <c r="L257" s="18" t="s">
        <v>450</v>
      </c>
      <c r="M257" s="18" t="s">
        <v>451</v>
      </c>
      <c r="N257" s="18" t="s">
        <v>231</v>
      </c>
      <c r="O257" s="18" t="s">
        <v>151</v>
      </c>
      <c r="P257" s="18" t="s">
        <v>63</v>
      </c>
      <c r="Q257" s="19">
        <v>8600.0</v>
      </c>
    </row>
    <row r="258">
      <c r="A258" s="18" t="s">
        <v>216</v>
      </c>
      <c r="B258" s="18" t="s">
        <v>45</v>
      </c>
      <c r="C258" s="18" t="s">
        <v>45</v>
      </c>
      <c r="D258" s="18" t="s">
        <v>452</v>
      </c>
      <c r="E258" s="18" t="s">
        <v>453</v>
      </c>
      <c r="F258" s="18" t="s">
        <v>228</v>
      </c>
      <c r="G258" s="18">
        <v>8.54</v>
      </c>
      <c r="H258" s="18" t="s">
        <v>45</v>
      </c>
      <c r="I258" s="19">
        <v>3194.0</v>
      </c>
      <c r="J258" s="19">
        <v>4500.0</v>
      </c>
      <c r="K258" s="19">
        <v>3850.0</v>
      </c>
      <c r="L258" s="18" t="s">
        <v>454</v>
      </c>
      <c r="M258" s="18" t="s">
        <v>455</v>
      </c>
      <c r="N258" s="18" t="s">
        <v>456</v>
      </c>
      <c r="O258" s="18" t="s">
        <v>83</v>
      </c>
      <c r="P258" s="18" t="s">
        <v>42</v>
      </c>
      <c r="Q258" s="19">
        <v>3200.0</v>
      </c>
    </row>
    <row r="259">
      <c r="A259" s="18" t="s">
        <v>210</v>
      </c>
      <c r="B259" s="18" t="s">
        <v>44</v>
      </c>
      <c r="C259" s="18" t="s">
        <v>76</v>
      </c>
      <c r="D259" s="18" t="s">
        <v>457</v>
      </c>
      <c r="E259" s="18" t="s">
        <v>458</v>
      </c>
      <c r="F259" s="18" t="s">
        <v>228</v>
      </c>
      <c r="G259" s="18">
        <v>19.29</v>
      </c>
      <c r="H259" s="18" t="s">
        <v>120</v>
      </c>
      <c r="I259" s="19">
        <v>6500.0</v>
      </c>
      <c r="J259" s="19">
        <v>8450.0</v>
      </c>
      <c r="K259" s="19">
        <v>7800.0</v>
      </c>
      <c r="L259" s="18" t="s">
        <v>459</v>
      </c>
      <c r="M259" s="18" t="s">
        <v>460</v>
      </c>
      <c r="N259" s="18" t="s">
        <v>316</v>
      </c>
      <c r="O259" s="18" t="s">
        <v>83</v>
      </c>
      <c r="P259" s="18" t="s">
        <v>63</v>
      </c>
      <c r="Q259" s="19">
        <v>6500.0</v>
      </c>
    </row>
    <row r="260">
      <c r="A260" s="18" t="s">
        <v>216</v>
      </c>
      <c r="B260" s="18" t="s">
        <v>44</v>
      </c>
      <c r="C260" s="18" t="s">
        <v>133</v>
      </c>
      <c r="D260" s="18" t="s">
        <v>461</v>
      </c>
      <c r="E260" s="18" t="s">
        <v>462</v>
      </c>
      <c r="F260" s="18" t="s">
        <v>228</v>
      </c>
      <c r="G260" s="18">
        <v>13.5</v>
      </c>
      <c r="H260" s="18" t="s">
        <v>56</v>
      </c>
      <c r="I260" s="19">
        <v>5323.0</v>
      </c>
      <c r="J260" s="19">
        <v>7500.0</v>
      </c>
      <c r="K260" s="19">
        <v>6450.0</v>
      </c>
      <c r="L260" s="18" t="s">
        <v>463</v>
      </c>
      <c r="M260" s="18" t="s">
        <v>464</v>
      </c>
      <c r="N260" s="18" t="s">
        <v>240</v>
      </c>
      <c r="O260" s="18" t="s">
        <v>57</v>
      </c>
      <c r="P260" s="18" t="s">
        <v>42</v>
      </c>
      <c r="Q260" s="19">
        <v>5350.0</v>
      </c>
    </row>
    <row r="261">
      <c r="A261" s="18" t="s">
        <v>282</v>
      </c>
      <c r="B261" s="18" t="s">
        <v>44</v>
      </c>
      <c r="C261" s="18" t="s">
        <v>53</v>
      </c>
      <c r="D261" s="18" t="s">
        <v>465</v>
      </c>
      <c r="E261" s="18" t="s">
        <v>466</v>
      </c>
      <c r="F261" s="18" t="s">
        <v>228</v>
      </c>
      <c r="G261" s="18">
        <v>15.44</v>
      </c>
      <c r="H261" s="18" t="s">
        <v>56</v>
      </c>
      <c r="I261" s="19">
        <v>4851.0</v>
      </c>
      <c r="J261" s="19">
        <v>5850.0</v>
      </c>
      <c r="K261" s="19">
        <v>5900.0</v>
      </c>
      <c r="L261" s="18" t="s">
        <v>467</v>
      </c>
      <c r="M261" s="18" t="s">
        <v>468</v>
      </c>
      <c r="N261" s="18" t="s">
        <v>363</v>
      </c>
      <c r="O261" s="18" t="s">
        <v>57</v>
      </c>
      <c r="P261" s="18" t="s">
        <v>63</v>
      </c>
      <c r="Q261" s="19">
        <v>4900.0</v>
      </c>
    </row>
    <row r="262">
      <c r="A262" s="18" t="s">
        <v>171</v>
      </c>
      <c r="B262" s="18" t="s">
        <v>36</v>
      </c>
      <c r="D262" s="18" t="s">
        <v>469</v>
      </c>
      <c r="E262" s="18" t="s">
        <v>470</v>
      </c>
      <c r="F262" s="18" t="s">
        <v>228</v>
      </c>
      <c r="G262" s="18">
        <v>60.1</v>
      </c>
      <c r="H262" s="18" t="s">
        <v>471</v>
      </c>
      <c r="I262" s="19">
        <v>6000.0</v>
      </c>
      <c r="J262" s="19">
        <v>6900.0</v>
      </c>
      <c r="L262" s="18" t="s">
        <v>472</v>
      </c>
      <c r="M262" s="18" t="s">
        <v>473</v>
      </c>
      <c r="N262" s="18" t="s">
        <v>270</v>
      </c>
      <c r="O262" s="18" t="s">
        <v>198</v>
      </c>
      <c r="Q262" s="19">
        <v>6000.0</v>
      </c>
    </row>
    <row r="263">
      <c r="A263" s="18" t="s">
        <v>191</v>
      </c>
      <c r="B263" s="18" t="s">
        <v>45</v>
      </c>
      <c r="C263" s="18" t="s">
        <v>45</v>
      </c>
      <c r="D263" s="18" t="s">
        <v>192</v>
      </c>
      <c r="E263" s="18" t="s">
        <v>193</v>
      </c>
      <c r="F263" s="18" t="s">
        <v>228</v>
      </c>
      <c r="G263" s="18">
        <v>12.04</v>
      </c>
      <c r="H263" s="18" t="s">
        <v>45</v>
      </c>
      <c r="I263" s="19">
        <v>3900.0</v>
      </c>
      <c r="J263" s="19">
        <v>5100.0</v>
      </c>
      <c r="L263" s="18" t="s">
        <v>3524</v>
      </c>
      <c r="M263" s="18" t="s">
        <v>3525</v>
      </c>
      <c r="N263" s="18" t="s">
        <v>240</v>
      </c>
      <c r="O263" s="18" t="s">
        <v>57</v>
      </c>
      <c r="P263" s="18" t="s">
        <v>48</v>
      </c>
      <c r="Q263" s="19">
        <v>4050.0</v>
      </c>
    </row>
    <row r="264">
      <c r="A264" s="18" t="s">
        <v>125</v>
      </c>
      <c r="B264" s="18" t="s">
        <v>45</v>
      </c>
      <c r="C264" s="18" t="s">
        <v>45</v>
      </c>
      <c r="D264" s="18" t="s">
        <v>474</v>
      </c>
      <c r="E264" s="18" t="s">
        <v>475</v>
      </c>
      <c r="F264" s="18" t="s">
        <v>228</v>
      </c>
      <c r="G264" s="18">
        <v>8.63</v>
      </c>
      <c r="H264" s="18" t="s">
        <v>45</v>
      </c>
      <c r="I264" s="19">
        <v>1995.0</v>
      </c>
      <c r="J264" s="19">
        <v>1700.0</v>
      </c>
      <c r="K264" s="19">
        <v>3550.0</v>
      </c>
      <c r="L264" s="18" t="s">
        <v>476</v>
      </c>
      <c r="M264" s="18" t="s">
        <v>477</v>
      </c>
      <c r="N264" s="18" t="s">
        <v>403</v>
      </c>
      <c r="O264" s="18" t="s">
        <v>57</v>
      </c>
      <c r="Q264" s="19">
        <v>2060.0</v>
      </c>
    </row>
    <row r="265">
      <c r="A265" s="18" t="s">
        <v>145</v>
      </c>
      <c r="B265" s="18" t="s">
        <v>44</v>
      </c>
      <c r="C265" s="18" t="s">
        <v>53</v>
      </c>
      <c r="D265" s="18" t="s">
        <v>478</v>
      </c>
      <c r="E265" s="18" t="s">
        <v>479</v>
      </c>
      <c r="F265" s="18" t="s">
        <v>228</v>
      </c>
      <c r="G265" s="18">
        <v>16.5</v>
      </c>
      <c r="H265" s="18" t="s">
        <v>56</v>
      </c>
      <c r="I265" s="19">
        <v>8592.0</v>
      </c>
      <c r="J265" s="19">
        <v>9500.0</v>
      </c>
      <c r="K265" s="19">
        <v>10350.0</v>
      </c>
      <c r="L265" s="18" t="s">
        <v>480</v>
      </c>
      <c r="M265" s="18" t="s">
        <v>481</v>
      </c>
      <c r="N265" s="18" t="s">
        <v>270</v>
      </c>
      <c r="O265" s="18" t="s">
        <v>151</v>
      </c>
      <c r="P265" s="18" t="s">
        <v>63</v>
      </c>
      <c r="Q265" s="19">
        <v>8600.0</v>
      </c>
    </row>
    <row r="266">
      <c r="A266" s="18" t="s">
        <v>216</v>
      </c>
      <c r="B266" s="18" t="s">
        <v>45</v>
      </c>
      <c r="C266" s="18" t="s">
        <v>45</v>
      </c>
      <c r="D266" s="18" t="s">
        <v>482</v>
      </c>
      <c r="E266" s="18" t="s">
        <v>483</v>
      </c>
      <c r="F266" s="18" t="s">
        <v>228</v>
      </c>
      <c r="G266" s="18">
        <v>9.85</v>
      </c>
      <c r="H266" s="18" t="s">
        <v>45</v>
      </c>
      <c r="I266" s="19">
        <v>3194.0</v>
      </c>
      <c r="J266" s="19">
        <v>4500.0</v>
      </c>
      <c r="K266" s="19">
        <v>3850.0</v>
      </c>
      <c r="L266" s="18" t="s">
        <v>484</v>
      </c>
      <c r="M266" s="18" t="s">
        <v>464</v>
      </c>
      <c r="N266" s="18" t="s">
        <v>240</v>
      </c>
      <c r="O266" s="18" t="s">
        <v>57</v>
      </c>
      <c r="P266" s="18" t="s">
        <v>42</v>
      </c>
      <c r="Q266" s="19">
        <v>3200.0</v>
      </c>
    </row>
    <row r="267">
      <c r="A267" s="18" t="s">
        <v>485</v>
      </c>
      <c r="B267" s="18" t="s">
        <v>36</v>
      </c>
      <c r="C267" s="18" t="s">
        <v>37</v>
      </c>
      <c r="D267" s="18" t="s">
        <v>486</v>
      </c>
      <c r="E267" s="18" t="s">
        <v>487</v>
      </c>
      <c r="F267" s="18" t="s">
        <v>228</v>
      </c>
      <c r="G267" s="18">
        <v>49.88</v>
      </c>
      <c r="H267" s="18" t="s">
        <v>488</v>
      </c>
      <c r="I267" s="19">
        <v>2160.0</v>
      </c>
      <c r="J267" s="19">
        <v>2400.0</v>
      </c>
      <c r="L267" s="18" t="s">
        <v>489</v>
      </c>
      <c r="M267" s="18" t="s">
        <v>490</v>
      </c>
      <c r="N267" s="18" t="s">
        <v>491</v>
      </c>
      <c r="O267" s="18" t="s">
        <v>83</v>
      </c>
      <c r="P267" s="18" t="s">
        <v>48</v>
      </c>
      <c r="Q267" s="19">
        <v>2160.0</v>
      </c>
    </row>
    <row r="268">
      <c r="A268" s="18" t="s">
        <v>485</v>
      </c>
      <c r="B268" s="18" t="s">
        <v>44</v>
      </c>
      <c r="C268" s="18" t="s">
        <v>151</v>
      </c>
      <c r="D268" s="18" t="s">
        <v>492</v>
      </c>
      <c r="E268" s="18" t="s">
        <v>493</v>
      </c>
      <c r="F268" s="18" t="s">
        <v>228</v>
      </c>
      <c r="G268" s="18">
        <v>24.12</v>
      </c>
      <c r="H268" s="18" t="s">
        <v>488</v>
      </c>
      <c r="I268" s="19">
        <v>2142.0</v>
      </c>
      <c r="J268" s="19">
        <v>2400.0</v>
      </c>
      <c r="L268" s="18" t="s">
        <v>494</v>
      </c>
      <c r="M268" s="18" t="s">
        <v>495</v>
      </c>
      <c r="N268" s="18" t="s">
        <v>491</v>
      </c>
      <c r="O268" s="18" t="s">
        <v>41</v>
      </c>
      <c r="P268" s="18" t="s">
        <v>48</v>
      </c>
      <c r="Q268" s="19">
        <v>2142.0</v>
      </c>
    </row>
    <row r="269">
      <c r="A269" s="18" t="s">
        <v>485</v>
      </c>
      <c r="B269" s="18" t="s">
        <v>44</v>
      </c>
      <c r="C269" s="18" t="s">
        <v>64</v>
      </c>
      <c r="D269" s="18" t="s">
        <v>496</v>
      </c>
      <c r="E269" s="18" t="s">
        <v>497</v>
      </c>
      <c r="F269" s="18" t="s">
        <v>228</v>
      </c>
      <c r="G269" s="18">
        <v>17.01</v>
      </c>
      <c r="H269" s="18" t="s">
        <v>67</v>
      </c>
      <c r="I269" s="19">
        <v>2142.0</v>
      </c>
      <c r="J269" s="19">
        <v>2400.0</v>
      </c>
      <c r="L269" s="18" t="s">
        <v>498</v>
      </c>
      <c r="M269" s="18" t="s">
        <v>499</v>
      </c>
      <c r="N269" s="18" t="s">
        <v>491</v>
      </c>
      <c r="O269" s="18" t="s">
        <v>57</v>
      </c>
      <c r="P269" s="18" t="s">
        <v>48</v>
      </c>
      <c r="Q269" s="19">
        <v>2142.0</v>
      </c>
    </row>
    <row r="270">
      <c r="A270" s="18" t="s">
        <v>485</v>
      </c>
      <c r="B270" s="18" t="s">
        <v>44</v>
      </c>
      <c r="C270" s="18" t="s">
        <v>64</v>
      </c>
      <c r="D270" s="18" t="s">
        <v>500</v>
      </c>
      <c r="E270" s="18" t="s">
        <v>501</v>
      </c>
      <c r="F270" s="18" t="s">
        <v>228</v>
      </c>
      <c r="G270" s="18">
        <v>17.24</v>
      </c>
      <c r="H270" s="18" t="s">
        <v>67</v>
      </c>
      <c r="I270" s="19">
        <v>2142.0</v>
      </c>
      <c r="J270" s="19">
        <v>2400.0</v>
      </c>
      <c r="L270" s="18" t="s">
        <v>502</v>
      </c>
      <c r="M270" s="18" t="s">
        <v>503</v>
      </c>
      <c r="N270" s="18" t="s">
        <v>491</v>
      </c>
      <c r="O270" s="18" t="s">
        <v>57</v>
      </c>
      <c r="P270" s="18" t="s">
        <v>48</v>
      </c>
      <c r="Q270" s="19">
        <v>2142.0</v>
      </c>
    </row>
    <row r="271">
      <c r="A271" s="18" t="s">
        <v>485</v>
      </c>
      <c r="B271" s="18" t="s">
        <v>44</v>
      </c>
      <c r="C271" s="18" t="s">
        <v>53</v>
      </c>
      <c r="D271" s="18" t="s">
        <v>504</v>
      </c>
      <c r="E271" s="18" t="s">
        <v>505</v>
      </c>
      <c r="F271" s="18" t="s">
        <v>228</v>
      </c>
      <c r="G271" s="18">
        <v>15.02</v>
      </c>
      <c r="H271" s="18" t="s">
        <v>62</v>
      </c>
      <c r="I271" s="19">
        <v>2142.0</v>
      </c>
      <c r="J271" s="19">
        <v>2400.0</v>
      </c>
      <c r="L271" s="18" t="s">
        <v>506</v>
      </c>
      <c r="M271" s="18" t="s">
        <v>507</v>
      </c>
      <c r="N271" s="18" t="s">
        <v>491</v>
      </c>
      <c r="O271" s="18" t="s">
        <v>41</v>
      </c>
      <c r="P271" s="18" t="s">
        <v>48</v>
      </c>
      <c r="Q271" s="19">
        <v>2142.0</v>
      </c>
    </row>
    <row r="272">
      <c r="A272" s="18" t="s">
        <v>485</v>
      </c>
      <c r="B272" s="18" t="s">
        <v>44</v>
      </c>
      <c r="C272" s="18" t="s">
        <v>133</v>
      </c>
      <c r="D272" s="18" t="s">
        <v>508</v>
      </c>
      <c r="E272" s="18" t="s">
        <v>509</v>
      </c>
      <c r="F272" s="18" t="s">
        <v>228</v>
      </c>
      <c r="G272" s="18">
        <v>14.56</v>
      </c>
      <c r="H272" s="18" t="s">
        <v>62</v>
      </c>
      <c r="I272" s="19">
        <v>2142.0</v>
      </c>
      <c r="J272" s="19">
        <v>2400.0</v>
      </c>
      <c r="L272" s="18" t="s">
        <v>510</v>
      </c>
      <c r="M272" s="18" t="s">
        <v>511</v>
      </c>
      <c r="N272" s="18" t="s">
        <v>491</v>
      </c>
      <c r="O272" s="18" t="s">
        <v>41</v>
      </c>
      <c r="P272" s="18" t="s">
        <v>48</v>
      </c>
      <c r="Q272" s="19">
        <v>2142.0</v>
      </c>
    </row>
    <row r="273">
      <c r="A273" s="18" t="s">
        <v>485</v>
      </c>
      <c r="B273" s="18" t="s">
        <v>44</v>
      </c>
      <c r="C273" s="18" t="s">
        <v>50</v>
      </c>
      <c r="D273" s="18" t="s">
        <v>512</v>
      </c>
      <c r="E273" s="18" t="s">
        <v>513</v>
      </c>
      <c r="F273" s="18" t="s">
        <v>228</v>
      </c>
      <c r="G273" s="18">
        <v>11.5</v>
      </c>
      <c r="H273" s="18" t="s">
        <v>50</v>
      </c>
      <c r="I273" s="19">
        <v>2142.0</v>
      </c>
      <c r="J273" s="19">
        <v>2400.0</v>
      </c>
      <c r="L273" s="18" t="s">
        <v>514</v>
      </c>
      <c r="M273" s="18" t="s">
        <v>515</v>
      </c>
      <c r="N273" s="18" t="s">
        <v>491</v>
      </c>
      <c r="O273" s="18" t="s">
        <v>57</v>
      </c>
      <c r="P273" s="18" t="s">
        <v>48</v>
      </c>
      <c r="Q273" s="19">
        <v>2142.0</v>
      </c>
    </row>
    <row r="274">
      <c r="A274" s="18" t="s">
        <v>485</v>
      </c>
      <c r="B274" s="18" t="s">
        <v>44</v>
      </c>
      <c r="C274" s="18" t="s">
        <v>76</v>
      </c>
      <c r="D274" s="18" t="s">
        <v>516</v>
      </c>
      <c r="E274" s="18" t="s">
        <v>517</v>
      </c>
      <c r="F274" s="18" t="s">
        <v>228</v>
      </c>
      <c r="G274" s="18">
        <v>20.86</v>
      </c>
      <c r="H274" s="18" t="s">
        <v>67</v>
      </c>
      <c r="I274" s="19">
        <v>2142.0</v>
      </c>
      <c r="J274" s="19">
        <v>2400.0</v>
      </c>
      <c r="L274" s="18" t="s">
        <v>518</v>
      </c>
      <c r="M274" s="18" t="s">
        <v>519</v>
      </c>
      <c r="N274" s="18" t="s">
        <v>491</v>
      </c>
      <c r="O274" s="18" t="s">
        <v>41</v>
      </c>
      <c r="P274" s="18" t="s">
        <v>48</v>
      </c>
      <c r="Q274" s="19">
        <v>2142.0</v>
      </c>
    </row>
    <row r="275">
      <c r="A275" s="18" t="s">
        <v>485</v>
      </c>
      <c r="B275" s="18" t="s">
        <v>44</v>
      </c>
      <c r="C275" s="18" t="s">
        <v>64</v>
      </c>
      <c r="D275" s="18" t="s">
        <v>520</v>
      </c>
      <c r="E275" s="18" t="s">
        <v>521</v>
      </c>
      <c r="F275" s="18" t="s">
        <v>228</v>
      </c>
      <c r="G275" s="18">
        <v>17.02</v>
      </c>
      <c r="H275" s="18" t="s">
        <v>67</v>
      </c>
      <c r="I275" s="19">
        <v>2142.0</v>
      </c>
      <c r="J275" s="19">
        <v>2400.0</v>
      </c>
      <c r="L275" s="18" t="s">
        <v>522</v>
      </c>
      <c r="M275" s="18" t="s">
        <v>523</v>
      </c>
      <c r="N275" s="18" t="s">
        <v>491</v>
      </c>
      <c r="O275" s="18" t="s">
        <v>57</v>
      </c>
      <c r="P275" s="18" t="s">
        <v>48</v>
      </c>
      <c r="Q275" s="19">
        <v>2142.0</v>
      </c>
    </row>
    <row r="276">
      <c r="A276" s="18" t="s">
        <v>485</v>
      </c>
      <c r="B276" s="18" t="s">
        <v>44</v>
      </c>
      <c r="C276" s="18" t="s">
        <v>53</v>
      </c>
      <c r="D276" s="18" t="s">
        <v>524</v>
      </c>
      <c r="E276" s="18" t="s">
        <v>525</v>
      </c>
      <c r="F276" s="18" t="s">
        <v>228</v>
      </c>
      <c r="G276" s="18">
        <v>16.01</v>
      </c>
      <c r="H276" s="18" t="s">
        <v>62</v>
      </c>
      <c r="I276" s="19">
        <v>2142.0</v>
      </c>
      <c r="J276" s="19">
        <v>2400.0</v>
      </c>
      <c r="L276" s="18" t="s">
        <v>526</v>
      </c>
      <c r="M276" s="18" t="s">
        <v>527</v>
      </c>
      <c r="N276" s="18" t="s">
        <v>491</v>
      </c>
      <c r="O276" s="18" t="s">
        <v>41</v>
      </c>
      <c r="P276" s="18" t="s">
        <v>48</v>
      </c>
      <c r="Q276" s="19">
        <v>2142.0</v>
      </c>
    </row>
    <row r="277">
      <c r="A277" s="18" t="s">
        <v>485</v>
      </c>
      <c r="B277" s="18" t="s">
        <v>44</v>
      </c>
      <c r="C277" s="18" t="s">
        <v>64</v>
      </c>
      <c r="D277" s="18" t="s">
        <v>528</v>
      </c>
      <c r="E277" s="18" t="s">
        <v>529</v>
      </c>
      <c r="F277" s="18" t="s">
        <v>228</v>
      </c>
      <c r="G277" s="18">
        <v>18.31</v>
      </c>
      <c r="H277" s="18" t="s">
        <v>67</v>
      </c>
      <c r="I277" s="19">
        <v>2142.0</v>
      </c>
      <c r="J277" s="19">
        <v>2400.0</v>
      </c>
      <c r="L277" s="18" t="s">
        <v>530</v>
      </c>
      <c r="M277" s="18" t="s">
        <v>531</v>
      </c>
      <c r="N277" s="18" t="s">
        <v>491</v>
      </c>
      <c r="O277" s="18" t="s">
        <v>41</v>
      </c>
      <c r="P277" s="18" t="s">
        <v>48</v>
      </c>
      <c r="Q277" s="19">
        <v>2142.0</v>
      </c>
    </row>
    <row r="278">
      <c r="A278" s="18" t="s">
        <v>485</v>
      </c>
      <c r="B278" s="18" t="s">
        <v>44</v>
      </c>
      <c r="C278" s="18" t="s">
        <v>53</v>
      </c>
      <c r="D278" s="18" t="s">
        <v>532</v>
      </c>
      <c r="E278" s="18" t="s">
        <v>533</v>
      </c>
      <c r="F278" s="18" t="s">
        <v>228</v>
      </c>
      <c r="G278" s="18">
        <v>16.51</v>
      </c>
      <c r="H278" s="18" t="s">
        <v>62</v>
      </c>
      <c r="I278" s="19">
        <v>2142.0</v>
      </c>
      <c r="J278" s="19">
        <v>2400.0</v>
      </c>
      <c r="L278" s="18" t="s">
        <v>534</v>
      </c>
      <c r="M278" s="18" t="s">
        <v>535</v>
      </c>
      <c r="N278" s="18" t="s">
        <v>491</v>
      </c>
      <c r="O278" s="18" t="s">
        <v>41</v>
      </c>
      <c r="P278" s="18" t="s">
        <v>48</v>
      </c>
      <c r="Q278" s="19">
        <v>2142.0</v>
      </c>
    </row>
    <row r="279">
      <c r="A279" s="18" t="s">
        <v>485</v>
      </c>
      <c r="B279" s="18" t="s">
        <v>44</v>
      </c>
      <c r="C279" s="18" t="s">
        <v>133</v>
      </c>
      <c r="D279" s="18" t="s">
        <v>536</v>
      </c>
      <c r="E279" s="18" t="s">
        <v>537</v>
      </c>
      <c r="F279" s="18" t="s">
        <v>228</v>
      </c>
      <c r="G279" s="18">
        <v>14.74</v>
      </c>
      <c r="H279" s="18" t="s">
        <v>62</v>
      </c>
      <c r="I279" s="19">
        <v>2142.0</v>
      </c>
      <c r="J279" s="19">
        <v>2400.0</v>
      </c>
      <c r="L279" s="18" t="s">
        <v>538</v>
      </c>
      <c r="M279" s="18" t="s">
        <v>539</v>
      </c>
      <c r="N279" s="18" t="s">
        <v>491</v>
      </c>
      <c r="O279" s="18" t="s">
        <v>57</v>
      </c>
      <c r="P279" s="18" t="s">
        <v>48</v>
      </c>
      <c r="Q279" s="19">
        <v>2142.0</v>
      </c>
    </row>
    <row r="280">
      <c r="A280" s="18" t="s">
        <v>485</v>
      </c>
      <c r="B280" s="18" t="s">
        <v>44</v>
      </c>
      <c r="C280" s="18" t="s">
        <v>76</v>
      </c>
      <c r="D280" s="18" t="s">
        <v>540</v>
      </c>
      <c r="E280" s="18" t="s">
        <v>541</v>
      </c>
      <c r="F280" s="18" t="s">
        <v>228</v>
      </c>
      <c r="G280" s="18">
        <v>19.97</v>
      </c>
      <c r="H280" s="18" t="s">
        <v>67</v>
      </c>
      <c r="I280" s="19">
        <v>2142.0</v>
      </c>
      <c r="J280" s="19">
        <v>2400.0</v>
      </c>
      <c r="L280" s="18" t="s">
        <v>542</v>
      </c>
      <c r="M280" s="18" t="s">
        <v>543</v>
      </c>
      <c r="N280" s="18" t="s">
        <v>491</v>
      </c>
      <c r="O280" s="18" t="s">
        <v>57</v>
      </c>
      <c r="P280" s="18" t="s">
        <v>48</v>
      </c>
      <c r="Q280" s="19">
        <v>2142.0</v>
      </c>
    </row>
    <row r="281">
      <c r="A281" s="18" t="s">
        <v>485</v>
      </c>
      <c r="B281" s="18" t="s">
        <v>44</v>
      </c>
      <c r="C281" s="18" t="s">
        <v>53</v>
      </c>
      <c r="D281" s="18" t="s">
        <v>544</v>
      </c>
      <c r="E281" s="18" t="s">
        <v>545</v>
      </c>
      <c r="F281" s="18" t="s">
        <v>228</v>
      </c>
      <c r="G281" s="18">
        <v>16.28</v>
      </c>
      <c r="H281" s="18" t="s">
        <v>62</v>
      </c>
      <c r="I281" s="19">
        <v>2142.0</v>
      </c>
      <c r="J281" s="19">
        <v>2400.0</v>
      </c>
      <c r="L281" s="18" t="s">
        <v>546</v>
      </c>
      <c r="M281" s="18" t="s">
        <v>547</v>
      </c>
      <c r="N281" s="18" t="s">
        <v>491</v>
      </c>
      <c r="O281" s="18" t="s">
        <v>57</v>
      </c>
      <c r="P281" s="18" t="s">
        <v>48</v>
      </c>
      <c r="Q281" s="19">
        <v>2142.0</v>
      </c>
    </row>
    <row r="282">
      <c r="A282" s="18" t="s">
        <v>485</v>
      </c>
      <c r="B282" s="18" t="s">
        <v>44</v>
      </c>
      <c r="C282" s="18" t="s">
        <v>64</v>
      </c>
      <c r="D282" s="18" t="s">
        <v>548</v>
      </c>
      <c r="E282" s="18" t="s">
        <v>549</v>
      </c>
      <c r="F282" s="18" t="s">
        <v>228</v>
      </c>
      <c r="G282" s="18">
        <v>18.85</v>
      </c>
      <c r="H282" s="18" t="s">
        <v>67</v>
      </c>
      <c r="I282" s="19">
        <v>2142.0</v>
      </c>
      <c r="J282" s="19">
        <v>2400.0</v>
      </c>
      <c r="L282" s="18" t="s">
        <v>550</v>
      </c>
      <c r="M282" s="18" t="s">
        <v>551</v>
      </c>
      <c r="N282" s="18" t="s">
        <v>491</v>
      </c>
      <c r="O282" s="18" t="s">
        <v>57</v>
      </c>
      <c r="P282" s="18" t="s">
        <v>48</v>
      </c>
      <c r="Q282" s="19">
        <v>2142.0</v>
      </c>
    </row>
    <row r="283">
      <c r="A283" s="18" t="s">
        <v>485</v>
      </c>
      <c r="B283" s="18" t="s">
        <v>44</v>
      </c>
      <c r="C283" s="18" t="s">
        <v>76</v>
      </c>
      <c r="D283" s="18" t="s">
        <v>552</v>
      </c>
      <c r="E283" s="18" t="s">
        <v>553</v>
      </c>
      <c r="F283" s="18" t="s">
        <v>228</v>
      </c>
      <c r="G283" s="18">
        <v>20.69</v>
      </c>
      <c r="H283" s="18" t="s">
        <v>120</v>
      </c>
      <c r="I283" s="19">
        <v>2142.0</v>
      </c>
      <c r="J283" s="19">
        <v>2400.0</v>
      </c>
      <c r="L283" s="18" t="s">
        <v>554</v>
      </c>
      <c r="M283" s="18" t="s">
        <v>555</v>
      </c>
      <c r="N283" s="18" t="s">
        <v>491</v>
      </c>
      <c r="O283" s="18" t="s">
        <v>57</v>
      </c>
      <c r="P283" s="18" t="s">
        <v>48</v>
      </c>
      <c r="Q283" s="19">
        <v>2142.0</v>
      </c>
    </row>
    <row r="284">
      <c r="A284" s="18" t="s">
        <v>485</v>
      </c>
      <c r="B284" s="18" t="s">
        <v>44</v>
      </c>
      <c r="C284" s="18" t="s">
        <v>64</v>
      </c>
      <c r="D284" s="18" t="s">
        <v>556</v>
      </c>
      <c r="E284" s="18" t="s">
        <v>557</v>
      </c>
      <c r="F284" s="18" t="s">
        <v>228</v>
      </c>
      <c r="G284" s="18">
        <v>17.04</v>
      </c>
      <c r="H284" s="18" t="s">
        <v>67</v>
      </c>
      <c r="I284" s="19">
        <v>2142.0</v>
      </c>
      <c r="J284" s="19">
        <v>2400.0</v>
      </c>
      <c r="L284" s="18" t="s">
        <v>558</v>
      </c>
      <c r="M284" s="18" t="s">
        <v>559</v>
      </c>
      <c r="N284" s="18" t="s">
        <v>491</v>
      </c>
      <c r="O284" s="18" t="s">
        <v>57</v>
      </c>
      <c r="P284" s="18" t="s">
        <v>48</v>
      </c>
      <c r="Q284" s="19">
        <v>2142.0</v>
      </c>
    </row>
    <row r="285">
      <c r="A285" s="18" t="s">
        <v>485</v>
      </c>
      <c r="B285" s="18" t="s">
        <v>44</v>
      </c>
      <c r="C285" s="18" t="s">
        <v>76</v>
      </c>
      <c r="D285" s="18" t="s">
        <v>560</v>
      </c>
      <c r="E285" s="18" t="s">
        <v>561</v>
      </c>
      <c r="F285" s="18" t="s">
        <v>228</v>
      </c>
      <c r="G285" s="18">
        <v>19.72</v>
      </c>
      <c r="H285" s="18" t="s">
        <v>67</v>
      </c>
      <c r="I285" s="19">
        <v>2142.0</v>
      </c>
      <c r="J285" s="19">
        <v>2400.0</v>
      </c>
      <c r="L285" s="18" t="s">
        <v>562</v>
      </c>
      <c r="M285" s="18" t="s">
        <v>563</v>
      </c>
      <c r="N285" s="18" t="s">
        <v>491</v>
      </c>
      <c r="O285" s="18" t="s">
        <v>57</v>
      </c>
      <c r="P285" s="18" t="s">
        <v>48</v>
      </c>
      <c r="Q285" s="19">
        <v>2142.0</v>
      </c>
    </row>
    <row r="286">
      <c r="A286" s="18" t="s">
        <v>485</v>
      </c>
      <c r="B286" s="18" t="s">
        <v>44</v>
      </c>
      <c r="C286" s="18" t="s">
        <v>76</v>
      </c>
      <c r="D286" s="18" t="s">
        <v>564</v>
      </c>
      <c r="E286" s="18" t="s">
        <v>565</v>
      </c>
      <c r="F286" s="18" t="s">
        <v>228</v>
      </c>
      <c r="G286" s="18">
        <v>19.41</v>
      </c>
      <c r="H286" s="18" t="s">
        <v>67</v>
      </c>
      <c r="I286" s="19">
        <v>2142.0</v>
      </c>
      <c r="J286" s="19">
        <v>2400.0</v>
      </c>
      <c r="L286" s="18" t="s">
        <v>566</v>
      </c>
      <c r="M286" s="18" t="s">
        <v>567</v>
      </c>
      <c r="N286" s="18" t="s">
        <v>491</v>
      </c>
      <c r="O286" s="18" t="s">
        <v>83</v>
      </c>
      <c r="P286" s="18" t="s">
        <v>48</v>
      </c>
      <c r="Q286" s="19">
        <v>2142.0</v>
      </c>
    </row>
    <row r="287">
      <c r="A287" s="18" t="s">
        <v>485</v>
      </c>
      <c r="B287" s="18" t="s">
        <v>45</v>
      </c>
      <c r="C287" s="18" t="s">
        <v>50</v>
      </c>
      <c r="D287" s="18" t="s">
        <v>568</v>
      </c>
      <c r="E287" s="18" t="s">
        <v>569</v>
      </c>
      <c r="F287" s="18" t="s">
        <v>228</v>
      </c>
      <c r="G287" s="18">
        <v>13.73</v>
      </c>
      <c r="H287" s="18" t="s">
        <v>45</v>
      </c>
      <c r="I287" s="19">
        <v>2142.0</v>
      </c>
      <c r="J287" s="19">
        <v>2400.0</v>
      </c>
      <c r="L287" s="18" t="s">
        <v>570</v>
      </c>
      <c r="M287" s="18" t="s">
        <v>571</v>
      </c>
      <c r="N287" s="18" t="s">
        <v>491</v>
      </c>
      <c r="O287" s="18" t="s">
        <v>83</v>
      </c>
      <c r="P287" s="18" t="s">
        <v>48</v>
      </c>
      <c r="Q287" s="19">
        <v>2142.0</v>
      </c>
    </row>
    <row r="288">
      <c r="A288" s="18" t="s">
        <v>132</v>
      </c>
      <c r="B288" s="18" t="s">
        <v>44</v>
      </c>
      <c r="C288" s="18" t="s">
        <v>37</v>
      </c>
      <c r="D288" s="18" t="s">
        <v>572</v>
      </c>
      <c r="E288" s="18" t="s">
        <v>573</v>
      </c>
      <c r="F288" s="18" t="s">
        <v>228</v>
      </c>
      <c r="G288" s="18">
        <v>58.22</v>
      </c>
      <c r="H288" s="18" t="s">
        <v>574</v>
      </c>
      <c r="I288" s="19">
        <v>5542.5</v>
      </c>
      <c r="J288" s="19">
        <v>4450.0</v>
      </c>
      <c r="L288" s="18" t="s">
        <v>575</v>
      </c>
      <c r="M288" s="18" t="s">
        <v>576</v>
      </c>
      <c r="N288" s="18" t="s">
        <v>343</v>
      </c>
      <c r="O288" s="18" t="s">
        <v>57</v>
      </c>
      <c r="Q288" s="19">
        <v>5550.0</v>
      </c>
    </row>
    <row r="289">
      <c r="A289" s="18" t="s">
        <v>132</v>
      </c>
      <c r="B289" s="18" t="s">
        <v>45</v>
      </c>
      <c r="C289" s="18" t="s">
        <v>45</v>
      </c>
      <c r="D289" s="18" t="s">
        <v>577</v>
      </c>
      <c r="E289" s="18" t="s">
        <v>578</v>
      </c>
      <c r="F289" s="18" t="s">
        <v>228</v>
      </c>
      <c r="G289" s="18">
        <v>10.55</v>
      </c>
      <c r="H289" s="18" t="s">
        <v>400</v>
      </c>
      <c r="I289" s="19">
        <v>1822.08</v>
      </c>
      <c r="J289" s="19">
        <v>1500.0</v>
      </c>
      <c r="K289" s="19">
        <v>3500.0</v>
      </c>
      <c r="L289" s="18" t="s">
        <v>579</v>
      </c>
      <c r="M289" s="18" t="s">
        <v>580</v>
      </c>
      <c r="N289" s="18" t="s">
        <v>240</v>
      </c>
      <c r="O289" s="18" t="s">
        <v>41</v>
      </c>
      <c r="Q289" s="19">
        <v>1850.0</v>
      </c>
    </row>
    <row r="290">
      <c r="A290" s="18" t="s">
        <v>191</v>
      </c>
      <c r="B290" s="18" t="s">
        <v>45</v>
      </c>
      <c r="C290" s="18" t="s">
        <v>45</v>
      </c>
      <c r="D290" s="18" t="s">
        <v>581</v>
      </c>
      <c r="E290" s="18" t="s">
        <v>582</v>
      </c>
      <c r="F290" s="18" t="s">
        <v>228</v>
      </c>
      <c r="G290" s="18">
        <v>14.57</v>
      </c>
      <c r="H290" s="18" t="s">
        <v>45</v>
      </c>
      <c r="I290" s="19">
        <v>3900.0</v>
      </c>
      <c r="J290" s="19">
        <v>5100.0</v>
      </c>
      <c r="L290" s="18" t="s">
        <v>583</v>
      </c>
      <c r="M290" s="18" t="s">
        <v>584</v>
      </c>
      <c r="N290" s="18" t="s">
        <v>343</v>
      </c>
      <c r="O290" s="18" t="s">
        <v>41</v>
      </c>
      <c r="P290" s="18" t="s">
        <v>48</v>
      </c>
      <c r="Q290" s="19">
        <v>3900.0</v>
      </c>
    </row>
    <row r="291">
      <c r="A291" s="18" t="s">
        <v>171</v>
      </c>
      <c r="B291" s="18" t="s">
        <v>36</v>
      </c>
      <c r="D291" s="18" t="s">
        <v>585</v>
      </c>
      <c r="E291" s="18" t="s">
        <v>586</v>
      </c>
      <c r="F291" s="18" t="s">
        <v>228</v>
      </c>
      <c r="G291" s="18">
        <v>45.02</v>
      </c>
      <c r="H291" s="18" t="s">
        <v>471</v>
      </c>
      <c r="I291" s="19">
        <v>6000.0</v>
      </c>
      <c r="J291" s="19">
        <v>6900.0</v>
      </c>
      <c r="L291" s="18" t="s">
        <v>587</v>
      </c>
      <c r="M291" s="18" t="s">
        <v>588</v>
      </c>
      <c r="N291" s="18" t="s">
        <v>316</v>
      </c>
      <c r="O291" s="18" t="s">
        <v>198</v>
      </c>
      <c r="Q291" s="19">
        <v>6000.0</v>
      </c>
    </row>
    <row r="292">
      <c r="A292" s="18" t="s">
        <v>282</v>
      </c>
      <c r="B292" s="18" t="s">
        <v>44</v>
      </c>
      <c r="C292" s="18" t="s">
        <v>53</v>
      </c>
      <c r="D292" s="18" t="s">
        <v>589</v>
      </c>
      <c r="E292" s="18" t="s">
        <v>590</v>
      </c>
      <c r="F292" s="18" t="s">
        <v>228</v>
      </c>
      <c r="G292" s="18">
        <v>15.63</v>
      </c>
      <c r="H292" s="18" t="s">
        <v>56</v>
      </c>
      <c r="I292" s="19">
        <v>4851.0</v>
      </c>
      <c r="J292" s="19">
        <v>5850.0</v>
      </c>
      <c r="K292" s="19">
        <v>5900.0</v>
      </c>
      <c r="L292" s="18" t="s">
        <v>591</v>
      </c>
      <c r="M292" s="18" t="s">
        <v>592</v>
      </c>
      <c r="N292" s="18" t="s">
        <v>363</v>
      </c>
      <c r="O292" s="18" t="s">
        <v>57</v>
      </c>
      <c r="P292" s="18" t="s">
        <v>63</v>
      </c>
      <c r="Q292" s="19">
        <v>5000.0</v>
      </c>
    </row>
    <row r="293">
      <c r="A293" s="18" t="s">
        <v>35</v>
      </c>
      <c r="B293" s="18" t="s">
        <v>44</v>
      </c>
      <c r="C293" s="18" t="s">
        <v>53</v>
      </c>
      <c r="D293" s="18" t="s">
        <v>223</v>
      </c>
      <c r="E293" s="18" t="s">
        <v>224</v>
      </c>
      <c r="F293" s="18" t="s">
        <v>228</v>
      </c>
      <c r="G293" s="18">
        <v>18.68</v>
      </c>
      <c r="H293" s="18" t="s">
        <v>120</v>
      </c>
      <c r="I293" s="19">
        <v>6230.0</v>
      </c>
      <c r="J293" s="19">
        <v>8450.0</v>
      </c>
      <c r="K293" s="19">
        <v>7500.0</v>
      </c>
      <c r="L293" s="18" t="s">
        <v>3526</v>
      </c>
      <c r="M293" s="18" t="s">
        <v>3527</v>
      </c>
      <c r="N293" s="18" t="s">
        <v>143</v>
      </c>
      <c r="O293" s="18" t="s">
        <v>57</v>
      </c>
      <c r="P293" s="18" t="s">
        <v>42</v>
      </c>
      <c r="Q293" s="19">
        <v>6250.0</v>
      </c>
    </row>
    <row r="294">
      <c r="A294" s="18" t="s">
        <v>35</v>
      </c>
      <c r="B294" s="18" t="s">
        <v>44</v>
      </c>
      <c r="C294" s="18" t="s">
        <v>64</v>
      </c>
      <c r="D294" s="18" t="s">
        <v>593</v>
      </c>
      <c r="E294" s="18" t="s">
        <v>594</v>
      </c>
      <c r="F294" s="18" t="s">
        <v>228</v>
      </c>
      <c r="G294" s="18">
        <v>19.65</v>
      </c>
      <c r="H294" s="18" t="s">
        <v>168</v>
      </c>
      <c r="I294" s="19">
        <v>6648.0</v>
      </c>
      <c r="J294" s="19">
        <v>9000.0</v>
      </c>
      <c r="K294" s="19">
        <v>8000.0</v>
      </c>
      <c r="L294" s="18" t="s">
        <v>595</v>
      </c>
      <c r="M294" s="18" t="s">
        <v>596</v>
      </c>
      <c r="N294" s="18" t="s">
        <v>363</v>
      </c>
      <c r="O294" s="18" t="s">
        <v>41</v>
      </c>
      <c r="P294" s="18" t="s">
        <v>42</v>
      </c>
      <c r="Q294" s="19">
        <v>6650.0</v>
      </c>
    </row>
    <row r="295">
      <c r="A295" s="18" t="s">
        <v>225</v>
      </c>
      <c r="B295" s="18" t="s">
        <v>44</v>
      </c>
      <c r="C295" s="18" t="s">
        <v>64</v>
      </c>
      <c r="D295" s="18" t="s">
        <v>597</v>
      </c>
      <c r="E295" s="18" t="s">
        <v>598</v>
      </c>
      <c r="F295" s="18" t="s">
        <v>228</v>
      </c>
      <c r="G295" s="18">
        <v>18.8</v>
      </c>
      <c r="H295" s="18" t="s">
        <v>120</v>
      </c>
      <c r="I295" s="19">
        <v>6200.0</v>
      </c>
      <c r="J295" s="19">
        <v>8100.0</v>
      </c>
      <c r="K295" s="19">
        <v>7200.0</v>
      </c>
      <c r="L295" s="18" t="s">
        <v>599</v>
      </c>
      <c r="M295" s="18" t="s">
        <v>600</v>
      </c>
      <c r="N295" s="18" t="s">
        <v>316</v>
      </c>
      <c r="O295" s="18" t="s">
        <v>161</v>
      </c>
      <c r="P295" s="18" t="s">
        <v>162</v>
      </c>
      <c r="Q295" s="19">
        <v>6200.0</v>
      </c>
    </row>
    <row r="296">
      <c r="A296" s="18" t="s">
        <v>216</v>
      </c>
      <c r="B296" s="18" t="s">
        <v>45</v>
      </c>
      <c r="C296" s="18" t="s">
        <v>45</v>
      </c>
      <c r="D296" s="18" t="s">
        <v>601</v>
      </c>
      <c r="E296" s="18" t="s">
        <v>602</v>
      </c>
      <c r="F296" s="18" t="s">
        <v>228</v>
      </c>
      <c r="G296" s="18">
        <v>8.65</v>
      </c>
      <c r="H296" s="18" t="s">
        <v>45</v>
      </c>
      <c r="I296" s="19">
        <v>3194.0</v>
      </c>
      <c r="J296" s="19">
        <v>4500.0</v>
      </c>
      <c r="K296" s="19">
        <v>3850.0</v>
      </c>
      <c r="L296" s="18" t="s">
        <v>603</v>
      </c>
      <c r="M296" s="18" t="s">
        <v>604</v>
      </c>
      <c r="N296" s="18" t="s">
        <v>403</v>
      </c>
      <c r="O296" s="18" t="s">
        <v>41</v>
      </c>
      <c r="P296" s="18" t="s">
        <v>42</v>
      </c>
      <c r="Q296" s="19">
        <v>3200.0</v>
      </c>
    </row>
    <row r="297">
      <c r="A297" s="18" t="s">
        <v>191</v>
      </c>
      <c r="B297" s="18" t="s">
        <v>44</v>
      </c>
      <c r="C297" s="18" t="s">
        <v>64</v>
      </c>
      <c r="D297" s="18" t="s">
        <v>605</v>
      </c>
      <c r="E297" s="18" t="s">
        <v>606</v>
      </c>
      <c r="F297" s="18" t="s">
        <v>228</v>
      </c>
      <c r="G297" s="18">
        <v>18.8</v>
      </c>
      <c r="H297" s="18" t="s">
        <v>120</v>
      </c>
      <c r="I297" s="19">
        <v>6200.0</v>
      </c>
      <c r="J297" s="19">
        <v>8100.0</v>
      </c>
      <c r="L297" s="18" t="s">
        <v>607</v>
      </c>
      <c r="M297" s="18" t="s">
        <v>608</v>
      </c>
      <c r="N297" s="18" t="s">
        <v>131</v>
      </c>
      <c r="O297" s="18" t="s">
        <v>57</v>
      </c>
      <c r="P297" s="18" t="s">
        <v>48</v>
      </c>
      <c r="Q297" s="19">
        <v>6386.0</v>
      </c>
    </row>
    <row r="298">
      <c r="A298" s="18" t="s">
        <v>191</v>
      </c>
      <c r="B298" s="18" t="s">
        <v>44</v>
      </c>
      <c r="C298" s="18" t="s">
        <v>37</v>
      </c>
      <c r="D298" s="18" t="s">
        <v>609</v>
      </c>
      <c r="E298" s="18" t="s">
        <v>610</v>
      </c>
      <c r="F298" s="18" t="s">
        <v>228</v>
      </c>
      <c r="G298" s="18">
        <v>50.77</v>
      </c>
      <c r="H298" s="18" t="s">
        <v>168</v>
      </c>
      <c r="I298" s="19">
        <v>8000.0</v>
      </c>
      <c r="J298" s="19">
        <v>10400.0</v>
      </c>
      <c r="L298" s="18" t="s">
        <v>611</v>
      </c>
      <c r="M298" s="18" t="s">
        <v>612</v>
      </c>
      <c r="N298" s="18" t="s">
        <v>316</v>
      </c>
      <c r="O298" s="18" t="s">
        <v>613</v>
      </c>
      <c r="P298" s="18" t="s">
        <v>48</v>
      </c>
      <c r="Q298" s="19">
        <v>8240.0</v>
      </c>
    </row>
    <row r="299">
      <c r="A299" s="18" t="s">
        <v>201</v>
      </c>
      <c r="B299" s="18" t="s">
        <v>44</v>
      </c>
      <c r="C299" s="18" t="s">
        <v>180</v>
      </c>
      <c r="D299" s="18" t="s">
        <v>204</v>
      </c>
      <c r="E299" s="18" t="s">
        <v>205</v>
      </c>
      <c r="F299" s="18" t="s">
        <v>228</v>
      </c>
      <c r="G299" s="18">
        <v>22.69</v>
      </c>
      <c r="H299" s="18" t="s">
        <v>168</v>
      </c>
      <c r="I299" s="19">
        <v>4150.0</v>
      </c>
      <c r="J299" s="19">
        <v>5000.0</v>
      </c>
      <c r="K299" s="19">
        <v>4800.0</v>
      </c>
      <c r="L299" s="18" t="s">
        <v>3528</v>
      </c>
      <c r="M299" s="18" t="s">
        <v>3529</v>
      </c>
      <c r="N299" s="18" t="s">
        <v>363</v>
      </c>
      <c r="O299" s="18" t="s">
        <v>41</v>
      </c>
      <c r="Q299" s="19">
        <v>4150.0</v>
      </c>
    </row>
    <row r="300">
      <c r="A300" s="18" t="s">
        <v>201</v>
      </c>
      <c r="B300" s="18" t="s">
        <v>44</v>
      </c>
      <c r="C300" s="18" t="s">
        <v>151</v>
      </c>
      <c r="D300" s="18" t="s">
        <v>614</v>
      </c>
      <c r="E300" s="18" t="s">
        <v>615</v>
      </c>
      <c r="F300" s="18" t="s">
        <v>228</v>
      </c>
      <c r="G300" s="18">
        <v>24.98</v>
      </c>
      <c r="H300" s="18" t="s">
        <v>168</v>
      </c>
      <c r="I300" s="19">
        <v>4350.0</v>
      </c>
      <c r="J300" s="19">
        <v>5250.0</v>
      </c>
      <c r="K300" s="19">
        <v>5050.0</v>
      </c>
      <c r="L300" s="18" t="s">
        <v>616</v>
      </c>
      <c r="M300" s="18" t="s">
        <v>617</v>
      </c>
      <c r="N300" s="18" t="s">
        <v>240</v>
      </c>
      <c r="O300" s="18" t="s">
        <v>41</v>
      </c>
      <c r="Q300" s="19">
        <v>4500.0</v>
      </c>
    </row>
    <row r="301">
      <c r="A301" s="18" t="s">
        <v>158</v>
      </c>
      <c r="B301" s="18" t="s">
        <v>44</v>
      </c>
      <c r="C301" s="18" t="s">
        <v>64</v>
      </c>
      <c r="D301" s="18" t="s">
        <v>618</v>
      </c>
      <c r="E301" s="18" t="s">
        <v>619</v>
      </c>
      <c r="F301" s="18" t="s">
        <v>228</v>
      </c>
      <c r="G301" s="18">
        <v>18.3</v>
      </c>
      <c r="H301" s="18" t="s">
        <v>120</v>
      </c>
      <c r="I301" s="19">
        <v>5516.0</v>
      </c>
      <c r="J301" s="19">
        <v>5550.0</v>
      </c>
      <c r="K301" s="19">
        <v>6700.0</v>
      </c>
      <c r="L301" s="18" t="s">
        <v>620</v>
      </c>
      <c r="M301" s="18" t="s">
        <v>621</v>
      </c>
      <c r="N301" s="18" t="s">
        <v>240</v>
      </c>
      <c r="O301" s="18" t="s">
        <v>161</v>
      </c>
      <c r="P301" s="18" t="s">
        <v>162</v>
      </c>
      <c r="Q301" s="19">
        <v>5550.0</v>
      </c>
    </row>
    <row r="302">
      <c r="A302" s="18" t="s">
        <v>191</v>
      </c>
      <c r="B302" s="18" t="s">
        <v>44</v>
      </c>
      <c r="C302" s="18" t="s">
        <v>151</v>
      </c>
      <c r="D302" s="18" t="s">
        <v>622</v>
      </c>
      <c r="E302" s="18" t="s">
        <v>623</v>
      </c>
      <c r="F302" s="18" t="s">
        <v>228</v>
      </c>
      <c r="G302" s="18">
        <v>25.37</v>
      </c>
      <c r="H302" s="18" t="s">
        <v>168</v>
      </c>
      <c r="I302" s="19">
        <v>7300.0</v>
      </c>
      <c r="J302" s="19">
        <v>9500.0</v>
      </c>
      <c r="L302" s="18" t="s">
        <v>624</v>
      </c>
      <c r="M302" s="18" t="s">
        <v>625</v>
      </c>
      <c r="N302" s="18" t="s">
        <v>240</v>
      </c>
      <c r="O302" s="18" t="s">
        <v>57</v>
      </c>
      <c r="P302" s="18" t="s">
        <v>48</v>
      </c>
      <c r="Q302" s="19">
        <v>7519.0</v>
      </c>
    </row>
    <row r="303">
      <c r="A303" s="18" t="s">
        <v>216</v>
      </c>
      <c r="B303" s="18" t="s">
        <v>45</v>
      </c>
      <c r="C303" s="18" t="s">
        <v>53</v>
      </c>
      <c r="D303" s="18" t="s">
        <v>626</v>
      </c>
      <c r="E303" s="18" t="s">
        <v>627</v>
      </c>
      <c r="F303" s="18" t="s">
        <v>228</v>
      </c>
      <c r="G303" s="18">
        <v>9.53</v>
      </c>
      <c r="H303" s="18" t="s">
        <v>120</v>
      </c>
      <c r="I303" s="19">
        <v>3750.0</v>
      </c>
      <c r="J303" s="19">
        <v>5250.0</v>
      </c>
      <c r="K303" s="19">
        <v>6600.0</v>
      </c>
      <c r="L303" s="18" t="s">
        <v>628</v>
      </c>
      <c r="M303" s="18" t="s">
        <v>629</v>
      </c>
      <c r="N303" s="18" t="s">
        <v>143</v>
      </c>
      <c r="O303" s="18" t="s">
        <v>57</v>
      </c>
      <c r="P303" s="18" t="s">
        <v>42</v>
      </c>
      <c r="Q303" s="19">
        <v>3200.0</v>
      </c>
    </row>
    <row r="304">
      <c r="A304" s="18" t="s">
        <v>630</v>
      </c>
      <c r="B304" s="18" t="s">
        <v>44</v>
      </c>
      <c r="C304" s="18" t="s">
        <v>133</v>
      </c>
      <c r="D304" s="18" t="s">
        <v>631</v>
      </c>
      <c r="E304" s="18" t="s">
        <v>632</v>
      </c>
      <c r="F304" s="18" t="s">
        <v>228</v>
      </c>
      <c r="G304" s="18">
        <v>12.65</v>
      </c>
      <c r="H304" s="18" t="s">
        <v>56</v>
      </c>
      <c r="I304" s="19">
        <v>4038.0</v>
      </c>
      <c r="J304" s="19">
        <v>4450.0</v>
      </c>
      <c r="K304" s="19">
        <v>4900.0</v>
      </c>
      <c r="L304" s="18" t="s">
        <v>633</v>
      </c>
      <c r="M304" s="18" t="s">
        <v>634</v>
      </c>
      <c r="N304" s="18" t="s">
        <v>240</v>
      </c>
      <c r="O304" s="18" t="s">
        <v>41</v>
      </c>
      <c r="P304" s="18" t="s">
        <v>144</v>
      </c>
      <c r="Q304" s="19">
        <v>2025.0</v>
      </c>
    </row>
    <row r="305">
      <c r="A305" s="18" t="s">
        <v>138</v>
      </c>
      <c r="B305" s="18" t="s">
        <v>44</v>
      </c>
      <c r="C305" s="18" t="s">
        <v>76</v>
      </c>
      <c r="D305" s="18" t="s">
        <v>635</v>
      </c>
      <c r="E305" s="18" t="s">
        <v>636</v>
      </c>
      <c r="F305" s="18" t="s">
        <v>228</v>
      </c>
      <c r="G305" s="18">
        <v>21.21</v>
      </c>
      <c r="H305" s="18" t="s">
        <v>168</v>
      </c>
      <c r="I305" s="19">
        <v>4359.0</v>
      </c>
      <c r="J305" s="19">
        <v>6350.0</v>
      </c>
      <c r="K305" s="19">
        <v>5300.0</v>
      </c>
      <c r="L305" s="18" t="s">
        <v>637</v>
      </c>
      <c r="M305" s="18" t="s">
        <v>638</v>
      </c>
      <c r="N305" s="18" t="s">
        <v>316</v>
      </c>
      <c r="O305" s="18" t="s">
        <v>41</v>
      </c>
      <c r="P305" s="18" t="s">
        <v>144</v>
      </c>
      <c r="Q305" s="19">
        <v>4400.0</v>
      </c>
    </row>
    <row r="306">
      <c r="A306" s="18" t="s">
        <v>630</v>
      </c>
      <c r="B306" s="18" t="s">
        <v>45</v>
      </c>
      <c r="C306" s="18" t="s">
        <v>45</v>
      </c>
      <c r="D306" s="18" t="s">
        <v>639</v>
      </c>
      <c r="E306" s="18" t="s">
        <v>640</v>
      </c>
      <c r="F306" s="18" t="s">
        <v>228</v>
      </c>
      <c r="G306" s="18">
        <v>11.03</v>
      </c>
      <c r="H306" s="18" t="s">
        <v>45</v>
      </c>
      <c r="I306" s="19">
        <v>2125.0</v>
      </c>
      <c r="J306" s="19">
        <v>2350.0</v>
      </c>
      <c r="K306" s="19">
        <v>2600.0</v>
      </c>
      <c r="L306" s="18" t="s">
        <v>641</v>
      </c>
      <c r="M306" s="18" t="s">
        <v>642</v>
      </c>
      <c r="N306" s="18" t="s">
        <v>240</v>
      </c>
      <c r="O306" s="18" t="s">
        <v>83</v>
      </c>
      <c r="P306" s="18" t="s">
        <v>144</v>
      </c>
      <c r="Q306" s="19">
        <v>1270.0</v>
      </c>
    </row>
    <row r="307">
      <c r="A307" s="18" t="s">
        <v>630</v>
      </c>
      <c r="B307" s="18" t="s">
        <v>44</v>
      </c>
      <c r="C307" s="18" t="s">
        <v>133</v>
      </c>
      <c r="D307" s="18" t="s">
        <v>643</v>
      </c>
      <c r="E307" s="18" t="s">
        <v>644</v>
      </c>
      <c r="F307" s="18" t="s">
        <v>228</v>
      </c>
      <c r="G307" s="18">
        <v>12.78</v>
      </c>
      <c r="H307" s="18" t="s">
        <v>56</v>
      </c>
      <c r="I307" s="19">
        <v>4038.0</v>
      </c>
      <c r="J307" s="19">
        <v>4450.0</v>
      </c>
      <c r="K307" s="19">
        <v>4900.0</v>
      </c>
      <c r="L307" s="18" t="s">
        <v>645</v>
      </c>
      <c r="M307" s="18" t="s">
        <v>646</v>
      </c>
      <c r="N307" s="18" t="s">
        <v>240</v>
      </c>
      <c r="O307" s="18" t="s">
        <v>57</v>
      </c>
      <c r="P307" s="18" t="s">
        <v>144</v>
      </c>
      <c r="Q307" s="19">
        <v>2025.0</v>
      </c>
    </row>
    <row r="308">
      <c r="A308" s="18" t="s">
        <v>630</v>
      </c>
      <c r="B308" s="18" t="s">
        <v>44</v>
      </c>
      <c r="C308" s="18" t="s">
        <v>113</v>
      </c>
      <c r="D308" s="18" t="s">
        <v>647</v>
      </c>
      <c r="E308" s="18" t="s">
        <v>648</v>
      </c>
      <c r="F308" s="18" t="s">
        <v>228</v>
      </c>
      <c r="G308" s="18">
        <v>11.13</v>
      </c>
      <c r="H308" s="18" t="s">
        <v>116</v>
      </c>
      <c r="I308" s="19">
        <v>3188.0</v>
      </c>
      <c r="J308" s="19">
        <v>3550.0</v>
      </c>
      <c r="K308" s="19">
        <v>3850.0</v>
      </c>
      <c r="L308" s="18" t="s">
        <v>649</v>
      </c>
      <c r="M308" s="18" t="s">
        <v>650</v>
      </c>
      <c r="N308" s="18" t="s">
        <v>240</v>
      </c>
      <c r="O308" s="18" t="s">
        <v>57</v>
      </c>
      <c r="P308" s="18" t="s">
        <v>144</v>
      </c>
      <c r="Q308" s="19">
        <v>1600.0</v>
      </c>
    </row>
    <row r="309">
      <c r="A309" s="18" t="s">
        <v>35</v>
      </c>
      <c r="B309" s="18" t="s">
        <v>44</v>
      </c>
      <c r="C309" s="18" t="s">
        <v>53</v>
      </c>
      <c r="D309" s="18" t="s">
        <v>651</v>
      </c>
      <c r="E309" s="18" t="s">
        <v>652</v>
      </c>
      <c r="F309" s="18" t="s">
        <v>228</v>
      </c>
      <c r="G309" s="18">
        <v>16.52</v>
      </c>
      <c r="H309" s="18" t="s">
        <v>120</v>
      </c>
      <c r="I309" s="19">
        <v>6230.0</v>
      </c>
      <c r="J309" s="19">
        <v>8450.0</v>
      </c>
      <c r="K309" s="19">
        <v>7500.0</v>
      </c>
      <c r="L309" s="18" t="s">
        <v>653</v>
      </c>
      <c r="M309" s="18" t="s">
        <v>654</v>
      </c>
      <c r="N309" s="18" t="s">
        <v>338</v>
      </c>
      <c r="O309" s="18" t="s">
        <v>57</v>
      </c>
      <c r="P309" s="18" t="s">
        <v>42</v>
      </c>
      <c r="Q309" s="19">
        <v>6643.0</v>
      </c>
    </row>
    <row r="310">
      <c r="A310" s="18" t="s">
        <v>630</v>
      </c>
      <c r="B310" s="18" t="s">
        <v>44</v>
      </c>
      <c r="C310" s="18" t="s">
        <v>64</v>
      </c>
      <c r="D310" s="18" t="s">
        <v>655</v>
      </c>
      <c r="E310" s="18" t="s">
        <v>656</v>
      </c>
      <c r="F310" s="18" t="s">
        <v>228</v>
      </c>
      <c r="G310" s="18">
        <v>21.69</v>
      </c>
      <c r="H310" s="18" t="s">
        <v>168</v>
      </c>
      <c r="I310" s="19">
        <v>5100.0</v>
      </c>
      <c r="J310" s="19">
        <v>5650.0</v>
      </c>
      <c r="K310" s="19">
        <v>6150.0</v>
      </c>
      <c r="L310" s="18" t="s">
        <v>657</v>
      </c>
      <c r="M310" s="18" t="s">
        <v>658</v>
      </c>
      <c r="N310" s="18" t="s">
        <v>240</v>
      </c>
      <c r="O310" s="18" t="s">
        <v>83</v>
      </c>
      <c r="P310" s="18" t="s">
        <v>144</v>
      </c>
      <c r="Q310" s="19">
        <v>2550.0</v>
      </c>
    </row>
    <row r="311">
      <c r="A311" s="18" t="s">
        <v>630</v>
      </c>
      <c r="B311" s="18" t="s">
        <v>44</v>
      </c>
      <c r="C311" s="18" t="s">
        <v>53</v>
      </c>
      <c r="D311" s="18" t="s">
        <v>659</v>
      </c>
      <c r="E311" s="18" t="s">
        <v>660</v>
      </c>
      <c r="F311" s="18" t="s">
        <v>228</v>
      </c>
      <c r="G311" s="18">
        <v>16.27</v>
      </c>
      <c r="H311" s="18" t="s">
        <v>120</v>
      </c>
      <c r="I311" s="19">
        <v>4463.0</v>
      </c>
      <c r="J311" s="19">
        <v>4950.0</v>
      </c>
      <c r="K311" s="19">
        <v>5400.0</v>
      </c>
      <c r="L311" s="18" t="s">
        <v>661</v>
      </c>
      <c r="M311" s="18" t="s">
        <v>662</v>
      </c>
      <c r="N311" s="18" t="s">
        <v>240</v>
      </c>
      <c r="O311" s="18" t="s">
        <v>57</v>
      </c>
      <c r="P311" s="18" t="s">
        <v>144</v>
      </c>
      <c r="Q311" s="19">
        <v>2250.0</v>
      </c>
    </row>
    <row r="312">
      <c r="A312" s="18" t="s">
        <v>630</v>
      </c>
      <c r="B312" s="18" t="s">
        <v>45</v>
      </c>
      <c r="C312" s="18" t="s">
        <v>45</v>
      </c>
      <c r="D312" s="18" t="s">
        <v>663</v>
      </c>
      <c r="E312" s="18" t="s">
        <v>664</v>
      </c>
      <c r="F312" s="18" t="s">
        <v>228</v>
      </c>
      <c r="G312" s="18">
        <v>10.74</v>
      </c>
      <c r="H312" s="18" t="s">
        <v>45</v>
      </c>
      <c r="I312" s="19">
        <v>2125.0</v>
      </c>
      <c r="J312" s="19">
        <v>2350.0</v>
      </c>
      <c r="K312" s="19">
        <v>2600.0</v>
      </c>
      <c r="L312" s="18" t="s">
        <v>665</v>
      </c>
      <c r="M312" s="18" t="s">
        <v>666</v>
      </c>
      <c r="N312" s="18" t="s">
        <v>240</v>
      </c>
      <c r="O312" s="18" t="s">
        <v>41</v>
      </c>
      <c r="P312" s="18" t="s">
        <v>144</v>
      </c>
      <c r="Q312" s="19">
        <v>1270.0</v>
      </c>
    </row>
    <row r="313">
      <c r="A313" s="18" t="s">
        <v>630</v>
      </c>
      <c r="B313" s="18" t="s">
        <v>44</v>
      </c>
      <c r="C313" s="18" t="s">
        <v>64</v>
      </c>
      <c r="D313" s="18" t="s">
        <v>667</v>
      </c>
      <c r="E313" s="18" t="s">
        <v>668</v>
      </c>
      <c r="F313" s="18" t="s">
        <v>228</v>
      </c>
      <c r="G313" s="18">
        <v>19.12</v>
      </c>
      <c r="H313" s="18" t="s">
        <v>120</v>
      </c>
      <c r="I313" s="19">
        <v>5100.0</v>
      </c>
      <c r="J313" s="19">
        <v>5650.0</v>
      </c>
      <c r="K313" s="19">
        <v>6150.0</v>
      </c>
      <c r="L313" s="18" t="s">
        <v>669</v>
      </c>
      <c r="M313" s="18" t="s">
        <v>670</v>
      </c>
      <c r="N313" s="18" t="s">
        <v>240</v>
      </c>
      <c r="O313" s="18" t="s">
        <v>83</v>
      </c>
      <c r="P313" s="18" t="s">
        <v>144</v>
      </c>
      <c r="Q313" s="19">
        <v>2550.0</v>
      </c>
    </row>
    <row r="314">
      <c r="A314" s="18" t="s">
        <v>630</v>
      </c>
      <c r="B314" s="18" t="s">
        <v>44</v>
      </c>
      <c r="C314" s="18" t="s">
        <v>53</v>
      </c>
      <c r="D314" s="18" t="s">
        <v>671</v>
      </c>
      <c r="E314" s="18" t="s">
        <v>672</v>
      </c>
      <c r="F314" s="18" t="s">
        <v>228</v>
      </c>
      <c r="G314" s="18">
        <v>17.17</v>
      </c>
      <c r="H314" s="18" t="s">
        <v>120</v>
      </c>
      <c r="I314" s="19">
        <v>4463.0</v>
      </c>
      <c r="J314" s="19">
        <v>4950.0</v>
      </c>
      <c r="K314" s="19">
        <v>5400.0</v>
      </c>
      <c r="L314" s="18" t="s">
        <v>673</v>
      </c>
      <c r="M314" s="18" t="s">
        <v>674</v>
      </c>
      <c r="N314" s="18" t="s">
        <v>240</v>
      </c>
      <c r="O314" s="18" t="s">
        <v>41</v>
      </c>
      <c r="P314" s="18" t="s">
        <v>144</v>
      </c>
      <c r="Q314" s="19">
        <v>2250.0</v>
      </c>
    </row>
    <row r="315">
      <c r="A315" s="18" t="s">
        <v>630</v>
      </c>
      <c r="B315" s="18" t="s">
        <v>45</v>
      </c>
      <c r="C315" s="18" t="s">
        <v>45</v>
      </c>
      <c r="D315" s="18" t="s">
        <v>675</v>
      </c>
      <c r="E315" s="18" t="s">
        <v>676</v>
      </c>
      <c r="F315" s="18" t="s">
        <v>228</v>
      </c>
      <c r="G315" s="18">
        <v>11.29</v>
      </c>
      <c r="H315" s="18" t="s">
        <v>45</v>
      </c>
      <c r="I315" s="19">
        <v>2125.0</v>
      </c>
      <c r="J315" s="19">
        <v>2350.0</v>
      </c>
      <c r="K315" s="19">
        <v>2600.0</v>
      </c>
      <c r="L315" s="18" t="s">
        <v>677</v>
      </c>
      <c r="M315" s="18" t="s">
        <v>678</v>
      </c>
      <c r="N315" s="18" t="s">
        <v>240</v>
      </c>
      <c r="O315" s="18" t="s">
        <v>41</v>
      </c>
      <c r="P315" s="18" t="s">
        <v>144</v>
      </c>
      <c r="Q315" s="19">
        <v>1270.0</v>
      </c>
    </row>
    <row r="316">
      <c r="A316" s="18" t="s">
        <v>630</v>
      </c>
      <c r="B316" s="18" t="s">
        <v>44</v>
      </c>
      <c r="C316" s="18" t="s">
        <v>133</v>
      </c>
      <c r="D316" s="18" t="s">
        <v>679</v>
      </c>
      <c r="E316" s="18" t="s">
        <v>680</v>
      </c>
      <c r="F316" s="18" t="s">
        <v>228</v>
      </c>
      <c r="G316" s="18">
        <v>13.93</v>
      </c>
      <c r="H316" s="18" t="s">
        <v>168</v>
      </c>
      <c r="I316" s="19">
        <v>4750.0</v>
      </c>
      <c r="J316" s="19">
        <v>5250.0</v>
      </c>
      <c r="K316" s="19">
        <v>6150.0</v>
      </c>
      <c r="L316" s="18" t="s">
        <v>681</v>
      </c>
      <c r="M316" s="18" t="s">
        <v>682</v>
      </c>
      <c r="N316" s="18" t="s">
        <v>240</v>
      </c>
      <c r="O316" s="18" t="s">
        <v>57</v>
      </c>
      <c r="P316" s="18" t="s">
        <v>144</v>
      </c>
      <c r="Q316" s="19">
        <v>2550.0</v>
      </c>
    </row>
    <row r="317">
      <c r="A317" s="18" t="s">
        <v>630</v>
      </c>
      <c r="B317" s="18" t="s">
        <v>45</v>
      </c>
      <c r="C317" s="18" t="s">
        <v>45</v>
      </c>
      <c r="D317" s="18" t="s">
        <v>683</v>
      </c>
      <c r="E317" s="18" t="s">
        <v>684</v>
      </c>
      <c r="F317" s="18" t="s">
        <v>228</v>
      </c>
      <c r="G317" s="18">
        <v>12.01</v>
      </c>
      <c r="H317" s="18" t="s">
        <v>45</v>
      </c>
      <c r="I317" s="19">
        <v>2125.0</v>
      </c>
      <c r="J317" s="19">
        <v>2350.0</v>
      </c>
      <c r="K317" s="19">
        <v>2600.0</v>
      </c>
      <c r="L317" s="18" t="s">
        <v>685</v>
      </c>
      <c r="M317" s="18" t="s">
        <v>686</v>
      </c>
      <c r="N317" s="18" t="s">
        <v>240</v>
      </c>
      <c r="O317" s="18" t="s">
        <v>41</v>
      </c>
      <c r="P317" s="18" t="s">
        <v>144</v>
      </c>
      <c r="Q317" s="19">
        <v>1270.0</v>
      </c>
    </row>
    <row r="318">
      <c r="A318" s="18" t="s">
        <v>630</v>
      </c>
      <c r="B318" s="18" t="s">
        <v>45</v>
      </c>
      <c r="C318" s="18" t="s">
        <v>45</v>
      </c>
      <c r="D318" s="18" t="s">
        <v>687</v>
      </c>
      <c r="E318" s="18" t="s">
        <v>688</v>
      </c>
      <c r="F318" s="18" t="s">
        <v>228</v>
      </c>
      <c r="G318" s="18">
        <v>12.21</v>
      </c>
      <c r="H318" s="18" t="s">
        <v>45</v>
      </c>
      <c r="I318" s="19">
        <v>2125.0</v>
      </c>
      <c r="J318" s="19">
        <v>2350.0</v>
      </c>
      <c r="K318" s="19">
        <v>2600.0</v>
      </c>
      <c r="L318" s="18" t="s">
        <v>689</v>
      </c>
      <c r="M318" s="18" t="s">
        <v>690</v>
      </c>
      <c r="N318" s="18" t="s">
        <v>240</v>
      </c>
      <c r="O318" s="18" t="s">
        <v>41</v>
      </c>
      <c r="P318" s="18" t="s">
        <v>144</v>
      </c>
      <c r="Q318" s="19">
        <v>1270.0</v>
      </c>
    </row>
    <row r="319">
      <c r="A319" s="18" t="s">
        <v>630</v>
      </c>
      <c r="B319" s="18" t="s">
        <v>44</v>
      </c>
      <c r="C319" s="18" t="s">
        <v>53</v>
      </c>
      <c r="D319" s="18" t="s">
        <v>691</v>
      </c>
      <c r="E319" s="18" t="s">
        <v>692</v>
      </c>
      <c r="F319" s="18" t="s">
        <v>228</v>
      </c>
      <c r="G319" s="18">
        <v>16.54</v>
      </c>
      <c r="H319" s="18" t="s">
        <v>120</v>
      </c>
      <c r="I319" s="19">
        <v>4463.0</v>
      </c>
      <c r="J319" s="19">
        <v>4950.0</v>
      </c>
      <c r="K319" s="19">
        <v>5400.0</v>
      </c>
      <c r="L319" s="18" t="s">
        <v>693</v>
      </c>
      <c r="M319" s="18" t="s">
        <v>694</v>
      </c>
      <c r="N319" s="18" t="s">
        <v>240</v>
      </c>
      <c r="O319" s="18" t="s">
        <v>41</v>
      </c>
      <c r="P319" s="18" t="s">
        <v>144</v>
      </c>
      <c r="Q319" s="19">
        <v>2250.0</v>
      </c>
    </row>
    <row r="320">
      <c r="A320" s="18" t="s">
        <v>630</v>
      </c>
      <c r="B320" s="18" t="s">
        <v>44</v>
      </c>
      <c r="C320" s="18" t="s">
        <v>53</v>
      </c>
      <c r="D320" s="18" t="s">
        <v>695</v>
      </c>
      <c r="E320" s="18" t="s">
        <v>696</v>
      </c>
      <c r="F320" s="18" t="s">
        <v>228</v>
      </c>
      <c r="G320" s="18">
        <v>18.98</v>
      </c>
      <c r="H320" s="18" t="s">
        <v>120</v>
      </c>
      <c r="I320" s="19">
        <v>4463.0</v>
      </c>
      <c r="J320" s="19">
        <v>4950.0</v>
      </c>
      <c r="K320" s="19">
        <v>5400.0</v>
      </c>
      <c r="L320" s="18" t="s">
        <v>697</v>
      </c>
      <c r="M320" s="18" t="s">
        <v>698</v>
      </c>
      <c r="N320" s="18" t="s">
        <v>240</v>
      </c>
      <c r="O320" s="18" t="s">
        <v>57</v>
      </c>
      <c r="P320" s="18" t="s">
        <v>144</v>
      </c>
      <c r="Q320" s="19">
        <v>1964.0</v>
      </c>
    </row>
    <row r="321">
      <c r="A321" s="18" t="s">
        <v>630</v>
      </c>
      <c r="B321" s="18" t="s">
        <v>44</v>
      </c>
      <c r="C321" s="18" t="s">
        <v>133</v>
      </c>
      <c r="D321" s="18" t="s">
        <v>699</v>
      </c>
      <c r="E321" s="18" t="s">
        <v>700</v>
      </c>
      <c r="F321" s="18" t="s">
        <v>228</v>
      </c>
      <c r="G321" s="18">
        <v>12.06</v>
      </c>
      <c r="H321" s="18" t="s">
        <v>56</v>
      </c>
      <c r="I321" s="19">
        <v>4038.0</v>
      </c>
      <c r="J321" s="19">
        <v>4450.0</v>
      </c>
      <c r="K321" s="19">
        <v>4900.0</v>
      </c>
      <c r="L321" s="18" t="s">
        <v>701</v>
      </c>
      <c r="M321" s="18" t="s">
        <v>702</v>
      </c>
      <c r="N321" s="18" t="s">
        <v>240</v>
      </c>
      <c r="O321" s="18" t="s">
        <v>57</v>
      </c>
      <c r="P321" s="18" t="s">
        <v>144</v>
      </c>
      <c r="Q321" s="19">
        <v>2025.0</v>
      </c>
    </row>
    <row r="322">
      <c r="A322" s="18" t="s">
        <v>630</v>
      </c>
      <c r="B322" s="18" t="s">
        <v>44</v>
      </c>
      <c r="C322" s="18" t="s">
        <v>133</v>
      </c>
      <c r="D322" s="18" t="s">
        <v>703</v>
      </c>
      <c r="E322" s="18" t="s">
        <v>704</v>
      </c>
      <c r="F322" s="18" t="s">
        <v>228</v>
      </c>
      <c r="G322" s="18">
        <v>14.21</v>
      </c>
      <c r="H322" s="18" t="s">
        <v>56</v>
      </c>
      <c r="I322" s="19">
        <v>4038.0</v>
      </c>
      <c r="J322" s="19">
        <v>4450.0</v>
      </c>
      <c r="K322" s="19">
        <v>4900.0</v>
      </c>
      <c r="L322" s="18" t="s">
        <v>705</v>
      </c>
      <c r="M322" s="18" t="s">
        <v>706</v>
      </c>
      <c r="N322" s="18" t="s">
        <v>240</v>
      </c>
      <c r="O322" s="18" t="s">
        <v>57</v>
      </c>
      <c r="P322" s="18" t="s">
        <v>144</v>
      </c>
      <c r="Q322" s="19">
        <v>2025.0</v>
      </c>
    </row>
    <row r="323">
      <c r="A323" s="18" t="s">
        <v>630</v>
      </c>
      <c r="B323" s="18" t="s">
        <v>44</v>
      </c>
      <c r="C323" s="18" t="s">
        <v>133</v>
      </c>
      <c r="D323" s="18" t="s">
        <v>707</v>
      </c>
      <c r="E323" s="18" t="s">
        <v>708</v>
      </c>
      <c r="F323" s="18" t="s">
        <v>228</v>
      </c>
      <c r="G323" s="18">
        <v>15.84</v>
      </c>
      <c r="H323" s="18" t="s">
        <v>56</v>
      </c>
      <c r="I323" s="19">
        <v>4463.0</v>
      </c>
      <c r="J323" s="19">
        <v>4950.0</v>
      </c>
      <c r="K323" s="19">
        <v>5400.0</v>
      </c>
      <c r="L323" s="18" t="s">
        <v>709</v>
      </c>
      <c r="M323" s="18" t="s">
        <v>710</v>
      </c>
      <c r="N323" s="18" t="s">
        <v>240</v>
      </c>
      <c r="O323" s="18" t="s">
        <v>57</v>
      </c>
      <c r="P323" s="18" t="s">
        <v>144</v>
      </c>
      <c r="Q323" s="19">
        <v>2250.0</v>
      </c>
    </row>
    <row r="324">
      <c r="A324" s="18" t="s">
        <v>630</v>
      </c>
      <c r="B324" s="18" t="s">
        <v>44</v>
      </c>
      <c r="C324" s="18" t="s">
        <v>53</v>
      </c>
      <c r="D324" s="18" t="s">
        <v>711</v>
      </c>
      <c r="E324" s="18" t="s">
        <v>712</v>
      </c>
      <c r="F324" s="18" t="s">
        <v>228</v>
      </c>
      <c r="G324" s="18">
        <v>18.53</v>
      </c>
      <c r="H324" s="18" t="s">
        <v>120</v>
      </c>
      <c r="I324" s="19">
        <v>4463.0</v>
      </c>
      <c r="J324" s="19">
        <v>4950.0</v>
      </c>
      <c r="K324" s="19">
        <v>5400.0</v>
      </c>
      <c r="L324" s="18" t="s">
        <v>713</v>
      </c>
      <c r="M324" s="18" t="s">
        <v>714</v>
      </c>
      <c r="N324" s="18" t="s">
        <v>240</v>
      </c>
      <c r="O324" s="18" t="s">
        <v>83</v>
      </c>
      <c r="P324" s="18" t="s">
        <v>144</v>
      </c>
      <c r="Q324" s="19">
        <v>2250.0</v>
      </c>
    </row>
    <row r="325">
      <c r="A325" s="18" t="s">
        <v>630</v>
      </c>
      <c r="B325" s="18" t="s">
        <v>44</v>
      </c>
      <c r="C325" s="18" t="s">
        <v>133</v>
      </c>
      <c r="D325" s="18" t="s">
        <v>715</v>
      </c>
      <c r="E325" s="18" t="s">
        <v>716</v>
      </c>
      <c r="F325" s="18" t="s">
        <v>228</v>
      </c>
      <c r="G325" s="18">
        <v>12.38</v>
      </c>
      <c r="H325" s="18" t="s">
        <v>56</v>
      </c>
      <c r="I325" s="19">
        <v>4038.0</v>
      </c>
      <c r="J325" s="19">
        <v>4450.0</v>
      </c>
      <c r="K325" s="19">
        <v>4900.0</v>
      </c>
      <c r="L325" s="18" t="s">
        <v>717</v>
      </c>
      <c r="M325" s="18" t="s">
        <v>718</v>
      </c>
      <c r="N325" s="18" t="s">
        <v>240</v>
      </c>
      <c r="O325" s="18" t="s">
        <v>57</v>
      </c>
      <c r="P325" s="18" t="s">
        <v>144</v>
      </c>
      <c r="Q325" s="19">
        <v>2025.0</v>
      </c>
    </row>
    <row r="326">
      <c r="A326" s="18" t="s">
        <v>630</v>
      </c>
      <c r="B326" s="18" t="s">
        <v>44</v>
      </c>
      <c r="C326" s="18" t="s">
        <v>133</v>
      </c>
      <c r="D326" s="18" t="s">
        <v>719</v>
      </c>
      <c r="E326" s="18" t="s">
        <v>720</v>
      </c>
      <c r="F326" s="18" t="s">
        <v>228</v>
      </c>
      <c r="G326" s="18">
        <v>12.51</v>
      </c>
      <c r="H326" s="18" t="s">
        <v>56</v>
      </c>
      <c r="I326" s="19">
        <v>4038.0</v>
      </c>
      <c r="J326" s="19">
        <v>4450.0</v>
      </c>
      <c r="K326" s="19">
        <v>4900.0</v>
      </c>
      <c r="L326" s="18" t="s">
        <v>721</v>
      </c>
      <c r="M326" s="18" t="s">
        <v>722</v>
      </c>
      <c r="N326" s="18" t="s">
        <v>240</v>
      </c>
      <c r="O326" s="18" t="s">
        <v>57</v>
      </c>
      <c r="P326" s="18" t="s">
        <v>144</v>
      </c>
      <c r="Q326" s="19">
        <v>2025.0</v>
      </c>
    </row>
    <row r="327">
      <c r="A327" s="18" t="s">
        <v>148</v>
      </c>
      <c r="B327" s="18" t="s">
        <v>44</v>
      </c>
      <c r="C327" s="18" t="s">
        <v>76</v>
      </c>
      <c r="D327" s="18" t="s">
        <v>723</v>
      </c>
      <c r="E327" s="18" t="s">
        <v>724</v>
      </c>
      <c r="F327" s="18" t="s">
        <v>228</v>
      </c>
      <c r="G327" s="18">
        <v>20.8</v>
      </c>
      <c r="H327" s="18" t="s">
        <v>56</v>
      </c>
      <c r="I327" s="19">
        <v>7514.0</v>
      </c>
      <c r="J327" s="19">
        <v>7550.0</v>
      </c>
      <c r="K327" s="19">
        <v>9100.0</v>
      </c>
      <c r="L327" s="18" t="s">
        <v>725</v>
      </c>
      <c r="M327" s="18" t="s">
        <v>726</v>
      </c>
      <c r="N327" s="18" t="s">
        <v>338</v>
      </c>
      <c r="O327" s="18" t="s">
        <v>57</v>
      </c>
      <c r="P327" s="18" t="s">
        <v>48</v>
      </c>
      <c r="Q327" s="19">
        <v>7776.0</v>
      </c>
    </row>
    <row r="328">
      <c r="A328" s="18" t="s">
        <v>364</v>
      </c>
      <c r="B328" s="18" t="s">
        <v>45</v>
      </c>
      <c r="C328" s="18" t="s">
        <v>45</v>
      </c>
      <c r="D328" s="18" t="s">
        <v>727</v>
      </c>
      <c r="E328" s="18" t="s">
        <v>728</v>
      </c>
      <c r="F328" s="18" t="s">
        <v>228</v>
      </c>
      <c r="G328" s="18">
        <v>12.22</v>
      </c>
      <c r="H328" s="18" t="s">
        <v>45</v>
      </c>
      <c r="I328" s="19">
        <v>2100.0</v>
      </c>
      <c r="J328" s="19">
        <v>1700.0</v>
      </c>
      <c r="K328" s="19">
        <v>2400.0</v>
      </c>
      <c r="L328" s="18" t="s">
        <v>729</v>
      </c>
      <c r="M328" s="18" t="s">
        <v>600</v>
      </c>
      <c r="N328" s="18" t="s">
        <v>316</v>
      </c>
      <c r="O328" s="18" t="s">
        <v>117</v>
      </c>
      <c r="P328" s="18" t="s">
        <v>369</v>
      </c>
      <c r="Q328" s="19">
        <v>2060.0</v>
      </c>
    </row>
    <row r="329">
      <c r="A329" s="18" t="s">
        <v>171</v>
      </c>
      <c r="B329" s="18" t="s">
        <v>45</v>
      </c>
      <c r="C329" s="18" t="s">
        <v>45</v>
      </c>
      <c r="D329" s="18" t="s">
        <v>730</v>
      </c>
      <c r="E329" s="18" t="s">
        <v>731</v>
      </c>
      <c r="F329" s="18" t="s">
        <v>228</v>
      </c>
      <c r="G329" s="18">
        <v>14.72</v>
      </c>
      <c r="H329" s="18" t="s">
        <v>45</v>
      </c>
      <c r="I329" s="19">
        <v>2490.0</v>
      </c>
      <c r="J329" s="19">
        <v>2900.0</v>
      </c>
      <c r="K329" s="19">
        <v>2400.0</v>
      </c>
      <c r="L329" s="18" t="s">
        <v>732</v>
      </c>
      <c r="M329" s="18" t="s">
        <v>733</v>
      </c>
      <c r="N329" s="18" t="s">
        <v>403</v>
      </c>
      <c r="O329" s="18" t="s">
        <v>198</v>
      </c>
      <c r="Q329" s="19">
        <v>2060.0</v>
      </c>
    </row>
    <row r="330">
      <c r="A330" s="18" t="s">
        <v>154</v>
      </c>
      <c r="B330" s="18" t="s">
        <v>44</v>
      </c>
      <c r="C330" s="18" t="s">
        <v>180</v>
      </c>
      <c r="D330" s="18" t="s">
        <v>181</v>
      </c>
      <c r="E330" s="18" t="s">
        <v>182</v>
      </c>
      <c r="F330" s="18" t="s">
        <v>228</v>
      </c>
      <c r="G330" s="18">
        <v>22.0</v>
      </c>
      <c r="H330" s="18" t="s">
        <v>56</v>
      </c>
      <c r="I330" s="19">
        <v>6090.0</v>
      </c>
      <c r="J330" s="19">
        <v>8550.0</v>
      </c>
      <c r="K330" s="19">
        <v>7350.0</v>
      </c>
      <c r="L330" s="18" t="s">
        <v>3530</v>
      </c>
      <c r="M330" s="18" t="s">
        <v>3531</v>
      </c>
      <c r="N330" s="18" t="s">
        <v>363</v>
      </c>
      <c r="O330" s="18" t="s">
        <v>151</v>
      </c>
      <c r="P330" s="18" t="s">
        <v>157</v>
      </c>
      <c r="Q330" s="19">
        <v>6300.0</v>
      </c>
    </row>
    <row r="331">
      <c r="A331" s="18" t="s">
        <v>364</v>
      </c>
      <c r="B331" s="18" t="s">
        <v>44</v>
      </c>
      <c r="C331" s="18" t="s">
        <v>76</v>
      </c>
      <c r="D331" s="18" t="s">
        <v>2441</v>
      </c>
      <c r="E331" s="18" t="s">
        <v>2442</v>
      </c>
      <c r="F331" s="18" t="s">
        <v>228</v>
      </c>
      <c r="G331" s="18">
        <v>19.53</v>
      </c>
      <c r="H331" s="18" t="s">
        <v>120</v>
      </c>
      <c r="I331" s="19">
        <v>5100.0</v>
      </c>
      <c r="J331" s="19">
        <v>4100.0</v>
      </c>
      <c r="K331" s="19">
        <v>5950.0</v>
      </c>
      <c r="L331" s="18" t="s">
        <v>3532</v>
      </c>
      <c r="M331" s="18" t="s">
        <v>3533</v>
      </c>
      <c r="N331" s="18" t="s">
        <v>240</v>
      </c>
      <c r="O331" s="18" t="s">
        <v>117</v>
      </c>
      <c r="P331" s="18" t="s">
        <v>369</v>
      </c>
      <c r="Q331" s="19">
        <v>4480.0</v>
      </c>
    </row>
    <row r="332">
      <c r="A332" s="18" t="s">
        <v>132</v>
      </c>
      <c r="B332" s="18" t="s">
        <v>44</v>
      </c>
      <c r="C332" s="18" t="s">
        <v>133</v>
      </c>
      <c r="D332" s="18" t="s">
        <v>734</v>
      </c>
      <c r="E332" s="18" t="s">
        <v>735</v>
      </c>
      <c r="F332" s="18" t="s">
        <v>228</v>
      </c>
      <c r="G332" s="18">
        <v>14.9</v>
      </c>
      <c r="H332" s="18" t="s">
        <v>62</v>
      </c>
      <c r="I332" s="19">
        <v>2975.44</v>
      </c>
      <c r="J332" s="19">
        <v>2400.0</v>
      </c>
      <c r="K332" s="19">
        <v>4500.0</v>
      </c>
      <c r="L332" s="18" t="s">
        <v>736</v>
      </c>
      <c r="M332" s="18" t="s">
        <v>737</v>
      </c>
      <c r="N332" s="18" t="s">
        <v>363</v>
      </c>
      <c r="O332" s="18" t="s">
        <v>41</v>
      </c>
      <c r="Q332" s="19">
        <v>2472.0</v>
      </c>
    </row>
    <row r="333">
      <c r="A333" s="18" t="s">
        <v>138</v>
      </c>
      <c r="B333" s="18" t="s">
        <v>45</v>
      </c>
      <c r="C333" s="18" t="s">
        <v>45</v>
      </c>
      <c r="D333" s="18" t="s">
        <v>738</v>
      </c>
      <c r="E333" s="18" t="s">
        <v>739</v>
      </c>
      <c r="F333" s="18" t="s">
        <v>228</v>
      </c>
      <c r="G333" s="18">
        <v>12.54</v>
      </c>
      <c r="H333" s="18" t="s">
        <v>45</v>
      </c>
      <c r="I333" s="19">
        <v>1652.0</v>
      </c>
      <c r="J333" s="19">
        <v>2400.0</v>
      </c>
      <c r="K333" s="19">
        <v>2050.0</v>
      </c>
      <c r="L333" s="18" t="s">
        <v>740</v>
      </c>
      <c r="M333" s="18" t="s">
        <v>741</v>
      </c>
      <c r="N333" s="18" t="s">
        <v>742</v>
      </c>
      <c r="O333" s="18" t="s">
        <v>83</v>
      </c>
      <c r="P333" s="18" t="s">
        <v>144</v>
      </c>
      <c r="Q333" s="19">
        <v>1751.0</v>
      </c>
    </row>
    <row r="334">
      <c r="A334" s="18" t="s">
        <v>171</v>
      </c>
      <c r="B334" s="18" t="s">
        <v>44</v>
      </c>
      <c r="C334" s="18" t="s">
        <v>53</v>
      </c>
      <c r="D334" s="18" t="s">
        <v>743</v>
      </c>
      <c r="E334" s="18" t="s">
        <v>744</v>
      </c>
      <c r="F334" s="18" t="s">
        <v>228</v>
      </c>
      <c r="G334" s="18">
        <v>16.88</v>
      </c>
      <c r="H334" s="18" t="s">
        <v>56</v>
      </c>
      <c r="I334" s="19">
        <v>4250.0</v>
      </c>
      <c r="J334" s="19">
        <v>4900.0</v>
      </c>
      <c r="K334" s="19">
        <v>5100.0</v>
      </c>
      <c r="L334" s="18" t="s">
        <v>745</v>
      </c>
      <c r="M334" s="18" t="s">
        <v>746</v>
      </c>
      <c r="N334" s="18" t="s">
        <v>363</v>
      </c>
      <c r="O334" s="18" t="s">
        <v>117</v>
      </c>
      <c r="Q334" s="19">
        <v>4377.0</v>
      </c>
    </row>
    <row r="335">
      <c r="A335" s="18" t="s">
        <v>158</v>
      </c>
      <c r="B335" s="18" t="s">
        <v>44</v>
      </c>
      <c r="C335" s="18" t="s">
        <v>53</v>
      </c>
      <c r="D335" s="18" t="s">
        <v>747</v>
      </c>
      <c r="E335" s="18" t="s">
        <v>748</v>
      </c>
      <c r="F335" s="18" t="s">
        <v>228</v>
      </c>
      <c r="G335" s="18">
        <v>16.75</v>
      </c>
      <c r="H335" s="18" t="s">
        <v>120</v>
      </c>
      <c r="I335" s="19">
        <v>5091.0</v>
      </c>
      <c r="J335" s="19">
        <v>5100.0</v>
      </c>
      <c r="K335" s="19">
        <v>6150.0</v>
      </c>
      <c r="L335" s="18" t="s">
        <v>749</v>
      </c>
      <c r="M335" s="18" t="s">
        <v>750</v>
      </c>
      <c r="N335" s="18" t="s">
        <v>338</v>
      </c>
      <c r="O335" s="18" t="s">
        <v>41</v>
      </c>
      <c r="P335" s="18" t="s">
        <v>162</v>
      </c>
      <c r="Q335" s="19">
        <v>5253.0</v>
      </c>
    </row>
    <row r="336">
      <c r="A336" s="18" t="s">
        <v>210</v>
      </c>
      <c r="B336" s="18" t="s">
        <v>44</v>
      </c>
      <c r="C336" s="18" t="s">
        <v>151</v>
      </c>
      <c r="D336" s="18" t="s">
        <v>751</v>
      </c>
      <c r="E336" s="18" t="s">
        <v>752</v>
      </c>
      <c r="F336" s="18" t="s">
        <v>228</v>
      </c>
      <c r="G336" s="18">
        <v>26.23</v>
      </c>
      <c r="H336" s="18" t="s">
        <v>168</v>
      </c>
      <c r="I336" s="19">
        <v>7250.0</v>
      </c>
      <c r="J336" s="19">
        <v>9450.0</v>
      </c>
      <c r="K336" s="19">
        <v>8700.0</v>
      </c>
      <c r="L336" s="18" t="s">
        <v>753</v>
      </c>
      <c r="M336" s="18" t="s">
        <v>754</v>
      </c>
      <c r="N336" s="18" t="s">
        <v>363</v>
      </c>
      <c r="O336" s="18" t="s">
        <v>57</v>
      </c>
      <c r="P336" s="18" t="s">
        <v>63</v>
      </c>
      <c r="Q336" s="19">
        <v>7467.0</v>
      </c>
    </row>
    <row r="337">
      <c r="A337" s="18" t="s">
        <v>191</v>
      </c>
      <c r="B337" s="18" t="s">
        <v>44</v>
      </c>
      <c r="C337" s="18" t="s">
        <v>37</v>
      </c>
      <c r="D337" s="18" t="s">
        <v>755</v>
      </c>
      <c r="E337" s="18" t="s">
        <v>756</v>
      </c>
      <c r="F337" s="18" t="s">
        <v>228</v>
      </c>
      <c r="G337" s="18">
        <v>51.42</v>
      </c>
      <c r="H337" s="18" t="s">
        <v>168</v>
      </c>
      <c r="I337" s="19">
        <v>8000.0</v>
      </c>
      <c r="J337" s="19">
        <v>10400.0</v>
      </c>
      <c r="L337" s="18" t="s">
        <v>757</v>
      </c>
      <c r="M337" s="18" t="s">
        <v>758</v>
      </c>
      <c r="N337" s="18" t="s">
        <v>316</v>
      </c>
      <c r="O337" s="18" t="s">
        <v>613</v>
      </c>
      <c r="P337" s="18" t="s">
        <v>48</v>
      </c>
      <c r="Q337" s="19">
        <v>9064.0</v>
      </c>
    </row>
    <row r="338">
      <c r="A338" s="18" t="s">
        <v>148</v>
      </c>
      <c r="B338" s="18" t="s">
        <v>44</v>
      </c>
      <c r="C338" s="18" t="s">
        <v>76</v>
      </c>
      <c r="D338" s="18" t="s">
        <v>759</v>
      </c>
      <c r="E338" s="18" t="s">
        <v>760</v>
      </c>
      <c r="F338" s="18" t="s">
        <v>228</v>
      </c>
      <c r="G338" s="18">
        <v>20.0</v>
      </c>
      <c r="H338" s="18" t="s">
        <v>56</v>
      </c>
      <c r="I338" s="19">
        <v>7514.0</v>
      </c>
      <c r="J338" s="19">
        <v>7550.0</v>
      </c>
      <c r="K338" s="19">
        <v>9100.0</v>
      </c>
      <c r="L338" s="18" t="s">
        <v>761</v>
      </c>
      <c r="M338" s="18" t="s">
        <v>762</v>
      </c>
      <c r="N338" s="18" t="s">
        <v>763</v>
      </c>
      <c r="O338" s="18" t="s">
        <v>57</v>
      </c>
      <c r="P338" s="18" t="s">
        <v>48</v>
      </c>
      <c r="Q338" s="19">
        <v>7776.0</v>
      </c>
    </row>
    <row r="339">
      <c r="A339" s="18" t="s">
        <v>112</v>
      </c>
      <c r="B339" s="18" t="s">
        <v>45</v>
      </c>
      <c r="C339" s="18" t="s">
        <v>45</v>
      </c>
      <c r="D339" s="18" t="s">
        <v>764</v>
      </c>
      <c r="E339" s="18" t="s">
        <v>765</v>
      </c>
      <c r="F339" s="18" t="s">
        <v>228</v>
      </c>
      <c r="G339" s="18">
        <v>10.2</v>
      </c>
      <c r="H339" s="18" t="s">
        <v>45</v>
      </c>
      <c r="I339" s="19">
        <v>3257.0</v>
      </c>
      <c r="J339" s="19">
        <v>4600.0</v>
      </c>
      <c r="K339" s="19">
        <v>4000.0</v>
      </c>
      <c r="L339" s="18" t="s">
        <v>766</v>
      </c>
      <c r="M339" s="18" t="s">
        <v>767</v>
      </c>
      <c r="N339" s="18" t="s">
        <v>131</v>
      </c>
      <c r="O339" s="18" t="s">
        <v>41</v>
      </c>
      <c r="P339" s="18" t="s">
        <v>42</v>
      </c>
      <c r="Q339" s="19">
        <v>3300.0</v>
      </c>
    </row>
    <row r="340">
      <c r="A340" s="18" t="s">
        <v>154</v>
      </c>
      <c r="B340" s="18" t="s">
        <v>44</v>
      </c>
      <c r="C340" s="18" t="s">
        <v>180</v>
      </c>
      <c r="D340" s="18" t="s">
        <v>768</v>
      </c>
      <c r="E340" s="18" t="s">
        <v>769</v>
      </c>
      <c r="F340" s="18" t="s">
        <v>228</v>
      </c>
      <c r="G340" s="18">
        <v>22.0</v>
      </c>
      <c r="H340" s="18" t="s">
        <v>56</v>
      </c>
      <c r="I340" s="19">
        <v>6090.0</v>
      </c>
      <c r="J340" s="19">
        <v>8550.0</v>
      </c>
      <c r="K340" s="19">
        <v>7350.0</v>
      </c>
      <c r="L340" s="18" t="s">
        <v>770</v>
      </c>
      <c r="M340" s="18" t="s">
        <v>771</v>
      </c>
      <c r="N340" s="18" t="s">
        <v>131</v>
      </c>
      <c r="O340" s="18" t="s">
        <v>151</v>
      </c>
      <c r="P340" s="18" t="s">
        <v>157</v>
      </c>
      <c r="Q340" s="19">
        <v>6100.0</v>
      </c>
    </row>
    <row r="341">
      <c r="A341" s="18" t="s">
        <v>171</v>
      </c>
      <c r="B341" s="18" t="s">
        <v>36</v>
      </c>
      <c r="D341" s="18" t="s">
        <v>772</v>
      </c>
      <c r="E341" s="18" t="s">
        <v>773</v>
      </c>
      <c r="F341" s="18" t="s">
        <v>228</v>
      </c>
      <c r="G341" s="18">
        <v>58.82</v>
      </c>
      <c r="H341" s="18" t="s">
        <v>471</v>
      </c>
      <c r="I341" s="19">
        <v>6000.0</v>
      </c>
      <c r="J341" s="19">
        <v>6900.0</v>
      </c>
      <c r="L341" s="18" t="s">
        <v>774</v>
      </c>
      <c r="M341" s="18" t="s">
        <v>775</v>
      </c>
      <c r="N341" s="18" t="s">
        <v>363</v>
      </c>
      <c r="O341" s="18" t="s">
        <v>198</v>
      </c>
      <c r="Q341" s="19">
        <v>6500.0</v>
      </c>
    </row>
    <row r="342">
      <c r="A342" s="18" t="s">
        <v>154</v>
      </c>
      <c r="B342" s="18" t="s">
        <v>44</v>
      </c>
      <c r="C342" s="18" t="s">
        <v>180</v>
      </c>
      <c r="D342" s="18" t="s">
        <v>776</v>
      </c>
      <c r="E342" s="18" t="s">
        <v>777</v>
      </c>
      <c r="F342" s="18" t="s">
        <v>228</v>
      </c>
      <c r="G342" s="18">
        <v>22.0</v>
      </c>
      <c r="H342" s="18" t="s">
        <v>56</v>
      </c>
      <c r="I342" s="19">
        <v>6090.0</v>
      </c>
      <c r="J342" s="19">
        <v>8550.0</v>
      </c>
      <c r="K342" s="19">
        <v>7350.0</v>
      </c>
      <c r="L342" s="18" t="s">
        <v>778</v>
      </c>
      <c r="M342" s="18" t="s">
        <v>779</v>
      </c>
      <c r="N342" s="18" t="s">
        <v>250</v>
      </c>
      <c r="O342" s="18" t="s">
        <v>151</v>
      </c>
      <c r="P342" s="18" t="s">
        <v>157</v>
      </c>
      <c r="Q342" s="19">
        <v>6100.0</v>
      </c>
    </row>
    <row r="343">
      <c r="A343" s="18" t="s">
        <v>154</v>
      </c>
      <c r="B343" s="18" t="s">
        <v>45</v>
      </c>
      <c r="C343" s="18" t="s">
        <v>45</v>
      </c>
      <c r="D343" s="18" t="s">
        <v>780</v>
      </c>
      <c r="E343" s="18" t="s">
        <v>781</v>
      </c>
      <c r="F343" s="18" t="s">
        <v>228</v>
      </c>
      <c r="G343" s="18">
        <v>11.0</v>
      </c>
      <c r="H343" s="18" t="s">
        <v>45</v>
      </c>
      <c r="I343" s="19">
        <v>3580.0</v>
      </c>
      <c r="J343" s="19">
        <v>5050.0</v>
      </c>
      <c r="K343" s="19">
        <v>4350.0</v>
      </c>
      <c r="L343" s="18" t="s">
        <v>782</v>
      </c>
      <c r="M343" s="18" t="s">
        <v>783</v>
      </c>
      <c r="N343" s="18" t="s">
        <v>250</v>
      </c>
      <c r="O343" s="18" t="s">
        <v>151</v>
      </c>
      <c r="P343" s="18" t="s">
        <v>157</v>
      </c>
      <c r="Q343" s="19">
        <v>4223.0</v>
      </c>
    </row>
    <row r="344">
      <c r="A344" s="18" t="s">
        <v>112</v>
      </c>
      <c r="B344" s="18" t="s">
        <v>45</v>
      </c>
      <c r="C344" s="18" t="s">
        <v>45</v>
      </c>
      <c r="D344" s="18" t="s">
        <v>199</v>
      </c>
      <c r="E344" s="18" t="s">
        <v>200</v>
      </c>
      <c r="F344" s="18" t="s">
        <v>228</v>
      </c>
      <c r="G344" s="18">
        <v>10.6</v>
      </c>
      <c r="H344" s="18" t="s">
        <v>45</v>
      </c>
      <c r="I344" s="19">
        <v>3257.0</v>
      </c>
      <c r="J344" s="19">
        <v>4600.0</v>
      </c>
      <c r="K344" s="19">
        <v>4000.0</v>
      </c>
      <c r="L344" s="18" t="s">
        <v>3534</v>
      </c>
      <c r="M344" s="18" t="s">
        <v>3535</v>
      </c>
      <c r="N344" s="18" t="s">
        <v>131</v>
      </c>
      <c r="O344" s="18" t="s">
        <v>117</v>
      </c>
      <c r="P344" s="18" t="s">
        <v>42</v>
      </c>
      <c r="Q344" s="19">
        <v>3400.0</v>
      </c>
    </row>
    <row r="345">
      <c r="A345" s="18" t="s">
        <v>112</v>
      </c>
      <c r="B345" s="18" t="s">
        <v>44</v>
      </c>
      <c r="C345" s="18" t="s">
        <v>76</v>
      </c>
      <c r="D345" s="18" t="s">
        <v>784</v>
      </c>
      <c r="E345" s="18" t="s">
        <v>785</v>
      </c>
      <c r="F345" s="18" t="s">
        <v>228</v>
      </c>
      <c r="G345" s="18">
        <v>20.4</v>
      </c>
      <c r="H345" s="18" t="s">
        <v>168</v>
      </c>
      <c r="I345" s="19">
        <v>6867.0</v>
      </c>
      <c r="J345" s="19">
        <v>9650.0</v>
      </c>
      <c r="K345" s="19">
        <v>8300.0</v>
      </c>
      <c r="L345" s="18" t="s">
        <v>786</v>
      </c>
      <c r="M345" s="18" t="s">
        <v>787</v>
      </c>
      <c r="N345" s="18" t="s">
        <v>316</v>
      </c>
      <c r="O345" s="18" t="s">
        <v>117</v>
      </c>
      <c r="P345" s="18" t="s">
        <v>42</v>
      </c>
      <c r="Q345" s="19">
        <v>7107.0</v>
      </c>
    </row>
    <row r="346">
      <c r="A346" s="18" t="s">
        <v>191</v>
      </c>
      <c r="B346" s="18" t="s">
        <v>44</v>
      </c>
      <c r="C346" s="18" t="s">
        <v>37</v>
      </c>
      <c r="D346" s="18" t="s">
        <v>788</v>
      </c>
      <c r="E346" s="18" t="s">
        <v>789</v>
      </c>
      <c r="F346" s="18" t="s">
        <v>228</v>
      </c>
      <c r="G346" s="18">
        <v>50.77</v>
      </c>
      <c r="H346" s="18" t="s">
        <v>168</v>
      </c>
      <c r="I346" s="19">
        <v>8000.0</v>
      </c>
      <c r="J346" s="19">
        <v>10400.0</v>
      </c>
      <c r="L346" s="18" t="s">
        <v>790</v>
      </c>
      <c r="M346" s="18" t="s">
        <v>791</v>
      </c>
      <c r="N346" s="18" t="s">
        <v>143</v>
      </c>
      <c r="O346" s="18" t="s">
        <v>613</v>
      </c>
      <c r="P346" s="18" t="s">
        <v>48</v>
      </c>
      <c r="Q346" s="19">
        <v>8000.0</v>
      </c>
    </row>
    <row r="347">
      <c r="A347" s="18" t="s">
        <v>148</v>
      </c>
      <c r="B347" s="18" t="s">
        <v>44</v>
      </c>
      <c r="C347" s="18" t="s">
        <v>76</v>
      </c>
      <c r="D347" s="18" t="s">
        <v>792</v>
      </c>
      <c r="E347" s="18" t="s">
        <v>793</v>
      </c>
      <c r="F347" s="18" t="s">
        <v>228</v>
      </c>
      <c r="G347" s="18">
        <v>21.9</v>
      </c>
      <c r="H347" s="18" t="s">
        <v>56</v>
      </c>
      <c r="I347" s="19">
        <v>8349.0</v>
      </c>
      <c r="J347" s="19">
        <v>8350.0</v>
      </c>
      <c r="K347" s="19">
        <v>10050.0</v>
      </c>
      <c r="L347" s="18" t="s">
        <v>794</v>
      </c>
      <c r="M347" s="18" t="s">
        <v>795</v>
      </c>
      <c r="N347" s="18" t="s">
        <v>763</v>
      </c>
      <c r="O347" s="18" t="s">
        <v>151</v>
      </c>
      <c r="P347" s="18" t="s">
        <v>48</v>
      </c>
      <c r="Q347" s="19">
        <v>8350.0</v>
      </c>
    </row>
    <row r="348">
      <c r="A348" s="18" t="s">
        <v>148</v>
      </c>
      <c r="B348" s="18" t="s">
        <v>44</v>
      </c>
      <c r="C348" s="18" t="s">
        <v>76</v>
      </c>
      <c r="D348" s="18" t="s">
        <v>796</v>
      </c>
      <c r="E348" s="18" t="s">
        <v>797</v>
      </c>
      <c r="F348" s="18" t="s">
        <v>228</v>
      </c>
      <c r="G348" s="18">
        <v>20.0</v>
      </c>
      <c r="H348" s="18" t="s">
        <v>56</v>
      </c>
      <c r="I348" s="19">
        <v>7514.0</v>
      </c>
      <c r="J348" s="19">
        <v>7550.0</v>
      </c>
      <c r="K348" s="19">
        <v>9100.0</v>
      </c>
      <c r="L348" s="18" t="s">
        <v>798</v>
      </c>
      <c r="M348" s="18" t="s">
        <v>799</v>
      </c>
      <c r="N348" s="18" t="s">
        <v>800</v>
      </c>
      <c r="O348" s="18" t="s">
        <v>57</v>
      </c>
      <c r="P348" s="18" t="s">
        <v>48</v>
      </c>
      <c r="Q348" s="19">
        <v>7745.0</v>
      </c>
    </row>
    <row r="349">
      <c r="A349" s="18" t="s">
        <v>801</v>
      </c>
      <c r="B349" s="18" t="s">
        <v>45</v>
      </c>
      <c r="C349" s="18" t="s">
        <v>45</v>
      </c>
      <c r="D349" s="18" t="s">
        <v>802</v>
      </c>
      <c r="E349" s="18" t="s">
        <v>803</v>
      </c>
      <c r="F349" s="18" t="s">
        <v>228</v>
      </c>
      <c r="G349" s="18">
        <v>10.21</v>
      </c>
      <c r="H349" s="18" t="s">
        <v>45</v>
      </c>
      <c r="I349" s="19">
        <v>1488.0</v>
      </c>
      <c r="J349" s="19">
        <v>1650.0</v>
      </c>
      <c r="K349" s="19">
        <v>1800.0</v>
      </c>
      <c r="L349" s="18" t="s">
        <v>804</v>
      </c>
      <c r="M349" s="18" t="s">
        <v>805</v>
      </c>
      <c r="N349" s="18" t="s">
        <v>806</v>
      </c>
      <c r="O349" s="18" t="s">
        <v>41</v>
      </c>
      <c r="P349" s="18" t="s">
        <v>162</v>
      </c>
      <c r="Q349" s="19">
        <v>1172.78</v>
      </c>
    </row>
    <row r="350">
      <c r="A350" s="18" t="s">
        <v>801</v>
      </c>
      <c r="B350" s="18" t="s">
        <v>44</v>
      </c>
      <c r="C350" s="18" t="s">
        <v>53</v>
      </c>
      <c r="D350" s="18" t="s">
        <v>807</v>
      </c>
      <c r="E350" s="18" t="s">
        <v>808</v>
      </c>
      <c r="F350" s="18" t="s">
        <v>228</v>
      </c>
      <c r="G350" s="18">
        <v>16.4</v>
      </c>
      <c r="H350" s="18" t="s">
        <v>120</v>
      </c>
      <c r="I350" s="19">
        <v>3392.0</v>
      </c>
      <c r="J350" s="19">
        <v>3750.0</v>
      </c>
      <c r="K350" s="19">
        <v>4100.0</v>
      </c>
      <c r="L350" s="18" t="s">
        <v>809</v>
      </c>
      <c r="M350" s="18" t="s">
        <v>810</v>
      </c>
      <c r="N350" s="18" t="s">
        <v>806</v>
      </c>
      <c r="O350" s="18" t="s">
        <v>57</v>
      </c>
      <c r="P350" s="18" t="s">
        <v>162</v>
      </c>
      <c r="Q350" s="19">
        <v>2673.44</v>
      </c>
    </row>
    <row r="351">
      <c r="A351" s="18" t="s">
        <v>801</v>
      </c>
      <c r="B351" s="18" t="s">
        <v>44</v>
      </c>
      <c r="C351" s="18" t="s">
        <v>53</v>
      </c>
      <c r="D351" s="18" t="s">
        <v>811</v>
      </c>
      <c r="E351" s="18" t="s">
        <v>812</v>
      </c>
      <c r="F351" s="18" t="s">
        <v>228</v>
      </c>
      <c r="G351" s="18">
        <v>16.66</v>
      </c>
      <c r="H351" s="18" t="s">
        <v>120</v>
      </c>
      <c r="I351" s="19">
        <v>3392.0</v>
      </c>
      <c r="J351" s="19">
        <v>3750.0</v>
      </c>
      <c r="K351" s="19">
        <v>4100.0</v>
      </c>
      <c r="L351" s="18" t="s">
        <v>813</v>
      </c>
      <c r="M351" s="18" t="s">
        <v>814</v>
      </c>
      <c r="N351" s="18" t="s">
        <v>806</v>
      </c>
      <c r="O351" s="18" t="s">
        <v>41</v>
      </c>
      <c r="P351" s="18" t="s">
        <v>162</v>
      </c>
      <c r="Q351" s="19">
        <v>2673.44</v>
      </c>
    </row>
    <row r="352">
      <c r="A352" s="18" t="s">
        <v>801</v>
      </c>
      <c r="B352" s="18" t="s">
        <v>44</v>
      </c>
      <c r="C352" s="18" t="s">
        <v>64</v>
      </c>
      <c r="D352" s="18" t="s">
        <v>815</v>
      </c>
      <c r="E352" s="18" t="s">
        <v>816</v>
      </c>
      <c r="F352" s="18" t="s">
        <v>228</v>
      </c>
      <c r="G352" s="18">
        <v>18.93</v>
      </c>
      <c r="H352" s="18" t="s">
        <v>120</v>
      </c>
      <c r="I352" s="19">
        <v>3612.0</v>
      </c>
      <c r="J352" s="19">
        <v>4000.0</v>
      </c>
      <c r="K352" s="19">
        <v>4400.0</v>
      </c>
      <c r="L352" s="18" t="s">
        <v>817</v>
      </c>
      <c r="M352" s="18" t="s">
        <v>818</v>
      </c>
      <c r="N352" s="18" t="s">
        <v>806</v>
      </c>
      <c r="O352" s="18" t="s">
        <v>57</v>
      </c>
      <c r="P352" s="18" t="s">
        <v>162</v>
      </c>
      <c r="Q352" s="19">
        <v>2846.83</v>
      </c>
    </row>
    <row r="353">
      <c r="A353" s="18" t="s">
        <v>801</v>
      </c>
      <c r="B353" s="18" t="s">
        <v>45</v>
      </c>
      <c r="C353" s="18" t="s">
        <v>45</v>
      </c>
      <c r="D353" s="18" t="s">
        <v>819</v>
      </c>
      <c r="E353" s="18" t="s">
        <v>820</v>
      </c>
      <c r="F353" s="18" t="s">
        <v>228</v>
      </c>
      <c r="G353" s="18">
        <v>10.57</v>
      </c>
      <c r="H353" s="18" t="s">
        <v>45</v>
      </c>
      <c r="I353" s="19">
        <v>1488.0</v>
      </c>
      <c r="J353" s="19">
        <v>1650.0</v>
      </c>
      <c r="K353" s="19">
        <v>1800.0</v>
      </c>
      <c r="L353" s="18" t="s">
        <v>821</v>
      </c>
      <c r="M353" s="18" t="s">
        <v>822</v>
      </c>
      <c r="N353" s="18" t="s">
        <v>806</v>
      </c>
      <c r="O353" s="18" t="s">
        <v>57</v>
      </c>
      <c r="P353" s="18" t="s">
        <v>162</v>
      </c>
      <c r="Q353" s="19">
        <v>1172.78</v>
      </c>
    </row>
    <row r="354">
      <c r="A354" s="18" t="s">
        <v>801</v>
      </c>
      <c r="B354" s="18" t="s">
        <v>45</v>
      </c>
      <c r="C354" s="18" t="s">
        <v>45</v>
      </c>
      <c r="D354" s="18" t="s">
        <v>823</v>
      </c>
      <c r="E354" s="18" t="s">
        <v>824</v>
      </c>
      <c r="F354" s="18" t="s">
        <v>228</v>
      </c>
      <c r="G354" s="18">
        <v>13.88</v>
      </c>
      <c r="H354" s="18" t="s">
        <v>45</v>
      </c>
      <c r="I354" s="19">
        <v>1488.0</v>
      </c>
      <c r="J354" s="19">
        <v>1650.0</v>
      </c>
      <c r="K354" s="19">
        <v>1800.0</v>
      </c>
      <c r="L354" s="18" t="s">
        <v>825</v>
      </c>
      <c r="M354" s="18" t="s">
        <v>826</v>
      </c>
      <c r="N354" s="18" t="s">
        <v>806</v>
      </c>
      <c r="O354" s="18" t="s">
        <v>83</v>
      </c>
      <c r="P354" s="18" t="s">
        <v>162</v>
      </c>
      <c r="Q354" s="19">
        <v>1172.78</v>
      </c>
    </row>
    <row r="355">
      <c r="A355" s="18" t="s">
        <v>801</v>
      </c>
      <c r="B355" s="18" t="s">
        <v>44</v>
      </c>
      <c r="C355" s="18" t="s">
        <v>64</v>
      </c>
      <c r="D355" s="18" t="s">
        <v>827</v>
      </c>
      <c r="E355" s="18" t="s">
        <v>828</v>
      </c>
      <c r="F355" s="18" t="s">
        <v>228</v>
      </c>
      <c r="G355" s="18">
        <v>18.74</v>
      </c>
      <c r="H355" s="18" t="s">
        <v>120</v>
      </c>
      <c r="I355" s="19">
        <v>3612.0</v>
      </c>
      <c r="J355" s="19">
        <v>4000.0</v>
      </c>
      <c r="K355" s="19">
        <v>4400.0</v>
      </c>
      <c r="L355" s="18" t="s">
        <v>829</v>
      </c>
      <c r="M355" s="18" t="s">
        <v>830</v>
      </c>
      <c r="N355" s="18" t="s">
        <v>806</v>
      </c>
      <c r="O355" s="18" t="s">
        <v>83</v>
      </c>
      <c r="P355" s="18" t="s">
        <v>162</v>
      </c>
      <c r="Q355" s="19">
        <v>2846.83</v>
      </c>
    </row>
    <row r="356">
      <c r="A356" s="18" t="s">
        <v>801</v>
      </c>
      <c r="B356" s="18" t="s">
        <v>44</v>
      </c>
      <c r="C356" s="18" t="s">
        <v>53</v>
      </c>
      <c r="D356" s="18" t="s">
        <v>831</v>
      </c>
      <c r="E356" s="18" t="s">
        <v>832</v>
      </c>
      <c r="F356" s="18" t="s">
        <v>228</v>
      </c>
      <c r="G356" s="18">
        <v>15.65</v>
      </c>
      <c r="H356" s="18" t="s">
        <v>120</v>
      </c>
      <c r="I356" s="19">
        <v>3392.0</v>
      </c>
      <c r="J356" s="19">
        <v>3750.0</v>
      </c>
      <c r="K356" s="19">
        <v>4100.0</v>
      </c>
      <c r="L356" s="18" t="s">
        <v>833</v>
      </c>
      <c r="M356" s="18" t="s">
        <v>834</v>
      </c>
      <c r="N356" s="18" t="s">
        <v>806</v>
      </c>
      <c r="O356" s="18" t="s">
        <v>57</v>
      </c>
      <c r="P356" s="18" t="s">
        <v>162</v>
      </c>
      <c r="Q356" s="19">
        <v>2673.44</v>
      </c>
    </row>
    <row r="357">
      <c r="A357" s="18" t="s">
        <v>801</v>
      </c>
      <c r="B357" s="18" t="s">
        <v>44</v>
      </c>
      <c r="C357" s="18" t="s">
        <v>53</v>
      </c>
      <c r="D357" s="18" t="s">
        <v>835</v>
      </c>
      <c r="E357" s="18" t="s">
        <v>836</v>
      </c>
      <c r="F357" s="18" t="s">
        <v>228</v>
      </c>
      <c r="G357" s="18">
        <v>15.96</v>
      </c>
      <c r="H357" s="18" t="s">
        <v>120</v>
      </c>
      <c r="I357" s="19">
        <v>3392.0</v>
      </c>
      <c r="J357" s="19">
        <v>3750.0</v>
      </c>
      <c r="K357" s="19">
        <v>4100.0</v>
      </c>
      <c r="L357" s="18" t="s">
        <v>837</v>
      </c>
      <c r="M357" s="18" t="s">
        <v>838</v>
      </c>
      <c r="N357" s="18" t="s">
        <v>806</v>
      </c>
      <c r="O357" s="18" t="s">
        <v>57</v>
      </c>
      <c r="P357" s="18" t="s">
        <v>162</v>
      </c>
      <c r="Q357" s="19">
        <v>2673.44</v>
      </c>
    </row>
    <row r="358">
      <c r="A358" s="18" t="s">
        <v>801</v>
      </c>
      <c r="B358" s="18" t="s">
        <v>44</v>
      </c>
      <c r="C358" s="18" t="s">
        <v>76</v>
      </c>
      <c r="D358" s="18" t="s">
        <v>839</v>
      </c>
      <c r="E358" s="18" t="s">
        <v>840</v>
      </c>
      <c r="F358" s="18" t="s">
        <v>228</v>
      </c>
      <c r="G358" s="18">
        <v>19.81</v>
      </c>
      <c r="H358" s="18" t="s">
        <v>120</v>
      </c>
      <c r="I358" s="19">
        <v>3825.0</v>
      </c>
      <c r="J358" s="19">
        <v>4250.0</v>
      </c>
      <c r="K358" s="19">
        <v>4650.0</v>
      </c>
      <c r="L358" s="18" t="s">
        <v>841</v>
      </c>
      <c r="M358" s="18" t="s">
        <v>842</v>
      </c>
      <c r="N358" s="18" t="s">
        <v>806</v>
      </c>
      <c r="O358" s="18" t="s">
        <v>41</v>
      </c>
      <c r="P358" s="18" t="s">
        <v>162</v>
      </c>
      <c r="Q358" s="19">
        <v>3014.71</v>
      </c>
    </row>
    <row r="359">
      <c r="A359" s="18" t="s">
        <v>801</v>
      </c>
      <c r="B359" s="18" t="s">
        <v>44</v>
      </c>
      <c r="C359" s="18" t="s">
        <v>133</v>
      </c>
      <c r="D359" s="18" t="s">
        <v>843</v>
      </c>
      <c r="E359" s="18" t="s">
        <v>844</v>
      </c>
      <c r="F359" s="18" t="s">
        <v>228</v>
      </c>
      <c r="G359" s="18">
        <v>12.52</v>
      </c>
      <c r="H359" s="18" t="s">
        <v>56</v>
      </c>
      <c r="I359" s="19">
        <v>2974.0</v>
      </c>
      <c r="J359" s="19">
        <v>3300.0</v>
      </c>
      <c r="K359" s="19">
        <v>3600.0</v>
      </c>
      <c r="L359" s="18" t="s">
        <v>845</v>
      </c>
      <c r="M359" s="18" t="s">
        <v>846</v>
      </c>
      <c r="N359" s="18" t="s">
        <v>806</v>
      </c>
      <c r="O359" s="18" t="s">
        <v>57</v>
      </c>
      <c r="P359" s="18" t="s">
        <v>162</v>
      </c>
      <c r="Q359" s="19">
        <v>2343.99</v>
      </c>
    </row>
    <row r="360">
      <c r="A360" s="18" t="s">
        <v>801</v>
      </c>
      <c r="B360" s="18" t="s">
        <v>45</v>
      </c>
      <c r="C360" s="18" t="s">
        <v>45</v>
      </c>
      <c r="D360" s="18" t="s">
        <v>847</v>
      </c>
      <c r="E360" s="18" t="s">
        <v>848</v>
      </c>
      <c r="F360" s="18" t="s">
        <v>228</v>
      </c>
      <c r="G360" s="18">
        <v>14.84</v>
      </c>
      <c r="H360" s="18" t="s">
        <v>45</v>
      </c>
      <c r="I360" s="19">
        <v>1488.0</v>
      </c>
      <c r="J360" s="19">
        <v>1650.0</v>
      </c>
      <c r="K360" s="19">
        <v>1800.0</v>
      </c>
      <c r="L360" s="18" t="s">
        <v>849</v>
      </c>
      <c r="M360" s="18" t="s">
        <v>850</v>
      </c>
      <c r="N360" s="18" t="s">
        <v>806</v>
      </c>
      <c r="O360" s="18" t="s">
        <v>83</v>
      </c>
      <c r="P360" s="18" t="s">
        <v>162</v>
      </c>
      <c r="Q360" s="19">
        <v>1172.78</v>
      </c>
    </row>
    <row r="361">
      <c r="A361" s="18" t="s">
        <v>801</v>
      </c>
      <c r="B361" s="18" t="s">
        <v>44</v>
      </c>
      <c r="C361" s="18" t="s">
        <v>113</v>
      </c>
      <c r="D361" s="18" t="s">
        <v>851</v>
      </c>
      <c r="E361" s="18" t="s">
        <v>852</v>
      </c>
      <c r="F361" s="18" t="s">
        <v>228</v>
      </c>
      <c r="G361" s="18">
        <v>11.7</v>
      </c>
      <c r="H361" s="18" t="s">
        <v>56</v>
      </c>
      <c r="I361" s="19">
        <v>2763.0</v>
      </c>
      <c r="J361" s="19">
        <v>3050.0</v>
      </c>
      <c r="K361" s="19">
        <v>3400.0</v>
      </c>
      <c r="L361" s="18" t="s">
        <v>853</v>
      </c>
      <c r="M361" s="18" t="s">
        <v>854</v>
      </c>
      <c r="N361" s="18" t="s">
        <v>806</v>
      </c>
      <c r="O361" s="18" t="s">
        <v>41</v>
      </c>
      <c r="P361" s="18" t="s">
        <v>162</v>
      </c>
      <c r="Q361" s="19">
        <v>2177.68</v>
      </c>
    </row>
    <row r="362">
      <c r="A362" s="18" t="s">
        <v>801</v>
      </c>
      <c r="B362" s="18" t="s">
        <v>44</v>
      </c>
      <c r="C362" s="18" t="s">
        <v>76</v>
      </c>
      <c r="D362" s="18" t="s">
        <v>855</v>
      </c>
      <c r="E362" s="18" t="s">
        <v>856</v>
      </c>
      <c r="F362" s="18" t="s">
        <v>228</v>
      </c>
      <c r="G362" s="18">
        <v>20.36</v>
      </c>
      <c r="H362" s="18" t="s">
        <v>120</v>
      </c>
      <c r="I362" s="19">
        <v>3825.0</v>
      </c>
      <c r="J362" s="19">
        <v>4250.0</v>
      </c>
      <c r="K362" s="19">
        <v>4650.0</v>
      </c>
      <c r="L362" s="18" t="s">
        <v>857</v>
      </c>
      <c r="M362" s="18" t="s">
        <v>858</v>
      </c>
      <c r="N362" s="18" t="s">
        <v>806</v>
      </c>
      <c r="O362" s="18" t="s">
        <v>41</v>
      </c>
      <c r="P362" s="18" t="s">
        <v>162</v>
      </c>
      <c r="Q362" s="19">
        <v>3014.71</v>
      </c>
    </row>
    <row r="363">
      <c r="A363" s="18" t="s">
        <v>801</v>
      </c>
      <c r="B363" s="18" t="s">
        <v>45</v>
      </c>
      <c r="C363" s="18" t="s">
        <v>45</v>
      </c>
      <c r="D363" s="18" t="s">
        <v>859</v>
      </c>
      <c r="E363" s="18" t="s">
        <v>860</v>
      </c>
      <c r="F363" s="18" t="s">
        <v>228</v>
      </c>
      <c r="G363" s="18">
        <v>8.19</v>
      </c>
      <c r="H363" s="18" t="s">
        <v>45</v>
      </c>
      <c r="I363" s="19">
        <v>1488.0</v>
      </c>
      <c r="J363" s="19">
        <v>1650.0</v>
      </c>
      <c r="K363" s="19">
        <v>1800.0</v>
      </c>
      <c r="L363" s="18" t="s">
        <v>861</v>
      </c>
      <c r="M363" s="18" t="s">
        <v>862</v>
      </c>
      <c r="N363" s="18" t="s">
        <v>806</v>
      </c>
      <c r="O363" s="18" t="s">
        <v>41</v>
      </c>
      <c r="P363" s="18" t="s">
        <v>162</v>
      </c>
      <c r="Q363" s="19">
        <v>1172.78</v>
      </c>
    </row>
    <row r="364">
      <c r="A364" s="18" t="s">
        <v>801</v>
      </c>
      <c r="B364" s="18" t="s">
        <v>45</v>
      </c>
      <c r="C364" s="18" t="s">
        <v>45</v>
      </c>
      <c r="D364" s="18" t="s">
        <v>863</v>
      </c>
      <c r="E364" s="18" t="s">
        <v>864</v>
      </c>
      <c r="F364" s="18" t="s">
        <v>228</v>
      </c>
      <c r="G364" s="18">
        <v>9.35</v>
      </c>
      <c r="H364" s="18" t="s">
        <v>45</v>
      </c>
      <c r="I364" s="19">
        <v>1488.0</v>
      </c>
      <c r="J364" s="19">
        <v>1650.0</v>
      </c>
      <c r="K364" s="19">
        <v>1800.0</v>
      </c>
      <c r="L364" s="18" t="s">
        <v>865</v>
      </c>
      <c r="M364" s="18" t="s">
        <v>866</v>
      </c>
      <c r="N364" s="18" t="s">
        <v>806</v>
      </c>
      <c r="O364" s="18" t="s">
        <v>57</v>
      </c>
      <c r="P364" s="18" t="s">
        <v>162</v>
      </c>
      <c r="Q364" s="19">
        <v>1172.78</v>
      </c>
    </row>
    <row r="365">
      <c r="A365" s="18" t="s">
        <v>801</v>
      </c>
      <c r="B365" s="18" t="s">
        <v>44</v>
      </c>
      <c r="C365" s="18" t="s">
        <v>133</v>
      </c>
      <c r="D365" s="18" t="s">
        <v>867</v>
      </c>
      <c r="E365" s="18" t="s">
        <v>868</v>
      </c>
      <c r="F365" s="18" t="s">
        <v>228</v>
      </c>
      <c r="G365" s="18">
        <v>13.54</v>
      </c>
      <c r="H365" s="18" t="s">
        <v>56</v>
      </c>
      <c r="I365" s="19">
        <v>2974.0</v>
      </c>
      <c r="J365" s="19">
        <v>3300.0</v>
      </c>
      <c r="K365" s="19">
        <v>3600.0</v>
      </c>
      <c r="L365" s="18" t="s">
        <v>869</v>
      </c>
      <c r="M365" s="18" t="s">
        <v>870</v>
      </c>
      <c r="N365" s="18" t="s">
        <v>806</v>
      </c>
      <c r="O365" s="18" t="s">
        <v>57</v>
      </c>
      <c r="P365" s="18" t="s">
        <v>162</v>
      </c>
      <c r="Q365" s="19">
        <v>2343.99</v>
      </c>
    </row>
    <row r="366">
      <c r="A366" s="18" t="s">
        <v>801</v>
      </c>
      <c r="B366" s="18" t="s">
        <v>44</v>
      </c>
      <c r="C366" s="18" t="s">
        <v>64</v>
      </c>
      <c r="D366" s="18" t="s">
        <v>871</v>
      </c>
      <c r="E366" s="18" t="s">
        <v>872</v>
      </c>
      <c r="F366" s="18" t="s">
        <v>228</v>
      </c>
      <c r="G366" s="18">
        <v>18.76</v>
      </c>
      <c r="H366" s="18" t="s">
        <v>120</v>
      </c>
      <c r="I366" s="19">
        <v>3612.0</v>
      </c>
      <c r="J366" s="19">
        <v>4000.0</v>
      </c>
      <c r="K366" s="19">
        <v>4400.0</v>
      </c>
      <c r="L366" s="18" t="s">
        <v>873</v>
      </c>
      <c r="M366" s="18" t="s">
        <v>874</v>
      </c>
      <c r="N366" s="18" t="s">
        <v>806</v>
      </c>
      <c r="O366" s="18" t="s">
        <v>57</v>
      </c>
      <c r="P366" s="18" t="s">
        <v>162</v>
      </c>
      <c r="Q366" s="19">
        <v>2846.83</v>
      </c>
    </row>
    <row r="367">
      <c r="A367" s="18" t="s">
        <v>132</v>
      </c>
      <c r="B367" s="18" t="s">
        <v>44</v>
      </c>
      <c r="C367" s="18" t="s">
        <v>133</v>
      </c>
      <c r="D367" s="18" t="s">
        <v>875</v>
      </c>
      <c r="E367" s="18" t="s">
        <v>876</v>
      </c>
      <c r="F367" s="18" t="s">
        <v>228</v>
      </c>
      <c r="G367" s="18">
        <v>14.02</v>
      </c>
      <c r="H367" s="18" t="s">
        <v>62</v>
      </c>
      <c r="I367" s="19">
        <v>2975.44</v>
      </c>
      <c r="J367" s="19">
        <v>2400.0</v>
      </c>
      <c r="K367" s="19">
        <v>4500.0</v>
      </c>
      <c r="L367" s="18" t="s">
        <v>877</v>
      </c>
      <c r="M367" s="18" t="s">
        <v>878</v>
      </c>
      <c r="N367" s="18" t="s">
        <v>143</v>
      </c>
      <c r="O367" s="18" t="s">
        <v>41</v>
      </c>
      <c r="Q367" s="19">
        <v>1905.0</v>
      </c>
    </row>
    <row r="368">
      <c r="A368" s="18" t="s">
        <v>138</v>
      </c>
      <c r="B368" s="18" t="s">
        <v>44</v>
      </c>
      <c r="C368" s="18" t="s">
        <v>133</v>
      </c>
      <c r="D368" s="18" t="s">
        <v>879</v>
      </c>
      <c r="E368" s="18" t="s">
        <v>880</v>
      </c>
      <c r="F368" s="18" t="s">
        <v>228</v>
      </c>
      <c r="G368" s="18">
        <v>14.24</v>
      </c>
      <c r="H368" s="18" t="s">
        <v>56</v>
      </c>
      <c r="I368" s="19">
        <v>3113.0</v>
      </c>
      <c r="J368" s="19">
        <v>4550.0</v>
      </c>
      <c r="K368" s="19">
        <v>3800.0</v>
      </c>
      <c r="L368" s="18" t="s">
        <v>881</v>
      </c>
      <c r="M368" s="18" t="s">
        <v>882</v>
      </c>
      <c r="N368" s="18" t="s">
        <v>131</v>
      </c>
      <c r="O368" s="18" t="s">
        <v>41</v>
      </c>
      <c r="P368" s="18" t="s">
        <v>144</v>
      </c>
      <c r="Q368" s="19">
        <v>3250.0</v>
      </c>
    </row>
    <row r="369">
      <c r="A369" s="18" t="s">
        <v>216</v>
      </c>
      <c r="B369" s="18" t="s">
        <v>44</v>
      </c>
      <c r="C369" s="18" t="s">
        <v>53</v>
      </c>
      <c r="D369" s="18" t="s">
        <v>883</v>
      </c>
      <c r="E369" s="18" t="s">
        <v>884</v>
      </c>
      <c r="F369" s="18" t="s">
        <v>228</v>
      </c>
      <c r="G369" s="18">
        <v>15.05</v>
      </c>
      <c r="H369" s="18" t="s">
        <v>120</v>
      </c>
      <c r="I369" s="19">
        <v>5494.0</v>
      </c>
      <c r="J369" s="19">
        <v>7700.0</v>
      </c>
      <c r="K369" s="19">
        <v>6600.0</v>
      </c>
      <c r="L369" s="18" t="s">
        <v>885</v>
      </c>
      <c r="M369" s="18" t="s">
        <v>886</v>
      </c>
      <c r="N369" s="18" t="s">
        <v>240</v>
      </c>
      <c r="O369" s="18" t="s">
        <v>57</v>
      </c>
      <c r="P369" s="18" t="s">
        <v>42</v>
      </c>
      <c r="Q369" s="19">
        <v>5700.0</v>
      </c>
    </row>
    <row r="370">
      <c r="A370" s="18" t="s">
        <v>49</v>
      </c>
      <c r="B370" s="18" t="s">
        <v>44</v>
      </c>
      <c r="C370" s="18" t="s">
        <v>76</v>
      </c>
      <c r="D370" s="18" t="s">
        <v>2811</v>
      </c>
      <c r="E370" s="18" t="s">
        <v>2812</v>
      </c>
      <c r="F370" s="18" t="s">
        <v>228</v>
      </c>
      <c r="G370" s="18">
        <v>21.13</v>
      </c>
      <c r="H370" s="18" t="s">
        <v>120</v>
      </c>
      <c r="I370" s="19">
        <v>7320.0</v>
      </c>
      <c r="J370" s="19">
        <v>8450.0</v>
      </c>
      <c r="K370" s="19">
        <v>8850.0</v>
      </c>
      <c r="L370" s="18" t="s">
        <v>3536</v>
      </c>
      <c r="M370" s="18" t="s">
        <v>3537</v>
      </c>
      <c r="N370" s="18" t="s">
        <v>240</v>
      </c>
      <c r="O370" s="18" t="s">
        <v>57</v>
      </c>
      <c r="P370" s="18" t="s">
        <v>48</v>
      </c>
      <c r="Q370" s="19">
        <v>5900.0</v>
      </c>
    </row>
    <row r="371">
      <c r="A371" s="18" t="s">
        <v>201</v>
      </c>
      <c r="B371" s="18" t="s">
        <v>44</v>
      </c>
      <c r="C371" s="18" t="s">
        <v>76</v>
      </c>
      <c r="D371" s="18" t="s">
        <v>887</v>
      </c>
      <c r="E371" s="18" t="s">
        <v>888</v>
      </c>
      <c r="F371" s="18" t="s">
        <v>228</v>
      </c>
      <c r="G371" s="18">
        <v>20.95</v>
      </c>
      <c r="H371" s="18" t="s">
        <v>120</v>
      </c>
      <c r="I371" s="19">
        <v>3950.0</v>
      </c>
      <c r="J371" s="19">
        <v>4750.0</v>
      </c>
      <c r="K371" s="19">
        <v>4600.0</v>
      </c>
      <c r="L371" s="18" t="s">
        <v>889</v>
      </c>
      <c r="M371" s="18" t="s">
        <v>890</v>
      </c>
      <c r="N371" s="18" t="s">
        <v>316</v>
      </c>
      <c r="O371" s="18" t="s">
        <v>57</v>
      </c>
      <c r="Q371" s="19">
        <v>4350.0</v>
      </c>
    </row>
    <row r="372">
      <c r="A372" s="18" t="s">
        <v>158</v>
      </c>
      <c r="B372" s="18" t="s">
        <v>44</v>
      </c>
      <c r="C372" s="18" t="s">
        <v>64</v>
      </c>
      <c r="D372" s="18" t="s">
        <v>891</v>
      </c>
      <c r="E372" s="18" t="s">
        <v>892</v>
      </c>
      <c r="F372" s="18" t="s">
        <v>228</v>
      </c>
      <c r="G372" s="18">
        <v>18.11</v>
      </c>
      <c r="H372" s="18" t="s">
        <v>120</v>
      </c>
      <c r="I372" s="19">
        <v>5516.0</v>
      </c>
      <c r="J372" s="19">
        <v>5550.0</v>
      </c>
      <c r="K372" s="19">
        <v>6700.0</v>
      </c>
      <c r="L372" s="18" t="s">
        <v>893</v>
      </c>
      <c r="M372" s="18" t="s">
        <v>894</v>
      </c>
      <c r="N372" s="18" t="s">
        <v>250</v>
      </c>
      <c r="O372" s="18" t="s">
        <v>161</v>
      </c>
      <c r="P372" s="18" t="s">
        <v>162</v>
      </c>
      <c r="Q372" s="19">
        <v>5550.0</v>
      </c>
    </row>
    <row r="373">
      <c r="A373" s="18" t="s">
        <v>145</v>
      </c>
      <c r="B373" s="18" t="s">
        <v>45</v>
      </c>
      <c r="C373" s="18" t="s">
        <v>45</v>
      </c>
      <c r="D373" s="18" t="s">
        <v>895</v>
      </c>
      <c r="E373" s="18" t="s">
        <v>896</v>
      </c>
      <c r="F373" s="18" t="s">
        <v>228</v>
      </c>
      <c r="G373" s="18">
        <v>7.0</v>
      </c>
      <c r="H373" s="18" t="s">
        <v>45</v>
      </c>
      <c r="I373" s="19">
        <v>4215.0</v>
      </c>
      <c r="J373" s="19">
        <v>4650.0</v>
      </c>
      <c r="K373" s="19">
        <v>5100.0</v>
      </c>
      <c r="L373" s="18" t="s">
        <v>897</v>
      </c>
      <c r="M373" s="18" t="s">
        <v>898</v>
      </c>
      <c r="N373" s="18" t="s">
        <v>143</v>
      </c>
      <c r="O373" s="18" t="s">
        <v>57</v>
      </c>
      <c r="P373" s="18" t="s">
        <v>63</v>
      </c>
      <c r="Q373" s="19">
        <v>4250.0</v>
      </c>
    </row>
    <row r="374">
      <c r="A374" s="18" t="s">
        <v>145</v>
      </c>
      <c r="B374" s="18" t="s">
        <v>44</v>
      </c>
      <c r="C374" s="18" t="s">
        <v>64</v>
      </c>
      <c r="D374" s="18" t="s">
        <v>899</v>
      </c>
      <c r="E374" s="18" t="s">
        <v>900</v>
      </c>
      <c r="F374" s="18" t="s">
        <v>228</v>
      </c>
      <c r="G374" s="18">
        <v>17.7</v>
      </c>
      <c r="H374" s="18" t="s">
        <v>56</v>
      </c>
      <c r="I374" s="19">
        <v>9022.0</v>
      </c>
      <c r="J374" s="19">
        <v>9950.0</v>
      </c>
      <c r="K374" s="19">
        <v>10900.0</v>
      </c>
      <c r="L374" s="18" t="s">
        <v>901</v>
      </c>
      <c r="M374" s="18" t="s">
        <v>902</v>
      </c>
      <c r="N374" s="18" t="s">
        <v>903</v>
      </c>
      <c r="O374" s="18" t="s">
        <v>57</v>
      </c>
      <c r="P374" s="18" t="s">
        <v>63</v>
      </c>
      <c r="Q374" s="19">
        <v>9050.0</v>
      </c>
    </row>
    <row r="375">
      <c r="A375" s="18" t="s">
        <v>49</v>
      </c>
      <c r="B375" s="18" t="s">
        <v>44</v>
      </c>
      <c r="C375" s="18" t="s">
        <v>76</v>
      </c>
      <c r="D375" s="18" t="s">
        <v>904</v>
      </c>
      <c r="E375" s="18" t="s">
        <v>905</v>
      </c>
      <c r="F375" s="18" t="s">
        <v>228</v>
      </c>
      <c r="G375" s="18">
        <v>21.32</v>
      </c>
      <c r="H375" s="18" t="s">
        <v>168</v>
      </c>
      <c r="I375" s="19">
        <v>7320.0</v>
      </c>
      <c r="J375" s="19">
        <v>8450.0</v>
      </c>
      <c r="K375" s="19">
        <v>10400.0</v>
      </c>
      <c r="L375" s="18" t="s">
        <v>906</v>
      </c>
      <c r="M375" s="18" t="s">
        <v>907</v>
      </c>
      <c r="N375" s="18" t="s">
        <v>240</v>
      </c>
      <c r="O375" s="18" t="s">
        <v>57</v>
      </c>
      <c r="P375" s="18" t="s">
        <v>48</v>
      </c>
      <c r="Q375" s="19">
        <v>7350.0</v>
      </c>
    </row>
    <row r="376">
      <c r="A376" s="18" t="s">
        <v>191</v>
      </c>
      <c r="B376" s="18" t="s">
        <v>44</v>
      </c>
      <c r="C376" s="18" t="s">
        <v>76</v>
      </c>
      <c r="D376" s="18" t="s">
        <v>908</v>
      </c>
      <c r="E376" s="18" t="s">
        <v>909</v>
      </c>
      <c r="F376" s="18" t="s">
        <v>228</v>
      </c>
      <c r="G376" s="18">
        <v>19.26</v>
      </c>
      <c r="H376" s="18" t="s">
        <v>120</v>
      </c>
      <c r="I376" s="19">
        <v>6600.0</v>
      </c>
      <c r="J376" s="19">
        <v>8600.0</v>
      </c>
      <c r="L376" s="18" t="s">
        <v>910</v>
      </c>
      <c r="M376" s="18" t="s">
        <v>911</v>
      </c>
      <c r="N376" s="18" t="s">
        <v>903</v>
      </c>
      <c r="O376" s="18" t="s">
        <v>57</v>
      </c>
      <c r="P376" s="18" t="s">
        <v>48</v>
      </c>
      <c r="Q376" s="19">
        <v>6850.0</v>
      </c>
    </row>
    <row r="377">
      <c r="A377" s="18" t="s">
        <v>912</v>
      </c>
      <c r="B377" s="18" t="s">
        <v>45</v>
      </c>
      <c r="C377" s="18" t="s">
        <v>45</v>
      </c>
      <c r="D377" s="18" t="s">
        <v>913</v>
      </c>
      <c r="E377" s="18" t="s">
        <v>914</v>
      </c>
      <c r="F377" s="18" t="s">
        <v>228</v>
      </c>
      <c r="G377" s="18">
        <v>10.26</v>
      </c>
      <c r="H377" s="18" t="s">
        <v>45</v>
      </c>
      <c r="I377" s="19">
        <v>2600.0</v>
      </c>
      <c r="J377" s="19">
        <v>3250.0</v>
      </c>
      <c r="K377" s="19">
        <v>3000.0</v>
      </c>
      <c r="L377" s="18" t="s">
        <v>915</v>
      </c>
      <c r="M377" s="18" t="s">
        <v>916</v>
      </c>
      <c r="N377" s="18" t="s">
        <v>403</v>
      </c>
      <c r="O377" s="18" t="s">
        <v>57</v>
      </c>
      <c r="P377" s="18" t="s">
        <v>917</v>
      </c>
      <c r="Q377" s="19">
        <v>2250.0</v>
      </c>
    </row>
    <row r="378">
      <c r="A378" s="18" t="s">
        <v>912</v>
      </c>
      <c r="B378" s="18" t="s">
        <v>44</v>
      </c>
      <c r="C378" s="18" t="s">
        <v>133</v>
      </c>
      <c r="D378" s="18" t="s">
        <v>918</v>
      </c>
      <c r="E378" s="18" t="s">
        <v>919</v>
      </c>
      <c r="F378" s="18" t="s">
        <v>228</v>
      </c>
      <c r="G378" s="18">
        <v>14.71</v>
      </c>
      <c r="H378" s="18" t="s">
        <v>56</v>
      </c>
      <c r="I378" s="19">
        <v>4650.0</v>
      </c>
      <c r="J378" s="19">
        <v>5850.0</v>
      </c>
      <c r="K378" s="19">
        <v>5400.0</v>
      </c>
      <c r="L378" s="18" t="s">
        <v>920</v>
      </c>
      <c r="M378" s="18" t="s">
        <v>916</v>
      </c>
      <c r="N378" s="18" t="s">
        <v>403</v>
      </c>
      <c r="O378" s="18" t="s">
        <v>57</v>
      </c>
      <c r="P378" s="18" t="s">
        <v>917</v>
      </c>
      <c r="Q378" s="19">
        <v>4000.0</v>
      </c>
    </row>
    <row r="379">
      <c r="A379" s="18" t="s">
        <v>154</v>
      </c>
      <c r="B379" s="18" t="s">
        <v>44</v>
      </c>
      <c r="C379" s="18" t="s">
        <v>53</v>
      </c>
      <c r="D379" s="18" t="s">
        <v>921</v>
      </c>
      <c r="E379" s="18" t="s">
        <v>922</v>
      </c>
      <c r="F379" s="18" t="s">
        <v>228</v>
      </c>
      <c r="G379" s="18">
        <v>16.0</v>
      </c>
      <c r="H379" s="18" t="s">
        <v>56</v>
      </c>
      <c r="I379" s="19">
        <v>4799.0</v>
      </c>
      <c r="J379" s="19">
        <v>6750.0</v>
      </c>
      <c r="K379" s="19">
        <v>5800.0</v>
      </c>
      <c r="L379" s="18" t="s">
        <v>923</v>
      </c>
      <c r="M379" s="18" t="s">
        <v>924</v>
      </c>
      <c r="N379" s="18" t="s">
        <v>338</v>
      </c>
      <c r="O379" s="18" t="s">
        <v>151</v>
      </c>
      <c r="P379" s="18" t="s">
        <v>157</v>
      </c>
      <c r="Q379" s="19">
        <v>5500.0</v>
      </c>
    </row>
    <row r="380">
      <c r="A380" s="18" t="s">
        <v>112</v>
      </c>
      <c r="B380" s="18" t="s">
        <v>45</v>
      </c>
      <c r="C380" s="18" t="s">
        <v>45</v>
      </c>
      <c r="D380" s="18" t="s">
        <v>925</v>
      </c>
      <c r="E380" s="18" t="s">
        <v>926</v>
      </c>
      <c r="F380" s="18" t="s">
        <v>228</v>
      </c>
      <c r="G380" s="18">
        <v>12.2</v>
      </c>
      <c r="H380" s="18" t="s">
        <v>45</v>
      </c>
      <c r="I380" s="19">
        <v>3257.0</v>
      </c>
      <c r="J380" s="19">
        <v>4600.0</v>
      </c>
      <c r="K380" s="19">
        <v>4000.0</v>
      </c>
      <c r="L380" s="18" t="s">
        <v>927</v>
      </c>
      <c r="M380" s="18" t="s">
        <v>928</v>
      </c>
      <c r="N380" s="18" t="s">
        <v>403</v>
      </c>
      <c r="O380" s="18" t="s">
        <v>198</v>
      </c>
      <c r="P380" s="18" t="s">
        <v>42</v>
      </c>
      <c r="Q380" s="19">
        <v>3950.0</v>
      </c>
    </row>
    <row r="381">
      <c r="A381" s="18" t="s">
        <v>154</v>
      </c>
      <c r="B381" s="18" t="s">
        <v>45</v>
      </c>
      <c r="C381" s="18" t="s">
        <v>45</v>
      </c>
      <c r="D381" s="18" t="s">
        <v>929</v>
      </c>
      <c r="E381" s="18" t="s">
        <v>930</v>
      </c>
      <c r="F381" s="18" t="s">
        <v>228</v>
      </c>
      <c r="G381" s="18">
        <v>13.0</v>
      </c>
      <c r="H381" s="18" t="s">
        <v>45</v>
      </c>
      <c r="I381" s="19">
        <v>3580.0</v>
      </c>
      <c r="J381" s="19">
        <v>5050.0</v>
      </c>
      <c r="K381" s="19">
        <v>4350.0</v>
      </c>
      <c r="L381" s="18" t="s">
        <v>931</v>
      </c>
      <c r="M381" s="18" t="s">
        <v>932</v>
      </c>
      <c r="N381" s="18" t="s">
        <v>316</v>
      </c>
      <c r="O381" s="18" t="s">
        <v>151</v>
      </c>
      <c r="P381" s="18" t="s">
        <v>157</v>
      </c>
      <c r="Q381" s="19">
        <v>4800.0</v>
      </c>
    </row>
    <row r="382">
      <c r="A382" s="18" t="s">
        <v>49</v>
      </c>
      <c r="B382" s="18" t="s">
        <v>45</v>
      </c>
      <c r="C382" s="18" t="s">
        <v>50</v>
      </c>
      <c r="D382" s="18" t="s">
        <v>933</v>
      </c>
      <c r="E382" s="18" t="s">
        <v>934</v>
      </c>
      <c r="F382" s="18" t="s">
        <v>228</v>
      </c>
      <c r="G382" s="18">
        <v>8.94</v>
      </c>
      <c r="H382" s="18" t="s">
        <v>40</v>
      </c>
      <c r="I382" s="19">
        <v>3551.0</v>
      </c>
      <c r="J382" s="19">
        <v>4100.0</v>
      </c>
      <c r="K382" s="19">
        <v>4350.0</v>
      </c>
      <c r="L382" s="18" t="s">
        <v>935</v>
      </c>
      <c r="M382" s="18" t="s">
        <v>936</v>
      </c>
      <c r="N382" s="18" t="s">
        <v>403</v>
      </c>
      <c r="O382" s="18" t="s">
        <v>41</v>
      </c>
      <c r="P382" s="18" t="s">
        <v>48</v>
      </c>
      <c r="Q382" s="19">
        <v>3600.0</v>
      </c>
    </row>
    <row r="383">
      <c r="A383" s="18" t="s">
        <v>148</v>
      </c>
      <c r="B383" s="18" t="s">
        <v>44</v>
      </c>
      <c r="C383" s="18" t="s">
        <v>76</v>
      </c>
      <c r="D383" s="18" t="s">
        <v>937</v>
      </c>
      <c r="E383" s="18" t="s">
        <v>938</v>
      </c>
      <c r="F383" s="18" t="s">
        <v>228</v>
      </c>
      <c r="G383" s="18">
        <v>21.9</v>
      </c>
      <c r="H383" s="18" t="s">
        <v>56</v>
      </c>
      <c r="I383" s="19">
        <v>8349.0</v>
      </c>
      <c r="J383" s="19">
        <v>8350.0</v>
      </c>
      <c r="K383" s="19">
        <v>10050.0</v>
      </c>
      <c r="L383" s="18" t="s">
        <v>939</v>
      </c>
      <c r="M383" s="18" t="s">
        <v>940</v>
      </c>
      <c r="N383" s="18" t="s">
        <v>338</v>
      </c>
      <c r="O383" s="18" t="s">
        <v>151</v>
      </c>
      <c r="P383" s="18" t="s">
        <v>48</v>
      </c>
      <c r="Q383" s="19">
        <v>8350.0</v>
      </c>
    </row>
    <row r="384">
      <c r="A384" s="18" t="s">
        <v>191</v>
      </c>
      <c r="B384" s="18" t="s">
        <v>44</v>
      </c>
      <c r="C384" s="18" t="s">
        <v>180</v>
      </c>
      <c r="D384" s="18" t="s">
        <v>941</v>
      </c>
      <c r="E384" s="18" t="s">
        <v>942</v>
      </c>
      <c r="F384" s="18" t="s">
        <v>228</v>
      </c>
      <c r="G384" s="18">
        <v>23.3</v>
      </c>
      <c r="H384" s="18" t="s">
        <v>168</v>
      </c>
      <c r="I384" s="19">
        <v>6900.0</v>
      </c>
      <c r="J384" s="19">
        <v>9000.0</v>
      </c>
      <c r="L384" s="18" t="s">
        <v>943</v>
      </c>
      <c r="M384" s="18" t="s">
        <v>944</v>
      </c>
      <c r="N384" s="18" t="s">
        <v>131</v>
      </c>
      <c r="O384" s="18" t="s">
        <v>57</v>
      </c>
      <c r="P384" s="18" t="s">
        <v>48</v>
      </c>
      <c r="Q384" s="19">
        <v>6900.0</v>
      </c>
    </row>
    <row r="385">
      <c r="A385" s="18" t="s">
        <v>912</v>
      </c>
      <c r="B385" s="18" t="s">
        <v>45</v>
      </c>
      <c r="C385" s="18" t="s">
        <v>45</v>
      </c>
      <c r="D385" s="18" t="s">
        <v>945</v>
      </c>
      <c r="E385" s="18" t="s">
        <v>946</v>
      </c>
      <c r="F385" s="18" t="s">
        <v>228</v>
      </c>
      <c r="G385" s="18">
        <v>9.05</v>
      </c>
      <c r="H385" s="18" t="s">
        <v>45</v>
      </c>
      <c r="I385" s="19">
        <v>2600.0</v>
      </c>
      <c r="J385" s="19">
        <v>3250.0</v>
      </c>
      <c r="K385" s="19">
        <v>3000.0</v>
      </c>
      <c r="L385" s="18" t="s">
        <v>947</v>
      </c>
      <c r="M385" s="18" t="s">
        <v>948</v>
      </c>
      <c r="N385" s="18" t="s">
        <v>316</v>
      </c>
      <c r="O385" s="18" t="s">
        <v>57</v>
      </c>
      <c r="P385" s="18" t="s">
        <v>917</v>
      </c>
      <c r="Q385" s="19">
        <v>2600.0</v>
      </c>
    </row>
    <row r="386">
      <c r="A386" s="18" t="s">
        <v>912</v>
      </c>
      <c r="B386" s="18" t="s">
        <v>44</v>
      </c>
      <c r="C386" s="18" t="s">
        <v>113</v>
      </c>
      <c r="D386" s="18" t="s">
        <v>949</v>
      </c>
      <c r="E386" s="18" t="s">
        <v>950</v>
      </c>
      <c r="F386" s="18" t="s">
        <v>228</v>
      </c>
      <c r="G386" s="18">
        <v>10.01</v>
      </c>
      <c r="H386" s="18" t="s">
        <v>116</v>
      </c>
      <c r="I386" s="19">
        <v>3900.0</v>
      </c>
      <c r="J386" s="19">
        <v>4900.0</v>
      </c>
      <c r="K386" s="19">
        <v>4500.0</v>
      </c>
      <c r="L386" s="18" t="s">
        <v>951</v>
      </c>
      <c r="M386" s="18" t="s">
        <v>952</v>
      </c>
      <c r="N386" s="18" t="s">
        <v>316</v>
      </c>
      <c r="O386" s="18" t="s">
        <v>57</v>
      </c>
      <c r="P386" s="18" t="s">
        <v>917</v>
      </c>
      <c r="Q386" s="19">
        <v>3900.0</v>
      </c>
    </row>
    <row r="387">
      <c r="A387" s="18" t="s">
        <v>912</v>
      </c>
      <c r="B387" s="18" t="s">
        <v>44</v>
      </c>
      <c r="C387" s="18" t="s">
        <v>113</v>
      </c>
      <c r="D387" s="18" t="s">
        <v>953</v>
      </c>
      <c r="E387" s="18" t="s">
        <v>954</v>
      </c>
      <c r="F387" s="18" t="s">
        <v>228</v>
      </c>
      <c r="G387" s="18">
        <v>10.01</v>
      </c>
      <c r="H387" s="18" t="s">
        <v>116</v>
      </c>
      <c r="I387" s="19">
        <v>3900.0</v>
      </c>
      <c r="J387" s="19">
        <v>4900.0</v>
      </c>
      <c r="K387" s="19">
        <v>4500.0</v>
      </c>
      <c r="L387" s="18" t="s">
        <v>955</v>
      </c>
      <c r="M387" s="18" t="s">
        <v>956</v>
      </c>
      <c r="N387" s="18" t="s">
        <v>316</v>
      </c>
      <c r="O387" s="18" t="s">
        <v>57</v>
      </c>
      <c r="P387" s="18" t="s">
        <v>917</v>
      </c>
      <c r="Q387" s="19">
        <v>3900.0</v>
      </c>
    </row>
    <row r="388">
      <c r="A388" s="18" t="s">
        <v>912</v>
      </c>
      <c r="B388" s="18" t="s">
        <v>45</v>
      </c>
      <c r="C388" s="18" t="s">
        <v>45</v>
      </c>
      <c r="D388" s="18" t="s">
        <v>957</v>
      </c>
      <c r="E388" s="18" t="s">
        <v>958</v>
      </c>
      <c r="F388" s="18" t="s">
        <v>228</v>
      </c>
      <c r="G388" s="18">
        <v>7.67</v>
      </c>
      <c r="H388" s="18" t="s">
        <v>45</v>
      </c>
      <c r="I388" s="19">
        <v>2600.0</v>
      </c>
      <c r="J388" s="19">
        <v>3250.0</v>
      </c>
      <c r="K388" s="19">
        <v>3000.0</v>
      </c>
      <c r="L388" s="18" t="s">
        <v>959</v>
      </c>
      <c r="M388" s="18" t="s">
        <v>960</v>
      </c>
      <c r="N388" s="18" t="s">
        <v>316</v>
      </c>
      <c r="O388" s="18" t="s">
        <v>57</v>
      </c>
      <c r="P388" s="18" t="s">
        <v>917</v>
      </c>
      <c r="Q388" s="19">
        <v>2600.0</v>
      </c>
    </row>
    <row r="389">
      <c r="A389" s="18" t="s">
        <v>912</v>
      </c>
      <c r="B389" s="18" t="s">
        <v>44</v>
      </c>
      <c r="C389" s="18" t="s">
        <v>53</v>
      </c>
      <c r="D389" s="18" t="s">
        <v>961</v>
      </c>
      <c r="E389" s="18" t="s">
        <v>962</v>
      </c>
      <c r="F389" s="18" t="s">
        <v>228</v>
      </c>
      <c r="G389" s="18">
        <v>17.54</v>
      </c>
      <c r="H389" s="18" t="s">
        <v>120</v>
      </c>
      <c r="I389" s="19">
        <v>4900.0</v>
      </c>
      <c r="J389" s="19">
        <v>6150.0</v>
      </c>
      <c r="K389" s="19">
        <v>5700.0</v>
      </c>
      <c r="L389" s="18" t="s">
        <v>963</v>
      </c>
      <c r="M389" s="18" t="s">
        <v>964</v>
      </c>
      <c r="N389" s="18" t="s">
        <v>316</v>
      </c>
      <c r="O389" s="18" t="s">
        <v>57</v>
      </c>
      <c r="P389" s="18" t="s">
        <v>917</v>
      </c>
      <c r="Q389" s="19">
        <v>4900.0</v>
      </c>
    </row>
    <row r="390">
      <c r="A390" s="18" t="s">
        <v>912</v>
      </c>
      <c r="B390" s="18" t="s">
        <v>44</v>
      </c>
      <c r="C390" s="18" t="s">
        <v>965</v>
      </c>
      <c r="D390" s="18" t="s">
        <v>966</v>
      </c>
      <c r="E390" s="18" t="s">
        <v>967</v>
      </c>
      <c r="F390" s="18" t="s">
        <v>228</v>
      </c>
      <c r="G390" s="18">
        <v>18.58</v>
      </c>
      <c r="H390" s="18" t="s">
        <v>168</v>
      </c>
      <c r="I390" s="19">
        <v>5285.0</v>
      </c>
      <c r="J390" s="19">
        <v>6650.0</v>
      </c>
      <c r="K390" s="19">
        <v>6600.0</v>
      </c>
      <c r="L390" s="18" t="s">
        <v>968</v>
      </c>
      <c r="M390" s="18" t="s">
        <v>969</v>
      </c>
      <c r="N390" s="18" t="s">
        <v>316</v>
      </c>
      <c r="O390" s="18" t="s">
        <v>57</v>
      </c>
      <c r="P390" s="18" t="s">
        <v>917</v>
      </c>
      <c r="Q390" s="19">
        <v>5300.0</v>
      </c>
    </row>
    <row r="391">
      <c r="A391" s="18" t="s">
        <v>912</v>
      </c>
      <c r="B391" s="18" t="s">
        <v>44</v>
      </c>
      <c r="C391" s="18" t="s">
        <v>53</v>
      </c>
      <c r="D391" s="18" t="s">
        <v>970</v>
      </c>
      <c r="E391" s="18" t="s">
        <v>971</v>
      </c>
      <c r="F391" s="18" t="s">
        <v>228</v>
      </c>
      <c r="G391" s="18">
        <v>16.2</v>
      </c>
      <c r="H391" s="18" t="s">
        <v>120</v>
      </c>
      <c r="I391" s="19">
        <v>4900.0</v>
      </c>
      <c r="J391" s="19">
        <v>6150.0</v>
      </c>
      <c r="K391" s="19">
        <v>5700.0</v>
      </c>
      <c r="L391" s="18" t="s">
        <v>972</v>
      </c>
      <c r="M391" s="18" t="s">
        <v>973</v>
      </c>
      <c r="N391" s="18" t="s">
        <v>316</v>
      </c>
      <c r="O391" s="18" t="s">
        <v>57</v>
      </c>
      <c r="P391" s="18" t="s">
        <v>917</v>
      </c>
      <c r="Q391" s="19">
        <v>4900.0</v>
      </c>
    </row>
    <row r="392">
      <c r="A392" s="18" t="s">
        <v>225</v>
      </c>
      <c r="B392" s="18" t="s">
        <v>44</v>
      </c>
      <c r="C392" s="18" t="s">
        <v>133</v>
      </c>
      <c r="D392" s="18" t="s">
        <v>974</v>
      </c>
      <c r="E392" s="18" t="s">
        <v>975</v>
      </c>
      <c r="F392" s="18" t="s">
        <v>228</v>
      </c>
      <c r="G392" s="18">
        <v>14.16</v>
      </c>
      <c r="H392" s="18" t="s">
        <v>56</v>
      </c>
      <c r="I392" s="19">
        <v>4650.0</v>
      </c>
      <c r="J392" s="19">
        <v>6050.0</v>
      </c>
      <c r="K392" s="19">
        <v>5400.0</v>
      </c>
      <c r="L392" s="18" t="s">
        <v>976</v>
      </c>
      <c r="M392" s="18" t="s">
        <v>977</v>
      </c>
      <c r="N392" s="18" t="s">
        <v>403</v>
      </c>
      <c r="O392" s="18" t="s">
        <v>161</v>
      </c>
      <c r="P392" s="18" t="s">
        <v>162</v>
      </c>
      <c r="Q392" s="19">
        <v>5150.0</v>
      </c>
    </row>
    <row r="393">
      <c r="A393" s="18" t="s">
        <v>282</v>
      </c>
      <c r="B393" s="18" t="s">
        <v>44</v>
      </c>
      <c r="C393" s="18" t="s">
        <v>113</v>
      </c>
      <c r="D393" s="18" t="s">
        <v>978</v>
      </c>
      <c r="E393" s="18" t="s">
        <v>979</v>
      </c>
      <c r="F393" s="18" t="s">
        <v>228</v>
      </c>
      <c r="G393" s="18">
        <v>11.61</v>
      </c>
      <c r="H393" s="18" t="s">
        <v>56</v>
      </c>
      <c r="I393" s="19">
        <v>4188.0</v>
      </c>
      <c r="J393" s="19">
        <v>5050.0</v>
      </c>
      <c r="K393" s="19">
        <v>5050.0</v>
      </c>
      <c r="L393" s="18" t="s">
        <v>980</v>
      </c>
      <c r="M393" s="18" t="s">
        <v>981</v>
      </c>
      <c r="N393" s="18" t="s">
        <v>903</v>
      </c>
      <c r="O393" s="18" t="s">
        <v>41</v>
      </c>
      <c r="P393" s="18" t="s">
        <v>63</v>
      </c>
      <c r="Q393" s="19">
        <v>4400.0</v>
      </c>
    </row>
    <row r="394">
      <c r="A394" s="18" t="s">
        <v>201</v>
      </c>
      <c r="B394" s="18" t="s">
        <v>45</v>
      </c>
      <c r="C394" s="18" t="s">
        <v>45</v>
      </c>
      <c r="D394" s="18" t="s">
        <v>206</v>
      </c>
      <c r="E394" s="18" t="s">
        <v>207</v>
      </c>
      <c r="F394" s="18" t="s">
        <v>228</v>
      </c>
      <c r="G394" s="18">
        <v>10.13</v>
      </c>
      <c r="H394" s="18" t="s">
        <v>45</v>
      </c>
      <c r="I394" s="19">
        <v>1900.0</v>
      </c>
      <c r="J394" s="19">
        <v>2300.0</v>
      </c>
      <c r="K394" s="19">
        <v>2300.0</v>
      </c>
      <c r="L394" s="18" t="s">
        <v>3538</v>
      </c>
      <c r="M394" s="18" t="s">
        <v>3539</v>
      </c>
      <c r="N394" s="18" t="s">
        <v>316</v>
      </c>
      <c r="O394" s="18" t="s">
        <v>57</v>
      </c>
      <c r="Q394" s="19">
        <v>2100.0</v>
      </c>
    </row>
    <row r="395">
      <c r="A395" s="18" t="s">
        <v>3403</v>
      </c>
      <c r="B395" s="18" t="s">
        <v>400</v>
      </c>
      <c r="C395" s="18" t="s">
        <v>400</v>
      </c>
      <c r="D395" s="18" t="s">
        <v>3540</v>
      </c>
      <c r="E395" s="18" t="s">
        <v>3541</v>
      </c>
      <c r="F395" s="18" t="s">
        <v>228</v>
      </c>
      <c r="H395" s="18" t="s">
        <v>400</v>
      </c>
      <c r="I395" s="19">
        <v>3000.0</v>
      </c>
      <c r="J395" s="19">
        <v>3000.0</v>
      </c>
      <c r="L395" s="18" t="s">
        <v>3542</v>
      </c>
      <c r="M395" s="18" t="s">
        <v>3543</v>
      </c>
      <c r="N395" s="18" t="s">
        <v>250</v>
      </c>
      <c r="O395" s="18" t="s">
        <v>3544</v>
      </c>
      <c r="Q395" s="19">
        <v>3000.0</v>
      </c>
    </row>
    <row r="396">
      <c r="A396" s="18" t="s">
        <v>3068</v>
      </c>
      <c r="B396" s="18" t="s">
        <v>44</v>
      </c>
      <c r="C396" s="18" t="s">
        <v>113</v>
      </c>
      <c r="D396" s="18" t="s">
        <v>3545</v>
      </c>
      <c r="E396" s="18" t="s">
        <v>3546</v>
      </c>
      <c r="F396" s="18" t="s">
        <v>228</v>
      </c>
      <c r="H396" s="18" t="s">
        <v>56</v>
      </c>
      <c r="I396" s="19">
        <v>3800.0</v>
      </c>
      <c r="J396" s="19">
        <v>3800.0</v>
      </c>
      <c r="L396" s="18" t="s">
        <v>3547</v>
      </c>
      <c r="M396" s="18" t="s">
        <v>3548</v>
      </c>
      <c r="N396" s="18" t="s">
        <v>250</v>
      </c>
      <c r="O396" s="18" t="s">
        <v>83</v>
      </c>
      <c r="Q396" s="19">
        <v>0.0</v>
      </c>
    </row>
    <row r="397">
      <c r="A397" s="18" t="s">
        <v>191</v>
      </c>
      <c r="B397" s="18" t="s">
        <v>44</v>
      </c>
      <c r="C397" s="18" t="s">
        <v>76</v>
      </c>
      <c r="D397" s="18" t="s">
        <v>982</v>
      </c>
      <c r="E397" s="18" t="s">
        <v>983</v>
      </c>
      <c r="F397" s="18" t="s">
        <v>228</v>
      </c>
      <c r="G397" s="18">
        <v>20.1</v>
      </c>
      <c r="H397" s="18" t="s">
        <v>120</v>
      </c>
      <c r="I397" s="19">
        <v>6600.0</v>
      </c>
      <c r="J397" s="19">
        <v>8600.0</v>
      </c>
      <c r="L397" s="18" t="s">
        <v>984</v>
      </c>
      <c r="M397" s="18" t="s">
        <v>985</v>
      </c>
      <c r="N397" s="18" t="s">
        <v>403</v>
      </c>
      <c r="O397" s="18" t="s">
        <v>613</v>
      </c>
      <c r="P397" s="18" t="s">
        <v>48</v>
      </c>
      <c r="Q397" s="19">
        <v>6600.0</v>
      </c>
    </row>
    <row r="398">
      <c r="A398" s="18" t="s">
        <v>225</v>
      </c>
      <c r="B398" s="18" t="s">
        <v>44</v>
      </c>
      <c r="C398" s="18" t="s">
        <v>113</v>
      </c>
      <c r="D398" s="18" t="s">
        <v>986</v>
      </c>
      <c r="E398" s="18" t="s">
        <v>987</v>
      </c>
      <c r="F398" s="18" t="s">
        <v>228</v>
      </c>
      <c r="G398" s="18">
        <v>12.7</v>
      </c>
      <c r="H398" s="18" t="s">
        <v>56</v>
      </c>
      <c r="I398" s="19">
        <v>4150.0</v>
      </c>
      <c r="J398" s="19">
        <v>5400.0</v>
      </c>
      <c r="K398" s="19">
        <v>4800.0</v>
      </c>
      <c r="L398" s="18" t="s">
        <v>988</v>
      </c>
      <c r="M398" s="18" t="s">
        <v>977</v>
      </c>
      <c r="N398" s="18" t="s">
        <v>403</v>
      </c>
      <c r="O398" s="18" t="s">
        <v>161</v>
      </c>
      <c r="P398" s="18" t="s">
        <v>162</v>
      </c>
      <c r="Q398" s="19">
        <v>4600.0</v>
      </c>
    </row>
    <row r="399">
      <c r="A399" s="18" t="s">
        <v>138</v>
      </c>
      <c r="B399" s="18" t="s">
        <v>44</v>
      </c>
      <c r="C399" s="18" t="s">
        <v>64</v>
      </c>
      <c r="D399" s="18" t="s">
        <v>989</v>
      </c>
      <c r="E399" s="18" t="s">
        <v>990</v>
      </c>
      <c r="F399" s="18" t="s">
        <v>228</v>
      </c>
      <c r="G399" s="18">
        <v>17.89</v>
      </c>
      <c r="H399" s="18" t="s">
        <v>120</v>
      </c>
      <c r="I399" s="19">
        <v>3944.0</v>
      </c>
      <c r="J399" s="19">
        <v>5750.0</v>
      </c>
      <c r="K399" s="19">
        <v>4750.0</v>
      </c>
      <c r="L399" s="18" t="s">
        <v>991</v>
      </c>
      <c r="M399" s="18" t="s">
        <v>992</v>
      </c>
      <c r="N399" s="18" t="s">
        <v>403</v>
      </c>
      <c r="O399" s="18" t="s">
        <v>57</v>
      </c>
      <c r="P399" s="18" t="s">
        <v>144</v>
      </c>
      <c r="Q399" s="19">
        <v>5150.0</v>
      </c>
    </row>
    <row r="400">
      <c r="A400" s="18" t="s">
        <v>154</v>
      </c>
      <c r="B400" s="18" t="s">
        <v>44</v>
      </c>
      <c r="C400" s="18" t="s">
        <v>76</v>
      </c>
      <c r="D400" s="18" t="s">
        <v>993</v>
      </c>
      <c r="E400" s="18" t="s">
        <v>994</v>
      </c>
      <c r="F400" s="18" t="s">
        <v>228</v>
      </c>
      <c r="G400" s="18">
        <v>20.1</v>
      </c>
      <c r="H400" s="18" t="s">
        <v>56</v>
      </c>
      <c r="I400" s="19">
        <v>6090.0</v>
      </c>
      <c r="J400" s="19">
        <v>8550.0</v>
      </c>
      <c r="K400" s="19">
        <v>7350.0</v>
      </c>
      <c r="L400" s="18" t="s">
        <v>995</v>
      </c>
      <c r="M400" s="18" t="s">
        <v>996</v>
      </c>
      <c r="N400" s="18" t="s">
        <v>250</v>
      </c>
      <c r="O400" s="18" t="s">
        <v>151</v>
      </c>
      <c r="P400" s="18" t="s">
        <v>157</v>
      </c>
      <c r="Q400" s="19">
        <v>7990.0</v>
      </c>
    </row>
    <row r="401">
      <c r="A401" s="18" t="s">
        <v>216</v>
      </c>
      <c r="B401" s="18" t="s">
        <v>44</v>
      </c>
      <c r="C401" s="18" t="s">
        <v>151</v>
      </c>
      <c r="D401" s="18" t="s">
        <v>997</v>
      </c>
      <c r="E401" s="18" t="s">
        <v>998</v>
      </c>
      <c r="F401" s="18" t="s">
        <v>228</v>
      </c>
      <c r="G401" s="18">
        <v>23.93</v>
      </c>
      <c r="H401" s="18" t="s">
        <v>168</v>
      </c>
      <c r="I401" s="19">
        <v>6771.0</v>
      </c>
      <c r="J401" s="19">
        <v>9500.0</v>
      </c>
      <c r="K401" s="19">
        <v>8200.0</v>
      </c>
      <c r="L401" s="18" t="s">
        <v>999</v>
      </c>
      <c r="M401" s="18" t="s">
        <v>1000</v>
      </c>
      <c r="N401" s="18" t="s">
        <v>1001</v>
      </c>
      <c r="O401" s="18" t="s">
        <v>57</v>
      </c>
      <c r="P401" s="18" t="s">
        <v>42</v>
      </c>
      <c r="Q401" s="19">
        <v>8850.0</v>
      </c>
    </row>
    <row r="402">
      <c r="A402" s="18" t="s">
        <v>49</v>
      </c>
      <c r="B402" s="18" t="s">
        <v>44</v>
      </c>
      <c r="C402" s="18" t="s">
        <v>53</v>
      </c>
      <c r="D402" s="18" t="s">
        <v>1002</v>
      </c>
      <c r="E402" s="18" t="s">
        <v>1003</v>
      </c>
      <c r="F402" s="18" t="s">
        <v>228</v>
      </c>
      <c r="G402" s="18">
        <v>15.47</v>
      </c>
      <c r="H402" s="18" t="s">
        <v>56</v>
      </c>
      <c r="I402" s="19">
        <v>6445.0</v>
      </c>
      <c r="J402" s="19">
        <v>7450.0</v>
      </c>
      <c r="K402" s="19">
        <v>7750.0</v>
      </c>
      <c r="L402" s="18" t="s">
        <v>1004</v>
      </c>
      <c r="M402" s="18" t="s">
        <v>1005</v>
      </c>
      <c r="N402" s="18" t="s">
        <v>903</v>
      </c>
      <c r="O402" s="18" t="s">
        <v>83</v>
      </c>
      <c r="P402" s="18" t="s">
        <v>48</v>
      </c>
      <c r="Q402" s="19">
        <v>3222.5</v>
      </c>
    </row>
    <row r="403">
      <c r="A403" s="18" t="s">
        <v>216</v>
      </c>
      <c r="B403" s="18" t="s">
        <v>44</v>
      </c>
      <c r="C403" s="18" t="s">
        <v>133</v>
      </c>
      <c r="D403" s="18" t="s">
        <v>1006</v>
      </c>
      <c r="E403" s="18" t="s">
        <v>1007</v>
      </c>
      <c r="F403" s="18" t="s">
        <v>228</v>
      </c>
      <c r="G403" s="18">
        <v>14.55</v>
      </c>
      <c r="H403" s="18" t="s">
        <v>56</v>
      </c>
      <c r="I403" s="19">
        <v>5323.0</v>
      </c>
      <c r="J403" s="19">
        <v>7500.0</v>
      </c>
      <c r="K403" s="19">
        <v>6450.0</v>
      </c>
      <c r="L403" s="18" t="s">
        <v>1008</v>
      </c>
      <c r="M403" s="18" t="s">
        <v>1009</v>
      </c>
      <c r="N403" s="18" t="s">
        <v>903</v>
      </c>
      <c r="O403" s="18" t="s">
        <v>57</v>
      </c>
      <c r="P403" s="18" t="s">
        <v>42</v>
      </c>
      <c r="Q403" s="19">
        <v>6650.0</v>
      </c>
    </row>
    <row r="404">
      <c r="A404" s="18" t="s">
        <v>191</v>
      </c>
      <c r="B404" s="18" t="s">
        <v>44</v>
      </c>
      <c r="C404" s="18" t="s">
        <v>64</v>
      </c>
      <c r="D404" s="18" t="s">
        <v>1010</v>
      </c>
      <c r="E404" s="18" t="s">
        <v>1011</v>
      </c>
      <c r="F404" s="18" t="s">
        <v>228</v>
      </c>
      <c r="G404" s="18">
        <v>18.39</v>
      </c>
      <c r="H404" s="18" t="s">
        <v>120</v>
      </c>
      <c r="I404" s="19">
        <v>6200.0</v>
      </c>
      <c r="J404" s="19">
        <v>8100.0</v>
      </c>
      <c r="L404" s="18" t="s">
        <v>1012</v>
      </c>
      <c r="M404" s="18" t="s">
        <v>1013</v>
      </c>
      <c r="N404" s="18" t="s">
        <v>1001</v>
      </c>
      <c r="O404" s="18" t="s">
        <v>57</v>
      </c>
      <c r="P404" s="18" t="s">
        <v>48</v>
      </c>
      <c r="Q404" s="19">
        <v>6850.0</v>
      </c>
    </row>
    <row r="405">
      <c r="A405" s="18" t="s">
        <v>148</v>
      </c>
      <c r="B405" s="18" t="s">
        <v>44</v>
      </c>
      <c r="C405" s="18" t="s">
        <v>76</v>
      </c>
      <c r="D405" s="18" t="s">
        <v>2634</v>
      </c>
      <c r="E405" s="18" t="s">
        <v>2635</v>
      </c>
      <c r="F405" s="18" t="s">
        <v>228</v>
      </c>
      <c r="G405" s="18">
        <v>20.0</v>
      </c>
      <c r="H405" s="18" t="s">
        <v>56</v>
      </c>
      <c r="I405" s="19">
        <v>7514.0</v>
      </c>
      <c r="J405" s="19">
        <v>7550.0</v>
      </c>
      <c r="K405" s="19">
        <v>9100.0</v>
      </c>
      <c r="L405" s="18" t="s">
        <v>3549</v>
      </c>
      <c r="M405" s="18" t="s">
        <v>3550</v>
      </c>
      <c r="N405" s="18" t="s">
        <v>403</v>
      </c>
      <c r="O405" s="18" t="s">
        <v>57</v>
      </c>
      <c r="P405" s="18" t="s">
        <v>48</v>
      </c>
      <c r="Q405" s="19">
        <v>7550.0</v>
      </c>
    </row>
    <row r="406">
      <c r="A406" s="18" t="s">
        <v>138</v>
      </c>
      <c r="B406" s="18" t="s">
        <v>44</v>
      </c>
      <c r="C406" s="18" t="s">
        <v>151</v>
      </c>
      <c r="D406" s="18" t="s">
        <v>1014</v>
      </c>
      <c r="E406" s="18" t="s">
        <v>1015</v>
      </c>
      <c r="F406" s="18" t="s">
        <v>228</v>
      </c>
      <c r="G406" s="18">
        <v>27.89</v>
      </c>
      <c r="H406" s="18" t="s">
        <v>168</v>
      </c>
      <c r="I406" s="19">
        <v>4973.0</v>
      </c>
      <c r="J406" s="19">
        <v>7250.0</v>
      </c>
      <c r="K406" s="19">
        <v>6000.0</v>
      </c>
      <c r="L406" s="18" t="s">
        <v>1016</v>
      </c>
      <c r="M406" s="18" t="s">
        <v>1017</v>
      </c>
      <c r="N406" s="18" t="s">
        <v>403</v>
      </c>
      <c r="O406" s="18" t="s">
        <v>41</v>
      </c>
      <c r="P406" s="18" t="s">
        <v>144</v>
      </c>
      <c r="Q406" s="19">
        <v>5150.0</v>
      </c>
    </row>
    <row r="407">
      <c r="A407" s="18" t="s">
        <v>282</v>
      </c>
      <c r="B407" s="18" t="s">
        <v>44</v>
      </c>
      <c r="C407" s="18" t="s">
        <v>113</v>
      </c>
      <c r="D407" s="18" t="s">
        <v>1018</v>
      </c>
      <c r="E407" s="18" t="s">
        <v>1019</v>
      </c>
      <c r="F407" s="18" t="s">
        <v>228</v>
      </c>
      <c r="G407" s="18">
        <v>12.92</v>
      </c>
      <c r="H407" s="18" t="s">
        <v>56</v>
      </c>
      <c r="I407" s="19">
        <v>4188.0</v>
      </c>
      <c r="J407" s="19">
        <v>5050.0</v>
      </c>
      <c r="K407" s="19">
        <v>5050.0</v>
      </c>
      <c r="L407" s="18" t="s">
        <v>1020</v>
      </c>
      <c r="M407" s="18" t="s">
        <v>1021</v>
      </c>
      <c r="N407" s="18" t="s">
        <v>131</v>
      </c>
      <c r="O407" s="18" t="s">
        <v>57</v>
      </c>
      <c r="P407" s="18" t="s">
        <v>63</v>
      </c>
      <c r="Q407" s="19">
        <v>4400.0</v>
      </c>
    </row>
    <row r="408">
      <c r="A408" s="18" t="s">
        <v>43</v>
      </c>
      <c r="B408" s="18" t="s">
        <v>44</v>
      </c>
      <c r="C408" s="18" t="s">
        <v>76</v>
      </c>
      <c r="D408" s="18" t="s">
        <v>1022</v>
      </c>
      <c r="E408" s="18" t="s">
        <v>1023</v>
      </c>
      <c r="F408" s="18" t="s">
        <v>228</v>
      </c>
      <c r="G408" s="18">
        <v>21.27</v>
      </c>
      <c r="H408" s="18" t="s">
        <v>120</v>
      </c>
      <c r="I408" s="19">
        <v>7200.0</v>
      </c>
      <c r="J408" s="19">
        <v>8650.0</v>
      </c>
      <c r="L408" s="18" t="s">
        <v>1024</v>
      </c>
      <c r="M408" s="18" t="s">
        <v>265</v>
      </c>
      <c r="N408" s="18" t="s">
        <v>240</v>
      </c>
      <c r="O408" s="18" t="s">
        <v>57</v>
      </c>
      <c r="P408" s="18" t="s">
        <v>48</v>
      </c>
      <c r="Q408" s="19">
        <v>7950.0</v>
      </c>
    </row>
    <row r="409">
      <c r="A409" s="18" t="s">
        <v>138</v>
      </c>
      <c r="B409" s="18" t="s">
        <v>44</v>
      </c>
      <c r="C409" s="18" t="s">
        <v>53</v>
      </c>
      <c r="D409" s="18" t="s">
        <v>1025</v>
      </c>
      <c r="E409" s="18" t="s">
        <v>1026</v>
      </c>
      <c r="F409" s="18" t="s">
        <v>228</v>
      </c>
      <c r="G409" s="18">
        <v>16.41</v>
      </c>
      <c r="H409" s="18" t="s">
        <v>56</v>
      </c>
      <c r="I409" s="19">
        <v>3529.0</v>
      </c>
      <c r="J409" s="19">
        <v>5150.0</v>
      </c>
      <c r="K409" s="19">
        <v>4300.0</v>
      </c>
      <c r="L409" s="18" t="s">
        <v>1027</v>
      </c>
      <c r="M409" s="18" t="s">
        <v>1028</v>
      </c>
      <c r="N409" s="18" t="s">
        <v>903</v>
      </c>
      <c r="O409" s="18" t="s">
        <v>41</v>
      </c>
      <c r="P409" s="18" t="s">
        <v>144</v>
      </c>
      <c r="Q409" s="19">
        <v>4600.0</v>
      </c>
    </row>
    <row r="410">
      <c r="A410" s="18" t="s">
        <v>1029</v>
      </c>
      <c r="B410" s="18" t="s">
        <v>44</v>
      </c>
      <c r="C410" s="18" t="s">
        <v>76</v>
      </c>
      <c r="D410" s="18" t="s">
        <v>1030</v>
      </c>
      <c r="E410" s="18" t="s">
        <v>1031</v>
      </c>
      <c r="F410" s="18" t="s">
        <v>228</v>
      </c>
      <c r="G410" s="18">
        <v>19.72</v>
      </c>
      <c r="H410" s="18" t="s">
        <v>120</v>
      </c>
      <c r="I410" s="19">
        <v>550.0</v>
      </c>
      <c r="J410" s="19">
        <v>440.0</v>
      </c>
      <c r="L410" s="18" t="s">
        <v>1032</v>
      </c>
      <c r="M410" s="18" t="s">
        <v>1033</v>
      </c>
      <c r="N410" s="18" t="s">
        <v>1034</v>
      </c>
      <c r="O410" s="18" t="s">
        <v>41</v>
      </c>
      <c r="Q410" s="19">
        <v>490.0</v>
      </c>
    </row>
    <row r="411">
      <c r="A411" s="18" t="s">
        <v>216</v>
      </c>
      <c r="B411" s="18" t="s">
        <v>45</v>
      </c>
      <c r="C411" s="18" t="s">
        <v>45</v>
      </c>
      <c r="D411" s="18" t="s">
        <v>1035</v>
      </c>
      <c r="E411" s="18" t="s">
        <v>1036</v>
      </c>
      <c r="F411" s="18" t="s">
        <v>228</v>
      </c>
      <c r="G411" s="18">
        <v>9.51</v>
      </c>
      <c r="H411" s="18" t="s">
        <v>45</v>
      </c>
      <c r="I411" s="19">
        <v>3194.0</v>
      </c>
      <c r="J411" s="19">
        <v>4500.0</v>
      </c>
      <c r="K411" s="19">
        <v>3850.0</v>
      </c>
      <c r="L411" s="18" t="s">
        <v>1037</v>
      </c>
      <c r="M411" s="18" t="s">
        <v>1038</v>
      </c>
      <c r="N411" s="18" t="s">
        <v>131</v>
      </c>
      <c r="O411" s="18" t="s">
        <v>57</v>
      </c>
      <c r="P411" s="18" t="s">
        <v>42</v>
      </c>
      <c r="Q411" s="19">
        <v>3850.0</v>
      </c>
    </row>
    <row r="412">
      <c r="A412" s="18" t="s">
        <v>49</v>
      </c>
      <c r="B412" s="18" t="s">
        <v>44</v>
      </c>
      <c r="C412" s="18" t="s">
        <v>133</v>
      </c>
      <c r="D412" s="18" t="s">
        <v>1039</v>
      </c>
      <c r="E412" s="18" t="s">
        <v>1040</v>
      </c>
      <c r="F412" s="18" t="s">
        <v>228</v>
      </c>
      <c r="G412" s="18">
        <v>13.07</v>
      </c>
      <c r="H412" s="18" t="s">
        <v>56</v>
      </c>
      <c r="I412" s="19">
        <v>5680.0</v>
      </c>
      <c r="J412" s="19">
        <v>6550.0</v>
      </c>
      <c r="K412" s="19">
        <v>6850.0</v>
      </c>
      <c r="L412" s="18" t="s">
        <v>1041</v>
      </c>
      <c r="M412" s="18" t="s">
        <v>1042</v>
      </c>
      <c r="N412" s="18" t="s">
        <v>403</v>
      </c>
      <c r="O412" s="18" t="s">
        <v>57</v>
      </c>
      <c r="P412" s="18" t="s">
        <v>48</v>
      </c>
      <c r="Q412" s="19">
        <v>5700.0</v>
      </c>
    </row>
    <row r="413">
      <c r="A413" s="18" t="s">
        <v>49</v>
      </c>
      <c r="B413" s="18" t="s">
        <v>44</v>
      </c>
      <c r="C413" s="18" t="s">
        <v>53</v>
      </c>
      <c r="D413" s="18" t="s">
        <v>1043</v>
      </c>
      <c r="E413" s="18" t="s">
        <v>1044</v>
      </c>
      <c r="F413" s="18" t="s">
        <v>228</v>
      </c>
      <c r="G413" s="18">
        <v>16.44</v>
      </c>
      <c r="H413" s="18" t="s">
        <v>56</v>
      </c>
      <c r="I413" s="19">
        <v>6445.0</v>
      </c>
      <c r="J413" s="19">
        <v>7450.0</v>
      </c>
      <c r="L413" s="18" t="s">
        <v>1045</v>
      </c>
      <c r="M413" s="18" t="s">
        <v>1046</v>
      </c>
      <c r="N413" s="18" t="s">
        <v>903</v>
      </c>
      <c r="O413" s="18" t="s">
        <v>83</v>
      </c>
      <c r="P413" s="18" t="s">
        <v>48</v>
      </c>
      <c r="Q413" s="19">
        <v>3222.5</v>
      </c>
    </row>
    <row r="414">
      <c r="A414" s="18" t="s">
        <v>49</v>
      </c>
      <c r="B414" s="18" t="s">
        <v>44</v>
      </c>
      <c r="C414" s="18" t="s">
        <v>53</v>
      </c>
      <c r="D414" s="18" t="s">
        <v>1047</v>
      </c>
      <c r="E414" s="18" t="s">
        <v>1048</v>
      </c>
      <c r="F414" s="18" t="s">
        <v>228</v>
      </c>
      <c r="G414" s="18">
        <v>16.44</v>
      </c>
      <c r="H414" s="18" t="s">
        <v>56</v>
      </c>
      <c r="I414" s="19">
        <v>6445.0</v>
      </c>
      <c r="J414" s="19">
        <v>7450.0</v>
      </c>
      <c r="L414" s="18" t="s">
        <v>1049</v>
      </c>
      <c r="M414" s="18" t="s">
        <v>1050</v>
      </c>
      <c r="N414" s="18" t="s">
        <v>903</v>
      </c>
      <c r="O414" s="18" t="s">
        <v>83</v>
      </c>
      <c r="P414" s="18" t="s">
        <v>48</v>
      </c>
      <c r="Q414" s="19">
        <v>3222.5</v>
      </c>
    </row>
    <row r="415">
      <c r="A415" s="18" t="s">
        <v>49</v>
      </c>
      <c r="B415" s="18" t="s">
        <v>44</v>
      </c>
      <c r="C415" s="18" t="s">
        <v>53</v>
      </c>
      <c r="D415" s="18" t="s">
        <v>1051</v>
      </c>
      <c r="E415" s="18" t="s">
        <v>1052</v>
      </c>
      <c r="F415" s="18" t="s">
        <v>228</v>
      </c>
      <c r="G415" s="18">
        <v>15.5</v>
      </c>
      <c r="H415" s="18" t="s">
        <v>56</v>
      </c>
      <c r="I415" s="19">
        <v>6445.0</v>
      </c>
      <c r="J415" s="19">
        <v>7450.0</v>
      </c>
      <c r="K415" s="19">
        <v>7750.0</v>
      </c>
      <c r="L415" s="18" t="s">
        <v>1053</v>
      </c>
      <c r="M415" s="18" t="s">
        <v>1054</v>
      </c>
      <c r="N415" s="18" t="s">
        <v>903</v>
      </c>
      <c r="O415" s="18" t="s">
        <v>83</v>
      </c>
      <c r="P415" s="18" t="s">
        <v>48</v>
      </c>
      <c r="Q415" s="19">
        <v>3222.5</v>
      </c>
    </row>
    <row r="416">
      <c r="A416" s="18" t="s">
        <v>49</v>
      </c>
      <c r="B416" s="18" t="s">
        <v>44</v>
      </c>
      <c r="C416" s="18" t="s">
        <v>53</v>
      </c>
      <c r="D416" s="18" t="s">
        <v>1055</v>
      </c>
      <c r="E416" s="18" t="s">
        <v>1056</v>
      </c>
      <c r="F416" s="18" t="s">
        <v>228</v>
      </c>
      <c r="G416" s="18">
        <v>15.5</v>
      </c>
      <c r="H416" s="18" t="s">
        <v>56</v>
      </c>
      <c r="I416" s="19">
        <v>6445.0</v>
      </c>
      <c r="J416" s="19">
        <v>7450.0</v>
      </c>
      <c r="K416" s="19">
        <v>7750.0</v>
      </c>
      <c r="L416" s="18" t="s">
        <v>1057</v>
      </c>
      <c r="M416" s="18" t="s">
        <v>1058</v>
      </c>
      <c r="N416" s="18" t="s">
        <v>903</v>
      </c>
      <c r="O416" s="18" t="s">
        <v>83</v>
      </c>
      <c r="P416" s="18" t="s">
        <v>48</v>
      </c>
      <c r="Q416" s="19">
        <v>3222.5</v>
      </c>
    </row>
    <row r="417">
      <c r="A417" s="18" t="s">
        <v>49</v>
      </c>
      <c r="B417" s="18" t="s">
        <v>44</v>
      </c>
      <c r="C417" s="18" t="s">
        <v>53</v>
      </c>
      <c r="D417" s="18" t="s">
        <v>1059</v>
      </c>
      <c r="E417" s="18" t="s">
        <v>1060</v>
      </c>
      <c r="F417" s="18" t="s">
        <v>228</v>
      </c>
      <c r="G417" s="18">
        <v>15.5</v>
      </c>
      <c r="H417" s="18" t="s">
        <v>56</v>
      </c>
      <c r="I417" s="19">
        <v>6445.0</v>
      </c>
      <c r="J417" s="19">
        <v>7450.0</v>
      </c>
      <c r="K417" s="19">
        <v>7750.0</v>
      </c>
      <c r="L417" s="18" t="s">
        <v>1061</v>
      </c>
      <c r="M417" s="18" t="s">
        <v>1062</v>
      </c>
      <c r="N417" s="18" t="s">
        <v>903</v>
      </c>
      <c r="O417" s="18" t="s">
        <v>83</v>
      </c>
      <c r="P417" s="18" t="s">
        <v>48</v>
      </c>
      <c r="Q417" s="19">
        <v>3222.5</v>
      </c>
    </row>
    <row r="418">
      <c r="A418" s="18" t="s">
        <v>49</v>
      </c>
      <c r="B418" s="18" t="s">
        <v>44</v>
      </c>
      <c r="C418" s="18" t="s">
        <v>53</v>
      </c>
      <c r="D418" s="18" t="s">
        <v>1063</v>
      </c>
      <c r="E418" s="18" t="s">
        <v>1064</v>
      </c>
      <c r="F418" s="18" t="s">
        <v>228</v>
      </c>
      <c r="G418" s="18">
        <v>15.5</v>
      </c>
      <c r="H418" s="18" t="s">
        <v>56</v>
      </c>
      <c r="I418" s="19">
        <v>6445.0</v>
      </c>
      <c r="J418" s="19">
        <v>7450.0</v>
      </c>
      <c r="K418" s="19">
        <v>7750.0</v>
      </c>
      <c r="L418" s="18" t="s">
        <v>1065</v>
      </c>
      <c r="M418" s="18" t="s">
        <v>1066</v>
      </c>
      <c r="N418" s="18" t="s">
        <v>903</v>
      </c>
      <c r="O418" s="18" t="s">
        <v>83</v>
      </c>
      <c r="P418" s="18" t="s">
        <v>48</v>
      </c>
      <c r="Q418" s="19">
        <v>3222.5</v>
      </c>
    </row>
    <row r="419">
      <c r="A419" s="18" t="s">
        <v>49</v>
      </c>
      <c r="B419" s="18" t="s">
        <v>44</v>
      </c>
      <c r="C419" s="18" t="s">
        <v>53</v>
      </c>
      <c r="D419" s="18" t="s">
        <v>1067</v>
      </c>
      <c r="E419" s="18" t="s">
        <v>1068</v>
      </c>
      <c r="F419" s="18" t="s">
        <v>228</v>
      </c>
      <c r="G419" s="18">
        <v>15.21</v>
      </c>
      <c r="H419" s="18" t="s">
        <v>56</v>
      </c>
      <c r="I419" s="19">
        <v>6445.0</v>
      </c>
      <c r="J419" s="19">
        <v>7450.0</v>
      </c>
      <c r="K419" s="19">
        <v>7750.0</v>
      </c>
      <c r="L419" s="18" t="s">
        <v>1069</v>
      </c>
      <c r="M419" s="18" t="s">
        <v>1070</v>
      </c>
      <c r="N419" s="18" t="s">
        <v>903</v>
      </c>
      <c r="O419" s="18" t="s">
        <v>83</v>
      </c>
      <c r="P419" s="18" t="s">
        <v>48</v>
      </c>
      <c r="Q419" s="19">
        <v>3222.5</v>
      </c>
    </row>
    <row r="420">
      <c r="A420" s="18" t="s">
        <v>49</v>
      </c>
      <c r="B420" s="18" t="s">
        <v>44</v>
      </c>
      <c r="C420" s="18" t="s">
        <v>180</v>
      </c>
      <c r="D420" s="18" t="s">
        <v>1071</v>
      </c>
      <c r="E420" s="18" t="s">
        <v>1072</v>
      </c>
      <c r="F420" s="18" t="s">
        <v>228</v>
      </c>
      <c r="G420" s="18">
        <v>23.29</v>
      </c>
      <c r="H420" s="18" t="s">
        <v>168</v>
      </c>
      <c r="I420" s="19">
        <v>8300.0</v>
      </c>
      <c r="J420" s="19">
        <v>9550.0</v>
      </c>
      <c r="K420" s="19">
        <v>10000.0</v>
      </c>
      <c r="L420" s="18" t="s">
        <v>1073</v>
      </c>
      <c r="M420" s="18" t="s">
        <v>1074</v>
      </c>
      <c r="N420" s="18" t="s">
        <v>903</v>
      </c>
      <c r="O420" s="18" t="s">
        <v>83</v>
      </c>
      <c r="P420" s="18" t="s">
        <v>48</v>
      </c>
      <c r="Q420" s="19">
        <v>4376.0</v>
      </c>
    </row>
    <row r="421">
      <c r="A421" s="18" t="s">
        <v>210</v>
      </c>
      <c r="B421" s="18" t="s">
        <v>44</v>
      </c>
      <c r="C421" s="18" t="s">
        <v>133</v>
      </c>
      <c r="D421" s="18" t="s">
        <v>1075</v>
      </c>
      <c r="E421" s="18" t="s">
        <v>1076</v>
      </c>
      <c r="F421" s="18" t="s">
        <v>228</v>
      </c>
      <c r="G421" s="18">
        <v>13.52</v>
      </c>
      <c r="H421" s="18" t="s">
        <v>56</v>
      </c>
      <c r="I421" s="19">
        <v>5250.0</v>
      </c>
      <c r="J421" s="19">
        <v>6850.0</v>
      </c>
      <c r="K421" s="19">
        <v>6300.0</v>
      </c>
      <c r="L421" s="18" t="s">
        <v>1077</v>
      </c>
      <c r="M421" s="18" t="s">
        <v>1078</v>
      </c>
      <c r="N421" s="18" t="s">
        <v>903</v>
      </c>
      <c r="O421" s="18" t="s">
        <v>83</v>
      </c>
      <c r="P421" s="18" t="s">
        <v>63</v>
      </c>
      <c r="Q421" s="19">
        <v>2900.0</v>
      </c>
    </row>
    <row r="422">
      <c r="A422" s="18" t="s">
        <v>210</v>
      </c>
      <c r="B422" s="18" t="s">
        <v>44</v>
      </c>
      <c r="C422" s="18" t="s">
        <v>53</v>
      </c>
      <c r="D422" s="18" t="s">
        <v>1079</v>
      </c>
      <c r="E422" s="18" t="s">
        <v>1080</v>
      </c>
      <c r="F422" s="18" t="s">
        <v>228</v>
      </c>
      <c r="G422" s="18">
        <v>16.29</v>
      </c>
      <c r="H422" s="18" t="s">
        <v>56</v>
      </c>
      <c r="I422" s="19">
        <v>5900.0</v>
      </c>
      <c r="J422" s="19">
        <v>7700.0</v>
      </c>
      <c r="K422" s="19">
        <v>7100.0</v>
      </c>
      <c r="L422" s="18" t="s">
        <v>1081</v>
      </c>
      <c r="M422" s="18" t="s">
        <v>1082</v>
      </c>
      <c r="N422" s="18" t="s">
        <v>903</v>
      </c>
      <c r="O422" s="18" t="s">
        <v>83</v>
      </c>
      <c r="P422" s="18" t="s">
        <v>63</v>
      </c>
      <c r="Q422" s="19">
        <v>3250.0</v>
      </c>
    </row>
    <row r="423">
      <c r="A423" s="18" t="s">
        <v>210</v>
      </c>
      <c r="B423" s="18" t="s">
        <v>44</v>
      </c>
      <c r="C423" s="18" t="s">
        <v>76</v>
      </c>
      <c r="D423" s="18" t="s">
        <v>1083</v>
      </c>
      <c r="E423" s="18" t="s">
        <v>1084</v>
      </c>
      <c r="F423" s="18" t="s">
        <v>228</v>
      </c>
      <c r="G423" s="18">
        <v>20.02</v>
      </c>
      <c r="H423" s="18" t="s">
        <v>120</v>
      </c>
      <c r="I423" s="19">
        <v>6500.0</v>
      </c>
      <c r="J423" s="19">
        <v>8450.0</v>
      </c>
      <c r="K423" s="19">
        <v>7800.0</v>
      </c>
      <c r="L423" s="18" t="s">
        <v>1085</v>
      </c>
      <c r="M423" s="18" t="s">
        <v>1086</v>
      </c>
      <c r="N423" s="18" t="s">
        <v>903</v>
      </c>
      <c r="O423" s="18" t="s">
        <v>83</v>
      </c>
      <c r="P423" s="18" t="s">
        <v>63</v>
      </c>
      <c r="Q423" s="19">
        <v>3575.0</v>
      </c>
    </row>
    <row r="424">
      <c r="A424" s="18" t="s">
        <v>210</v>
      </c>
      <c r="B424" s="18" t="s">
        <v>44</v>
      </c>
      <c r="C424" s="18" t="s">
        <v>180</v>
      </c>
      <c r="D424" s="18" t="s">
        <v>1087</v>
      </c>
      <c r="E424" s="18" t="s">
        <v>1088</v>
      </c>
      <c r="F424" s="18" t="s">
        <v>228</v>
      </c>
      <c r="G424" s="18">
        <v>23.33</v>
      </c>
      <c r="H424" s="18" t="s">
        <v>168</v>
      </c>
      <c r="I424" s="19">
        <v>6700.0</v>
      </c>
      <c r="J424" s="19">
        <v>8750.0</v>
      </c>
      <c r="K424" s="19">
        <v>8050.0</v>
      </c>
      <c r="L424" s="18" t="s">
        <v>1089</v>
      </c>
      <c r="M424" s="18" t="s">
        <v>1090</v>
      </c>
      <c r="N424" s="18" t="s">
        <v>903</v>
      </c>
      <c r="O424" s="18" t="s">
        <v>83</v>
      </c>
      <c r="P424" s="18" t="s">
        <v>63</v>
      </c>
      <c r="Q424" s="19">
        <v>3700.0</v>
      </c>
    </row>
    <row r="425">
      <c r="A425" s="18" t="s">
        <v>154</v>
      </c>
      <c r="B425" s="18" t="s">
        <v>44</v>
      </c>
      <c r="C425" s="18" t="s">
        <v>76</v>
      </c>
      <c r="D425" s="18" t="s">
        <v>1091</v>
      </c>
      <c r="E425" s="18" t="s">
        <v>1092</v>
      </c>
      <c r="F425" s="18" t="s">
        <v>228</v>
      </c>
      <c r="G425" s="18">
        <v>20.0</v>
      </c>
      <c r="H425" s="18" t="s">
        <v>56</v>
      </c>
      <c r="I425" s="19">
        <v>6090.0</v>
      </c>
      <c r="J425" s="19">
        <v>8550.0</v>
      </c>
      <c r="K425" s="19">
        <v>7350.0</v>
      </c>
      <c r="L425" s="18" t="s">
        <v>1093</v>
      </c>
      <c r="M425" s="18" t="s">
        <v>750</v>
      </c>
      <c r="N425" s="18" t="s">
        <v>316</v>
      </c>
      <c r="O425" s="18" t="s">
        <v>151</v>
      </c>
      <c r="P425" s="18" t="s">
        <v>157</v>
      </c>
      <c r="Q425" s="19">
        <v>6100.0</v>
      </c>
    </row>
    <row r="426">
      <c r="A426" s="18" t="s">
        <v>148</v>
      </c>
      <c r="B426" s="18" t="s">
        <v>44</v>
      </c>
      <c r="C426" s="18" t="s">
        <v>64</v>
      </c>
      <c r="D426" s="18" t="s">
        <v>1094</v>
      </c>
      <c r="E426" s="18" t="s">
        <v>1095</v>
      </c>
      <c r="F426" s="18" t="s">
        <v>228</v>
      </c>
      <c r="G426" s="18">
        <v>17.4</v>
      </c>
      <c r="H426" s="18" t="s">
        <v>56</v>
      </c>
      <c r="I426" s="19">
        <v>7096.0</v>
      </c>
      <c r="J426" s="19">
        <v>7100.0</v>
      </c>
      <c r="K426" s="19">
        <v>8550.0</v>
      </c>
      <c r="L426" s="18" t="s">
        <v>1096</v>
      </c>
      <c r="M426" s="18" t="s">
        <v>1097</v>
      </c>
      <c r="N426" s="18" t="s">
        <v>143</v>
      </c>
      <c r="O426" s="18" t="s">
        <v>151</v>
      </c>
      <c r="P426" s="18" t="s">
        <v>48</v>
      </c>
      <c r="Q426" s="19">
        <v>7100.0</v>
      </c>
    </row>
    <row r="427">
      <c r="A427" s="18" t="s">
        <v>158</v>
      </c>
      <c r="B427" s="18" t="s">
        <v>45</v>
      </c>
      <c r="C427" s="18" t="s">
        <v>45</v>
      </c>
      <c r="D427" s="18" t="s">
        <v>1098</v>
      </c>
      <c r="E427" s="18" t="s">
        <v>1099</v>
      </c>
      <c r="F427" s="18" t="s">
        <v>228</v>
      </c>
      <c r="G427" s="18">
        <v>8.88</v>
      </c>
      <c r="H427" s="18" t="s">
        <v>45</v>
      </c>
      <c r="I427" s="19">
        <v>2542.0</v>
      </c>
      <c r="J427" s="19">
        <v>2550.0</v>
      </c>
      <c r="K427" s="19">
        <v>3100.0</v>
      </c>
      <c r="L427" s="18" t="s">
        <v>1100</v>
      </c>
      <c r="M427" s="18" t="s">
        <v>1101</v>
      </c>
      <c r="N427" s="18" t="s">
        <v>143</v>
      </c>
      <c r="O427" s="18" t="s">
        <v>41</v>
      </c>
      <c r="P427" s="18" t="s">
        <v>162</v>
      </c>
      <c r="Q427" s="19">
        <v>2050.0</v>
      </c>
    </row>
    <row r="428">
      <c r="A428" s="18" t="s">
        <v>138</v>
      </c>
      <c r="B428" s="18" t="s">
        <v>45</v>
      </c>
      <c r="C428" s="18" t="s">
        <v>45</v>
      </c>
      <c r="D428" s="18" t="s">
        <v>1102</v>
      </c>
      <c r="E428" s="18" t="s">
        <v>1103</v>
      </c>
      <c r="F428" s="18" t="s">
        <v>228</v>
      </c>
      <c r="G428" s="18">
        <v>11.52</v>
      </c>
      <c r="H428" s="18" t="s">
        <v>45</v>
      </c>
      <c r="I428" s="19">
        <v>1652.0</v>
      </c>
      <c r="J428" s="19">
        <v>2400.0</v>
      </c>
      <c r="K428" s="19">
        <v>2050.0</v>
      </c>
      <c r="L428" s="18" t="s">
        <v>1104</v>
      </c>
      <c r="M428" s="18" t="s">
        <v>1105</v>
      </c>
      <c r="N428" s="18" t="s">
        <v>131</v>
      </c>
      <c r="O428" s="18" t="s">
        <v>57</v>
      </c>
      <c r="P428" s="18" t="s">
        <v>144</v>
      </c>
      <c r="Q428" s="19">
        <v>2150.0</v>
      </c>
    </row>
    <row r="429">
      <c r="A429" s="18" t="s">
        <v>912</v>
      </c>
      <c r="B429" s="18" t="s">
        <v>44</v>
      </c>
      <c r="C429" s="18" t="s">
        <v>53</v>
      </c>
      <c r="D429" s="18" t="s">
        <v>1106</v>
      </c>
      <c r="E429" s="18" t="s">
        <v>1107</v>
      </c>
      <c r="F429" s="18" t="s">
        <v>228</v>
      </c>
      <c r="G429" s="18">
        <v>16.12</v>
      </c>
      <c r="H429" s="18" t="s">
        <v>120</v>
      </c>
      <c r="I429" s="19">
        <v>4900.0</v>
      </c>
      <c r="J429" s="19">
        <v>6150.0</v>
      </c>
      <c r="K429" s="19">
        <v>5700.0</v>
      </c>
      <c r="L429" s="18" t="s">
        <v>1108</v>
      </c>
      <c r="M429" s="18" t="s">
        <v>1109</v>
      </c>
      <c r="N429" s="18" t="s">
        <v>131</v>
      </c>
      <c r="O429" s="18" t="s">
        <v>57</v>
      </c>
      <c r="P429" s="18" t="s">
        <v>917</v>
      </c>
      <c r="Q429" s="19">
        <v>4900.0</v>
      </c>
    </row>
    <row r="430">
      <c r="A430" s="18" t="s">
        <v>210</v>
      </c>
      <c r="B430" s="18" t="s">
        <v>44</v>
      </c>
      <c r="C430" s="18" t="s">
        <v>180</v>
      </c>
      <c r="D430" s="18" t="s">
        <v>1110</v>
      </c>
      <c r="E430" s="18" t="s">
        <v>1111</v>
      </c>
      <c r="F430" s="18" t="s">
        <v>228</v>
      </c>
      <c r="G430" s="18">
        <v>22.83</v>
      </c>
      <c r="H430" s="18" t="s">
        <v>168</v>
      </c>
      <c r="I430" s="19">
        <v>6700.0</v>
      </c>
      <c r="J430" s="19">
        <v>8750.0</v>
      </c>
      <c r="K430" s="19">
        <v>8050.0</v>
      </c>
      <c r="L430" s="18" t="s">
        <v>1112</v>
      </c>
      <c r="M430" s="18" t="s">
        <v>1113</v>
      </c>
      <c r="N430" s="18" t="s">
        <v>903</v>
      </c>
      <c r="O430" s="18" t="s">
        <v>83</v>
      </c>
      <c r="P430" s="18" t="s">
        <v>63</v>
      </c>
      <c r="Q430" s="19">
        <v>3700.0</v>
      </c>
    </row>
    <row r="431">
      <c r="A431" s="18" t="s">
        <v>191</v>
      </c>
      <c r="B431" s="18" t="s">
        <v>44</v>
      </c>
      <c r="C431" s="18" t="s">
        <v>180</v>
      </c>
      <c r="D431" s="18" t="s">
        <v>1114</v>
      </c>
      <c r="E431" s="18" t="s">
        <v>1115</v>
      </c>
      <c r="F431" s="18" t="s">
        <v>228</v>
      </c>
      <c r="G431" s="18">
        <v>23.98</v>
      </c>
      <c r="H431" s="18" t="s">
        <v>168</v>
      </c>
      <c r="I431" s="19">
        <v>6900.0</v>
      </c>
      <c r="J431" s="19">
        <v>9000.0</v>
      </c>
      <c r="L431" s="18" t="s">
        <v>1116</v>
      </c>
      <c r="M431" s="18" t="s">
        <v>1117</v>
      </c>
      <c r="N431" s="18" t="s">
        <v>143</v>
      </c>
      <c r="O431" s="18" t="s">
        <v>57</v>
      </c>
      <c r="P431" s="18" t="s">
        <v>48</v>
      </c>
      <c r="Q431" s="19">
        <v>8850.0</v>
      </c>
    </row>
    <row r="432">
      <c r="A432" s="18" t="s">
        <v>210</v>
      </c>
      <c r="B432" s="18" t="s">
        <v>45</v>
      </c>
      <c r="C432" s="18" t="s">
        <v>45</v>
      </c>
      <c r="D432" s="18" t="s">
        <v>1118</v>
      </c>
      <c r="E432" s="18" t="s">
        <v>1119</v>
      </c>
      <c r="F432" s="18" t="s">
        <v>228</v>
      </c>
      <c r="G432" s="18">
        <v>10.76</v>
      </c>
      <c r="H432" s="18" t="s">
        <v>40</v>
      </c>
      <c r="I432" s="19">
        <v>3100.0</v>
      </c>
      <c r="J432" s="19">
        <v>4050.0</v>
      </c>
      <c r="K432" s="19">
        <v>3750.0</v>
      </c>
      <c r="L432" s="18" t="s">
        <v>1120</v>
      </c>
      <c r="M432" s="18" t="s">
        <v>1121</v>
      </c>
      <c r="N432" s="18" t="s">
        <v>316</v>
      </c>
      <c r="O432" s="18" t="s">
        <v>83</v>
      </c>
      <c r="P432" s="18" t="s">
        <v>63</v>
      </c>
      <c r="Q432" s="19">
        <v>3100.0</v>
      </c>
    </row>
    <row r="433">
      <c r="A433" s="18" t="s">
        <v>1029</v>
      </c>
      <c r="B433" s="18" t="s">
        <v>44</v>
      </c>
      <c r="C433" s="18" t="s">
        <v>53</v>
      </c>
      <c r="D433" s="18" t="s">
        <v>1122</v>
      </c>
      <c r="E433" s="18" t="s">
        <v>1123</v>
      </c>
      <c r="F433" s="18" t="s">
        <v>228</v>
      </c>
      <c r="G433" s="18">
        <v>16.76</v>
      </c>
      <c r="H433" s="18" t="s">
        <v>56</v>
      </c>
      <c r="I433" s="19">
        <v>450.0</v>
      </c>
      <c r="J433" s="19">
        <v>360.0</v>
      </c>
      <c r="L433" s="18" t="s">
        <v>1124</v>
      </c>
      <c r="M433" s="18" t="s">
        <v>1125</v>
      </c>
      <c r="N433" s="18" t="s">
        <v>1034</v>
      </c>
      <c r="O433" s="18" t="s">
        <v>41</v>
      </c>
      <c r="Q433" s="19">
        <v>405.0</v>
      </c>
    </row>
    <row r="434">
      <c r="A434" s="18" t="s">
        <v>210</v>
      </c>
      <c r="B434" s="18" t="s">
        <v>44</v>
      </c>
      <c r="C434" s="18" t="s">
        <v>133</v>
      </c>
      <c r="D434" s="18" t="s">
        <v>1126</v>
      </c>
      <c r="E434" s="18" t="s">
        <v>1127</v>
      </c>
      <c r="F434" s="18" t="s">
        <v>228</v>
      </c>
      <c r="G434" s="18">
        <v>13.07</v>
      </c>
      <c r="H434" s="18" t="s">
        <v>56</v>
      </c>
      <c r="I434" s="19">
        <v>5250.0</v>
      </c>
      <c r="J434" s="19">
        <v>6850.0</v>
      </c>
      <c r="K434" s="19">
        <v>6300.0</v>
      </c>
      <c r="L434" s="18" t="s">
        <v>1128</v>
      </c>
      <c r="M434" s="18" t="s">
        <v>1129</v>
      </c>
      <c r="N434" s="18" t="s">
        <v>903</v>
      </c>
      <c r="O434" s="18" t="s">
        <v>83</v>
      </c>
      <c r="P434" s="18" t="s">
        <v>63</v>
      </c>
      <c r="Q434" s="19">
        <v>2900.0</v>
      </c>
    </row>
    <row r="435">
      <c r="A435" s="18" t="s">
        <v>145</v>
      </c>
      <c r="B435" s="18" t="s">
        <v>45</v>
      </c>
      <c r="C435" s="18" t="s">
        <v>45</v>
      </c>
      <c r="D435" s="18" t="s">
        <v>1130</v>
      </c>
      <c r="E435" s="18" t="s">
        <v>1131</v>
      </c>
      <c r="F435" s="18" t="s">
        <v>228</v>
      </c>
      <c r="G435" s="18">
        <v>7.1</v>
      </c>
      <c r="H435" s="18" t="s">
        <v>45</v>
      </c>
      <c r="I435" s="19">
        <v>4215.0</v>
      </c>
      <c r="J435" s="19">
        <v>4650.0</v>
      </c>
      <c r="K435" s="19">
        <v>5100.0</v>
      </c>
      <c r="L435" s="18" t="s">
        <v>1132</v>
      </c>
      <c r="M435" s="18" t="s">
        <v>1133</v>
      </c>
      <c r="N435" s="18" t="s">
        <v>143</v>
      </c>
      <c r="O435" s="18" t="s">
        <v>57</v>
      </c>
      <c r="P435" s="18" t="s">
        <v>63</v>
      </c>
      <c r="Q435" s="19">
        <v>4250.0</v>
      </c>
    </row>
    <row r="436">
      <c r="A436" s="18" t="s">
        <v>210</v>
      </c>
      <c r="B436" s="18" t="s">
        <v>44</v>
      </c>
      <c r="C436" s="18" t="s">
        <v>180</v>
      </c>
      <c r="D436" s="18" t="s">
        <v>1134</v>
      </c>
      <c r="E436" s="18" t="s">
        <v>1135</v>
      </c>
      <c r="F436" s="18" t="s">
        <v>228</v>
      </c>
      <c r="G436" s="18">
        <v>22.06</v>
      </c>
      <c r="H436" s="18" t="s">
        <v>168</v>
      </c>
      <c r="I436" s="19">
        <v>6700.0</v>
      </c>
      <c r="J436" s="19">
        <v>8750.0</v>
      </c>
      <c r="K436" s="19">
        <v>8050.0</v>
      </c>
      <c r="L436" s="18" t="s">
        <v>1136</v>
      </c>
      <c r="M436" s="18" t="s">
        <v>1137</v>
      </c>
      <c r="N436" s="18" t="s">
        <v>903</v>
      </c>
      <c r="O436" s="18" t="s">
        <v>83</v>
      </c>
      <c r="P436" s="18" t="s">
        <v>63</v>
      </c>
      <c r="Q436" s="19">
        <v>3700.0</v>
      </c>
    </row>
    <row r="437">
      <c r="A437" s="18" t="s">
        <v>210</v>
      </c>
      <c r="B437" s="18" t="s">
        <v>45</v>
      </c>
      <c r="C437" s="18" t="s">
        <v>45</v>
      </c>
      <c r="D437" s="18" t="s">
        <v>1138</v>
      </c>
      <c r="E437" s="18" t="s">
        <v>1139</v>
      </c>
      <c r="F437" s="18" t="s">
        <v>228</v>
      </c>
      <c r="G437" s="18">
        <v>10.66</v>
      </c>
      <c r="H437" s="18" t="s">
        <v>40</v>
      </c>
      <c r="I437" s="19">
        <v>3100.0</v>
      </c>
      <c r="J437" s="19">
        <v>4050.0</v>
      </c>
      <c r="K437" s="19">
        <v>3750.0</v>
      </c>
      <c r="L437" s="18" t="s">
        <v>1140</v>
      </c>
      <c r="M437" s="18" t="s">
        <v>1141</v>
      </c>
      <c r="N437" s="18" t="s">
        <v>903</v>
      </c>
      <c r="O437" s="18" t="s">
        <v>83</v>
      </c>
      <c r="P437" s="18" t="s">
        <v>63</v>
      </c>
      <c r="Q437" s="19">
        <v>1725.0</v>
      </c>
    </row>
    <row r="438">
      <c r="A438" s="18" t="s">
        <v>216</v>
      </c>
      <c r="B438" s="18" t="s">
        <v>45</v>
      </c>
      <c r="C438" s="18" t="s">
        <v>45</v>
      </c>
      <c r="D438" s="18" t="s">
        <v>1142</v>
      </c>
      <c r="E438" s="18" t="s">
        <v>1143</v>
      </c>
      <c r="F438" s="18" t="s">
        <v>228</v>
      </c>
      <c r="G438" s="18">
        <v>8.45</v>
      </c>
      <c r="H438" s="18" t="s">
        <v>45</v>
      </c>
      <c r="I438" s="19">
        <v>3194.0</v>
      </c>
      <c r="J438" s="19">
        <v>4500.0</v>
      </c>
      <c r="K438" s="19">
        <v>3850.0</v>
      </c>
      <c r="L438" s="18" t="s">
        <v>1144</v>
      </c>
      <c r="M438" s="18" t="s">
        <v>1145</v>
      </c>
      <c r="N438" s="18" t="s">
        <v>1146</v>
      </c>
      <c r="O438" s="18" t="s">
        <v>41</v>
      </c>
      <c r="P438" s="18" t="s">
        <v>42</v>
      </c>
      <c r="Q438" s="19">
        <v>4200.0</v>
      </c>
    </row>
    <row r="439">
      <c r="A439" s="18" t="s">
        <v>49</v>
      </c>
      <c r="B439" s="18" t="s">
        <v>44</v>
      </c>
      <c r="C439" s="18" t="s">
        <v>76</v>
      </c>
      <c r="D439" s="18" t="s">
        <v>1147</v>
      </c>
      <c r="E439" s="18" t="s">
        <v>1148</v>
      </c>
      <c r="F439" s="18" t="s">
        <v>228</v>
      </c>
      <c r="G439" s="18">
        <v>19.84</v>
      </c>
      <c r="H439" s="18" t="s">
        <v>120</v>
      </c>
      <c r="I439" s="19">
        <v>7320.0</v>
      </c>
      <c r="J439" s="19">
        <v>8450.0</v>
      </c>
      <c r="K439" s="19">
        <v>8850.0</v>
      </c>
      <c r="L439" s="18" t="s">
        <v>1149</v>
      </c>
      <c r="M439" s="18" t="s">
        <v>1150</v>
      </c>
      <c r="N439" s="18" t="s">
        <v>903</v>
      </c>
      <c r="O439" s="18" t="s">
        <v>57</v>
      </c>
      <c r="P439" s="18" t="s">
        <v>48</v>
      </c>
      <c r="Q439" s="19">
        <v>3775.0</v>
      </c>
    </row>
    <row r="440">
      <c r="A440" s="18" t="s">
        <v>201</v>
      </c>
      <c r="B440" s="18" t="s">
        <v>44</v>
      </c>
      <c r="C440" s="18" t="s">
        <v>64</v>
      </c>
      <c r="D440" s="18" t="s">
        <v>208</v>
      </c>
      <c r="E440" s="18" t="s">
        <v>209</v>
      </c>
      <c r="F440" s="18" t="s">
        <v>228</v>
      </c>
      <c r="G440" s="18">
        <v>18.46</v>
      </c>
      <c r="H440" s="18" t="s">
        <v>120</v>
      </c>
      <c r="I440" s="19">
        <v>3500.0</v>
      </c>
      <c r="J440" s="19">
        <v>4200.0</v>
      </c>
      <c r="K440" s="19">
        <v>4100.0</v>
      </c>
      <c r="L440" s="18" t="s">
        <v>3551</v>
      </c>
      <c r="M440" s="18" t="s">
        <v>3552</v>
      </c>
      <c r="N440" s="18" t="s">
        <v>343</v>
      </c>
      <c r="O440" s="18" t="s">
        <v>41</v>
      </c>
      <c r="Q440" s="19">
        <v>4050.0</v>
      </c>
    </row>
    <row r="441">
      <c r="A441" s="18" t="s">
        <v>158</v>
      </c>
      <c r="B441" s="18" t="s">
        <v>45</v>
      </c>
      <c r="C441" s="18" t="s">
        <v>45</v>
      </c>
      <c r="D441" s="18" t="s">
        <v>1151</v>
      </c>
      <c r="E441" s="18" t="s">
        <v>1152</v>
      </c>
      <c r="F441" s="18" t="s">
        <v>228</v>
      </c>
      <c r="G441" s="18">
        <v>10.0</v>
      </c>
      <c r="H441" s="18" t="s">
        <v>45</v>
      </c>
      <c r="I441" s="19">
        <v>2542.0</v>
      </c>
      <c r="J441" s="19">
        <v>2550.0</v>
      </c>
      <c r="K441" s="19">
        <v>3100.0</v>
      </c>
      <c r="L441" s="18" t="s">
        <v>1153</v>
      </c>
      <c r="M441" s="18" t="s">
        <v>1145</v>
      </c>
      <c r="N441" s="18" t="s">
        <v>1146</v>
      </c>
      <c r="O441" s="18" t="s">
        <v>41</v>
      </c>
      <c r="P441" s="18" t="s">
        <v>162</v>
      </c>
      <c r="Q441" s="19">
        <v>2550.0</v>
      </c>
    </row>
    <row r="442">
      <c r="A442" s="18" t="s">
        <v>912</v>
      </c>
      <c r="B442" s="18" t="s">
        <v>45</v>
      </c>
      <c r="C442" s="18" t="s">
        <v>45</v>
      </c>
      <c r="D442" s="18" t="s">
        <v>1154</v>
      </c>
      <c r="E442" s="18" t="s">
        <v>1155</v>
      </c>
      <c r="F442" s="18" t="s">
        <v>228</v>
      </c>
      <c r="G442" s="18">
        <v>7.98</v>
      </c>
      <c r="H442" s="18" t="s">
        <v>45</v>
      </c>
      <c r="I442" s="19">
        <v>2600.0</v>
      </c>
      <c r="J442" s="19">
        <v>3250.0</v>
      </c>
      <c r="K442" s="19">
        <v>3000.0</v>
      </c>
      <c r="L442" s="18" t="s">
        <v>1156</v>
      </c>
      <c r="M442" s="18" t="s">
        <v>1157</v>
      </c>
      <c r="N442" s="18" t="s">
        <v>131</v>
      </c>
      <c r="O442" s="18" t="s">
        <v>57</v>
      </c>
      <c r="P442" s="18" t="s">
        <v>917</v>
      </c>
      <c r="Q442" s="19">
        <v>2900.0</v>
      </c>
    </row>
    <row r="443">
      <c r="A443" s="18" t="s">
        <v>216</v>
      </c>
      <c r="B443" s="18" t="s">
        <v>44</v>
      </c>
      <c r="C443" s="18" t="s">
        <v>133</v>
      </c>
      <c r="D443" s="18" t="s">
        <v>1158</v>
      </c>
      <c r="E443" s="18" t="s">
        <v>1159</v>
      </c>
      <c r="F443" s="18" t="s">
        <v>228</v>
      </c>
      <c r="G443" s="18">
        <v>12.02</v>
      </c>
      <c r="H443" s="18" t="s">
        <v>56</v>
      </c>
      <c r="I443" s="19">
        <v>4684.0</v>
      </c>
      <c r="J443" s="19">
        <v>6600.0</v>
      </c>
      <c r="K443" s="19">
        <v>5650.0</v>
      </c>
      <c r="L443" s="18" t="s">
        <v>1160</v>
      </c>
      <c r="M443" s="18" t="s">
        <v>1161</v>
      </c>
      <c r="N443" s="18" t="s">
        <v>1146</v>
      </c>
      <c r="O443" s="18" t="s">
        <v>41</v>
      </c>
      <c r="P443" s="18" t="s">
        <v>42</v>
      </c>
      <c r="Q443" s="19">
        <v>4800.0</v>
      </c>
    </row>
    <row r="444">
      <c r="A444" s="18" t="s">
        <v>154</v>
      </c>
      <c r="B444" s="18" t="s">
        <v>44</v>
      </c>
      <c r="C444" s="18" t="s">
        <v>180</v>
      </c>
      <c r="D444" s="18" t="s">
        <v>183</v>
      </c>
      <c r="E444" s="18" t="s">
        <v>184</v>
      </c>
      <c r="F444" s="18" t="s">
        <v>228</v>
      </c>
      <c r="G444" s="18">
        <v>22.0</v>
      </c>
      <c r="H444" s="18" t="s">
        <v>56</v>
      </c>
      <c r="I444" s="19">
        <v>6090.0</v>
      </c>
      <c r="J444" s="19">
        <v>8550.0</v>
      </c>
      <c r="K444" s="19">
        <v>7350.0</v>
      </c>
      <c r="L444" s="18" t="s">
        <v>3553</v>
      </c>
      <c r="M444" s="18" t="s">
        <v>3554</v>
      </c>
      <c r="N444" s="18" t="s">
        <v>343</v>
      </c>
      <c r="O444" s="18" t="s">
        <v>151</v>
      </c>
      <c r="P444" s="18" t="s">
        <v>157</v>
      </c>
      <c r="Q444" s="19">
        <v>6100.0</v>
      </c>
    </row>
    <row r="445">
      <c r="A445" s="18" t="s">
        <v>364</v>
      </c>
      <c r="B445" s="18" t="s">
        <v>36</v>
      </c>
      <c r="D445" s="18" t="s">
        <v>1162</v>
      </c>
      <c r="E445" s="18" t="s">
        <v>1163</v>
      </c>
      <c r="F445" s="18" t="s">
        <v>228</v>
      </c>
      <c r="G445" s="18">
        <v>20.46</v>
      </c>
      <c r="I445" s="19">
        <v>2000.0</v>
      </c>
      <c r="J445" s="19">
        <v>1600.0</v>
      </c>
      <c r="L445" s="18" t="s">
        <v>1164</v>
      </c>
      <c r="M445" s="18" t="s">
        <v>1165</v>
      </c>
      <c r="N445" s="18" t="s">
        <v>343</v>
      </c>
      <c r="O445" s="18" t="s">
        <v>41</v>
      </c>
      <c r="P445" s="18" t="s">
        <v>369</v>
      </c>
      <c r="Q445" s="19">
        <v>2000.0</v>
      </c>
    </row>
    <row r="446">
      <c r="A446" s="18" t="s">
        <v>210</v>
      </c>
      <c r="B446" s="18" t="s">
        <v>36</v>
      </c>
      <c r="C446" s="18" t="s">
        <v>1166</v>
      </c>
      <c r="D446" s="18" t="s">
        <v>1167</v>
      </c>
      <c r="E446" s="18" t="s">
        <v>1168</v>
      </c>
      <c r="F446" s="18" t="s">
        <v>228</v>
      </c>
      <c r="G446" s="18">
        <v>12.98</v>
      </c>
      <c r="I446" s="19">
        <v>3500.0</v>
      </c>
      <c r="J446" s="19">
        <v>4550.0</v>
      </c>
      <c r="L446" s="18" t="s">
        <v>1169</v>
      </c>
      <c r="M446" s="18" t="s">
        <v>1170</v>
      </c>
      <c r="N446" s="18" t="s">
        <v>903</v>
      </c>
      <c r="O446" s="18" t="s">
        <v>41</v>
      </c>
      <c r="P446" s="18" t="s">
        <v>63</v>
      </c>
      <c r="Q446" s="19">
        <v>4200.0</v>
      </c>
    </row>
    <row r="447">
      <c r="A447" s="18" t="s">
        <v>210</v>
      </c>
      <c r="B447" s="18" t="s">
        <v>44</v>
      </c>
      <c r="C447" s="18" t="s">
        <v>64</v>
      </c>
      <c r="D447" s="18" t="s">
        <v>1171</v>
      </c>
      <c r="E447" s="18" t="s">
        <v>1172</v>
      </c>
      <c r="F447" s="18" t="s">
        <v>228</v>
      </c>
      <c r="G447" s="18">
        <v>17.05</v>
      </c>
      <c r="H447" s="18" t="s">
        <v>120</v>
      </c>
      <c r="I447" s="19">
        <v>6250.0</v>
      </c>
      <c r="J447" s="19">
        <v>8150.0</v>
      </c>
      <c r="K447" s="19">
        <v>7500.0</v>
      </c>
      <c r="L447" s="18" t="s">
        <v>1173</v>
      </c>
      <c r="M447" s="18" t="s">
        <v>1174</v>
      </c>
      <c r="N447" s="18" t="s">
        <v>903</v>
      </c>
      <c r="O447" s="18" t="s">
        <v>83</v>
      </c>
      <c r="P447" s="18" t="s">
        <v>63</v>
      </c>
      <c r="Q447" s="19">
        <v>3600.0</v>
      </c>
    </row>
    <row r="448">
      <c r="A448" s="18" t="s">
        <v>49</v>
      </c>
      <c r="B448" s="18" t="s">
        <v>44</v>
      </c>
      <c r="C448" s="18" t="s">
        <v>133</v>
      </c>
      <c r="D448" s="18" t="s">
        <v>1175</v>
      </c>
      <c r="E448" s="18" t="s">
        <v>1176</v>
      </c>
      <c r="F448" s="18" t="s">
        <v>228</v>
      </c>
      <c r="G448" s="18">
        <v>13.03</v>
      </c>
      <c r="H448" s="18" t="s">
        <v>56</v>
      </c>
      <c r="I448" s="19">
        <v>5680.0</v>
      </c>
      <c r="J448" s="19">
        <v>6550.0</v>
      </c>
      <c r="K448" s="19">
        <v>6850.0</v>
      </c>
      <c r="L448" s="18" t="s">
        <v>1177</v>
      </c>
      <c r="M448" s="18" t="s">
        <v>1178</v>
      </c>
      <c r="N448" s="18" t="s">
        <v>903</v>
      </c>
      <c r="O448" s="18" t="s">
        <v>57</v>
      </c>
      <c r="P448" s="18" t="s">
        <v>48</v>
      </c>
      <c r="Q448" s="19">
        <v>3125.0</v>
      </c>
    </row>
    <row r="449">
      <c r="A449" s="18" t="s">
        <v>148</v>
      </c>
      <c r="B449" s="18" t="s">
        <v>44</v>
      </c>
      <c r="C449" s="18" t="s">
        <v>64</v>
      </c>
      <c r="D449" s="18" t="s">
        <v>1179</v>
      </c>
      <c r="E449" s="18" t="s">
        <v>1180</v>
      </c>
      <c r="F449" s="18" t="s">
        <v>228</v>
      </c>
      <c r="G449" s="18">
        <v>18.1</v>
      </c>
      <c r="H449" s="18" t="s">
        <v>56</v>
      </c>
      <c r="I449" s="19">
        <v>7096.0</v>
      </c>
      <c r="J449" s="19">
        <v>7100.0</v>
      </c>
      <c r="K449" s="19">
        <v>8550.0</v>
      </c>
      <c r="L449" s="18" t="s">
        <v>1181</v>
      </c>
      <c r="M449" s="18" t="s">
        <v>1182</v>
      </c>
      <c r="N449" s="18" t="s">
        <v>240</v>
      </c>
      <c r="O449" s="18" t="s">
        <v>151</v>
      </c>
      <c r="P449" s="18" t="s">
        <v>48</v>
      </c>
      <c r="Q449" s="19">
        <v>6900.0</v>
      </c>
    </row>
    <row r="450">
      <c r="A450" s="18" t="s">
        <v>35</v>
      </c>
      <c r="B450" s="18" t="s">
        <v>44</v>
      </c>
      <c r="C450" s="18" t="s">
        <v>133</v>
      </c>
      <c r="D450" s="18" t="s">
        <v>1183</v>
      </c>
      <c r="E450" s="18" t="s">
        <v>1184</v>
      </c>
      <c r="F450" s="18" t="s">
        <v>228</v>
      </c>
      <c r="G450" s="18">
        <v>14.73</v>
      </c>
      <c r="H450" s="18" t="s">
        <v>56</v>
      </c>
      <c r="I450" s="19">
        <v>5436.0</v>
      </c>
      <c r="J450" s="19">
        <v>7350.0</v>
      </c>
      <c r="K450" s="19">
        <v>6550.0</v>
      </c>
      <c r="L450" s="18" t="s">
        <v>1185</v>
      </c>
      <c r="M450" s="18" t="s">
        <v>1186</v>
      </c>
      <c r="N450" s="18" t="s">
        <v>143</v>
      </c>
      <c r="O450" s="18" t="s">
        <v>57</v>
      </c>
      <c r="P450" s="18" t="s">
        <v>42</v>
      </c>
      <c r="Q450" s="19">
        <v>7100.0</v>
      </c>
    </row>
    <row r="451">
      <c r="A451" s="18" t="s">
        <v>49</v>
      </c>
      <c r="B451" s="18" t="s">
        <v>44</v>
      </c>
      <c r="C451" s="18" t="s">
        <v>113</v>
      </c>
      <c r="D451" s="18" t="s">
        <v>1187</v>
      </c>
      <c r="E451" s="18" t="s">
        <v>1188</v>
      </c>
      <c r="F451" s="18" t="s">
        <v>228</v>
      </c>
      <c r="G451" s="18">
        <v>12.05</v>
      </c>
      <c r="H451" s="18" t="s">
        <v>116</v>
      </c>
      <c r="I451" s="19">
        <v>5350.0</v>
      </c>
      <c r="J451" s="19">
        <v>6200.0</v>
      </c>
      <c r="K451" s="19">
        <v>6450.0</v>
      </c>
      <c r="L451" s="18" t="s">
        <v>1189</v>
      </c>
      <c r="M451" s="18" t="s">
        <v>1190</v>
      </c>
      <c r="N451" s="18" t="s">
        <v>903</v>
      </c>
      <c r="O451" s="18" t="s">
        <v>57</v>
      </c>
      <c r="P451" s="18" t="s">
        <v>48</v>
      </c>
      <c r="Q451" s="19">
        <v>3125.0</v>
      </c>
    </row>
    <row r="452">
      <c r="A452" s="18" t="s">
        <v>165</v>
      </c>
      <c r="B452" s="18" t="s">
        <v>44</v>
      </c>
      <c r="C452" s="18" t="s">
        <v>53</v>
      </c>
      <c r="D452" s="18" t="s">
        <v>1191</v>
      </c>
      <c r="E452" s="18" t="s">
        <v>1192</v>
      </c>
      <c r="F452" s="18" t="s">
        <v>228</v>
      </c>
      <c r="G452" s="18">
        <v>16.71</v>
      </c>
      <c r="H452" s="18" t="s">
        <v>56</v>
      </c>
      <c r="I452" s="19">
        <v>3563.0</v>
      </c>
      <c r="J452" s="19">
        <v>4300.0</v>
      </c>
      <c r="K452" s="19">
        <v>4350.0</v>
      </c>
      <c r="L452" s="18" t="s">
        <v>1193</v>
      </c>
      <c r="M452" s="18" t="s">
        <v>1194</v>
      </c>
      <c r="N452" s="18" t="s">
        <v>240</v>
      </c>
      <c r="O452" s="18" t="s">
        <v>41</v>
      </c>
      <c r="Q452" s="19">
        <v>3563.0</v>
      </c>
    </row>
    <row r="453">
      <c r="A453" s="18" t="s">
        <v>191</v>
      </c>
      <c r="B453" s="18" t="s">
        <v>45</v>
      </c>
      <c r="C453" s="18" t="s">
        <v>45</v>
      </c>
      <c r="D453" s="18" t="s">
        <v>1195</v>
      </c>
      <c r="E453" s="18" t="s">
        <v>1196</v>
      </c>
      <c r="F453" s="18" t="s">
        <v>228</v>
      </c>
      <c r="G453" s="18">
        <v>11.28</v>
      </c>
      <c r="H453" s="18" t="s">
        <v>45</v>
      </c>
      <c r="I453" s="19">
        <v>3900.0</v>
      </c>
      <c r="J453" s="19">
        <v>5100.0</v>
      </c>
      <c r="L453" s="18" t="s">
        <v>1197</v>
      </c>
      <c r="M453" s="18" t="s">
        <v>1198</v>
      </c>
      <c r="N453" s="18" t="s">
        <v>316</v>
      </c>
      <c r="O453" s="18" t="s">
        <v>57</v>
      </c>
      <c r="P453" s="18" t="s">
        <v>48</v>
      </c>
      <c r="Q453" s="19">
        <v>4900.0</v>
      </c>
    </row>
    <row r="454">
      <c r="A454" s="18" t="s">
        <v>201</v>
      </c>
      <c r="B454" s="18" t="s">
        <v>44</v>
      </c>
      <c r="C454" s="18" t="s">
        <v>53</v>
      </c>
      <c r="D454" s="18" t="s">
        <v>202</v>
      </c>
      <c r="E454" s="18" t="s">
        <v>203</v>
      </c>
      <c r="F454" s="18" t="s">
        <v>228</v>
      </c>
      <c r="G454" s="18">
        <v>15.44</v>
      </c>
      <c r="H454" s="18" t="s">
        <v>56</v>
      </c>
      <c r="I454" s="19">
        <v>3150.0</v>
      </c>
      <c r="J454" s="19">
        <v>3800.0</v>
      </c>
      <c r="K454" s="19">
        <v>3700.0</v>
      </c>
      <c r="L454" s="18" t="s">
        <v>3555</v>
      </c>
      <c r="M454" s="18" t="s">
        <v>3556</v>
      </c>
      <c r="N454" s="18" t="s">
        <v>343</v>
      </c>
      <c r="O454" s="18" t="s">
        <v>57</v>
      </c>
      <c r="Q454" s="19">
        <v>3800.0</v>
      </c>
    </row>
    <row r="455">
      <c r="A455" s="18" t="s">
        <v>1199</v>
      </c>
      <c r="B455" s="18" t="s">
        <v>44</v>
      </c>
      <c r="C455" s="18" t="s">
        <v>64</v>
      </c>
      <c r="D455" s="18" t="s">
        <v>1200</v>
      </c>
      <c r="E455" s="18" t="s">
        <v>1201</v>
      </c>
      <c r="F455" s="18" t="s">
        <v>228</v>
      </c>
      <c r="G455" s="18">
        <v>17.1</v>
      </c>
      <c r="H455" s="18" t="s">
        <v>1202</v>
      </c>
      <c r="I455" s="19">
        <v>450.0</v>
      </c>
      <c r="J455" s="19">
        <v>360.0</v>
      </c>
      <c r="L455" s="18" t="s">
        <v>1203</v>
      </c>
      <c r="M455" s="18" t="s">
        <v>1204</v>
      </c>
      <c r="N455" s="18" t="s">
        <v>491</v>
      </c>
      <c r="O455" s="18" t="s">
        <v>41</v>
      </c>
      <c r="Q455" s="19">
        <v>400.0</v>
      </c>
    </row>
    <row r="456">
      <c r="A456" s="18" t="s">
        <v>1199</v>
      </c>
      <c r="B456" s="18" t="s">
        <v>44</v>
      </c>
      <c r="C456" s="18" t="s">
        <v>151</v>
      </c>
      <c r="D456" s="18" t="s">
        <v>1205</v>
      </c>
      <c r="E456" s="18" t="s">
        <v>1206</v>
      </c>
      <c r="F456" s="18" t="s">
        <v>228</v>
      </c>
      <c r="G456" s="18">
        <v>25.3</v>
      </c>
      <c r="H456" s="18" t="s">
        <v>1207</v>
      </c>
      <c r="I456" s="19">
        <v>600.0</v>
      </c>
      <c r="J456" s="19">
        <v>480.0</v>
      </c>
      <c r="L456" s="18" t="s">
        <v>1208</v>
      </c>
      <c r="M456" s="18" t="s">
        <v>1209</v>
      </c>
      <c r="N456" s="18" t="s">
        <v>240</v>
      </c>
      <c r="O456" s="18" t="s">
        <v>57</v>
      </c>
      <c r="Q456" s="19">
        <v>600.0</v>
      </c>
    </row>
    <row r="457">
      <c r="A457" s="18" t="s">
        <v>1199</v>
      </c>
      <c r="B457" s="18" t="s">
        <v>44</v>
      </c>
      <c r="C457" s="18" t="s">
        <v>180</v>
      </c>
      <c r="D457" s="18" t="s">
        <v>1210</v>
      </c>
      <c r="E457" s="18" t="s">
        <v>1211</v>
      </c>
      <c r="F457" s="18" t="s">
        <v>228</v>
      </c>
      <c r="G457" s="18">
        <v>22.01</v>
      </c>
      <c r="H457" s="18" t="s">
        <v>1207</v>
      </c>
      <c r="I457" s="19">
        <v>550.0</v>
      </c>
      <c r="J457" s="19">
        <v>440.0</v>
      </c>
      <c r="L457" s="18" t="s">
        <v>1212</v>
      </c>
      <c r="M457" s="18" t="s">
        <v>1213</v>
      </c>
      <c r="N457" s="18" t="s">
        <v>240</v>
      </c>
      <c r="O457" s="18" t="s">
        <v>41</v>
      </c>
      <c r="Q457" s="19">
        <v>600.0</v>
      </c>
    </row>
    <row r="458">
      <c r="A458" s="18" t="s">
        <v>1199</v>
      </c>
      <c r="B458" s="18" t="s">
        <v>44</v>
      </c>
      <c r="C458" s="18" t="s">
        <v>76</v>
      </c>
      <c r="D458" s="18" t="s">
        <v>1214</v>
      </c>
      <c r="E458" s="18" t="s">
        <v>1215</v>
      </c>
      <c r="F458" s="18" t="s">
        <v>228</v>
      </c>
      <c r="G458" s="18">
        <v>20.49</v>
      </c>
      <c r="H458" s="18" t="s">
        <v>1202</v>
      </c>
      <c r="I458" s="19">
        <v>500.0</v>
      </c>
      <c r="J458" s="19">
        <v>400.0</v>
      </c>
      <c r="L458" s="18" t="s">
        <v>1216</v>
      </c>
      <c r="M458" s="18" t="s">
        <v>1217</v>
      </c>
      <c r="N458" s="18" t="s">
        <v>240</v>
      </c>
      <c r="O458" s="18" t="s">
        <v>57</v>
      </c>
      <c r="Q458" s="19">
        <v>500.0</v>
      </c>
    </row>
    <row r="459">
      <c r="A459" s="18" t="s">
        <v>1199</v>
      </c>
      <c r="B459" s="18" t="s">
        <v>44</v>
      </c>
      <c r="C459" s="18" t="s">
        <v>76</v>
      </c>
      <c r="D459" s="18" t="s">
        <v>1218</v>
      </c>
      <c r="E459" s="18" t="s">
        <v>1219</v>
      </c>
      <c r="F459" s="18" t="s">
        <v>228</v>
      </c>
      <c r="G459" s="18">
        <v>20.49</v>
      </c>
      <c r="H459" s="18" t="s">
        <v>1202</v>
      </c>
      <c r="I459" s="19">
        <v>500.0</v>
      </c>
      <c r="J459" s="19">
        <v>400.0</v>
      </c>
      <c r="L459" s="18" t="s">
        <v>1220</v>
      </c>
      <c r="M459" s="18" t="s">
        <v>1221</v>
      </c>
      <c r="N459" s="18" t="s">
        <v>240</v>
      </c>
      <c r="O459" s="18" t="s">
        <v>57</v>
      </c>
      <c r="Q459" s="19">
        <v>500.0</v>
      </c>
    </row>
    <row r="460">
      <c r="A460" s="18" t="s">
        <v>1199</v>
      </c>
      <c r="B460" s="18" t="s">
        <v>44</v>
      </c>
      <c r="C460" s="18" t="s">
        <v>64</v>
      </c>
      <c r="D460" s="18" t="s">
        <v>1222</v>
      </c>
      <c r="E460" s="18" t="s">
        <v>1223</v>
      </c>
      <c r="F460" s="18" t="s">
        <v>228</v>
      </c>
      <c r="G460" s="18">
        <v>17.2</v>
      </c>
      <c r="H460" s="18" t="s">
        <v>1202</v>
      </c>
      <c r="I460" s="19">
        <v>450.0</v>
      </c>
      <c r="J460" s="19">
        <v>360.0</v>
      </c>
      <c r="L460" s="18" t="s">
        <v>1224</v>
      </c>
      <c r="M460" s="18" t="s">
        <v>1225</v>
      </c>
      <c r="N460" s="18" t="s">
        <v>240</v>
      </c>
      <c r="O460" s="18" t="s">
        <v>41</v>
      </c>
      <c r="Q460" s="19">
        <v>450.0</v>
      </c>
    </row>
    <row r="461">
      <c r="A461" s="18" t="s">
        <v>1199</v>
      </c>
      <c r="B461" s="18" t="s">
        <v>44</v>
      </c>
      <c r="C461" s="18" t="s">
        <v>76</v>
      </c>
      <c r="D461" s="18" t="s">
        <v>1226</v>
      </c>
      <c r="E461" s="18" t="s">
        <v>1227</v>
      </c>
      <c r="F461" s="18" t="s">
        <v>228</v>
      </c>
      <c r="G461" s="18">
        <v>20.49</v>
      </c>
      <c r="H461" s="18" t="s">
        <v>1202</v>
      </c>
      <c r="I461" s="19">
        <v>500.0</v>
      </c>
      <c r="J461" s="19">
        <v>400.0</v>
      </c>
      <c r="L461" s="18" t="s">
        <v>1228</v>
      </c>
      <c r="M461" s="18" t="s">
        <v>1229</v>
      </c>
      <c r="N461" s="18" t="s">
        <v>240</v>
      </c>
      <c r="O461" s="18" t="s">
        <v>57</v>
      </c>
      <c r="Q461" s="19">
        <v>500.0</v>
      </c>
    </row>
    <row r="462">
      <c r="A462" s="18" t="s">
        <v>1199</v>
      </c>
      <c r="B462" s="18" t="s">
        <v>44</v>
      </c>
      <c r="C462" s="18" t="s">
        <v>133</v>
      </c>
      <c r="D462" s="18" t="s">
        <v>1230</v>
      </c>
      <c r="E462" s="18" t="s">
        <v>1231</v>
      </c>
      <c r="F462" s="18" t="s">
        <v>228</v>
      </c>
      <c r="G462" s="18">
        <v>14.67</v>
      </c>
      <c r="H462" s="18" t="s">
        <v>56</v>
      </c>
      <c r="I462" s="19">
        <v>400.0</v>
      </c>
      <c r="J462" s="19">
        <v>320.0</v>
      </c>
      <c r="L462" s="18" t="s">
        <v>1232</v>
      </c>
      <c r="M462" s="18" t="s">
        <v>1233</v>
      </c>
      <c r="N462" s="18" t="s">
        <v>240</v>
      </c>
      <c r="O462" s="18" t="s">
        <v>57</v>
      </c>
      <c r="Q462" s="19">
        <v>400.0</v>
      </c>
    </row>
    <row r="463">
      <c r="A463" s="18" t="s">
        <v>1199</v>
      </c>
      <c r="B463" s="18" t="s">
        <v>44</v>
      </c>
      <c r="C463" s="18" t="s">
        <v>64</v>
      </c>
      <c r="D463" s="18" t="s">
        <v>1234</v>
      </c>
      <c r="E463" s="18" t="s">
        <v>1235</v>
      </c>
      <c r="F463" s="18" t="s">
        <v>228</v>
      </c>
      <c r="G463" s="18">
        <v>18.26</v>
      </c>
      <c r="H463" s="18" t="s">
        <v>1202</v>
      </c>
      <c r="I463" s="19">
        <v>450.0</v>
      </c>
      <c r="J463" s="19">
        <v>360.0</v>
      </c>
      <c r="L463" s="18" t="s">
        <v>1236</v>
      </c>
      <c r="M463" s="18" t="s">
        <v>1237</v>
      </c>
      <c r="N463" s="18" t="s">
        <v>240</v>
      </c>
      <c r="O463" s="18" t="s">
        <v>57</v>
      </c>
      <c r="Q463" s="19">
        <v>450.0</v>
      </c>
    </row>
    <row r="464">
      <c r="A464" s="18" t="s">
        <v>1238</v>
      </c>
      <c r="B464" s="18" t="s">
        <v>44</v>
      </c>
      <c r="C464" s="18" t="s">
        <v>1239</v>
      </c>
      <c r="D464" s="18" t="s">
        <v>1240</v>
      </c>
      <c r="E464" s="18" t="s">
        <v>1241</v>
      </c>
      <c r="F464" s="18" t="s">
        <v>228</v>
      </c>
      <c r="G464" s="18">
        <v>46.17</v>
      </c>
      <c r="H464" s="18" t="s">
        <v>1242</v>
      </c>
      <c r="I464" s="19">
        <v>6949.0</v>
      </c>
      <c r="J464" s="19">
        <v>9050.0</v>
      </c>
      <c r="L464" s="18" t="s">
        <v>1243</v>
      </c>
      <c r="M464" s="18" t="s">
        <v>1244</v>
      </c>
      <c r="N464" s="18" t="s">
        <v>1034</v>
      </c>
      <c r="O464" s="18" t="s">
        <v>41</v>
      </c>
      <c r="P464" s="18" t="s">
        <v>144</v>
      </c>
      <c r="Q464" s="19">
        <v>7650.0</v>
      </c>
    </row>
    <row r="465">
      <c r="A465" s="18" t="s">
        <v>165</v>
      </c>
      <c r="B465" s="18" t="s">
        <v>44</v>
      </c>
      <c r="C465" s="18" t="s">
        <v>53</v>
      </c>
      <c r="D465" s="18" t="s">
        <v>214</v>
      </c>
      <c r="E465" s="18" t="s">
        <v>215</v>
      </c>
      <c r="F465" s="18" t="s">
        <v>228</v>
      </c>
      <c r="G465" s="18">
        <v>16.38</v>
      </c>
      <c r="H465" s="18" t="s">
        <v>56</v>
      </c>
      <c r="I465" s="19">
        <v>3563.0</v>
      </c>
      <c r="J465" s="19">
        <v>4300.0</v>
      </c>
      <c r="K465" s="19">
        <v>4450.0</v>
      </c>
      <c r="L465" s="18" t="s">
        <v>3557</v>
      </c>
      <c r="M465" s="18" t="s">
        <v>3558</v>
      </c>
      <c r="N465" s="18" t="s">
        <v>316</v>
      </c>
      <c r="O465" s="18" t="s">
        <v>117</v>
      </c>
      <c r="Q465" s="19">
        <v>2900.0</v>
      </c>
    </row>
    <row r="466">
      <c r="A466" s="18" t="s">
        <v>138</v>
      </c>
      <c r="B466" s="18" t="s">
        <v>44</v>
      </c>
      <c r="C466" s="18" t="s">
        <v>76</v>
      </c>
      <c r="D466" s="18" t="s">
        <v>2740</v>
      </c>
      <c r="E466" s="18" t="s">
        <v>2741</v>
      </c>
      <c r="F466" s="18" t="s">
        <v>228</v>
      </c>
      <c r="G466" s="18">
        <v>21.51</v>
      </c>
      <c r="H466" s="18" t="s">
        <v>168</v>
      </c>
      <c r="I466" s="19">
        <v>4359.0</v>
      </c>
      <c r="J466" s="19">
        <v>6350.0</v>
      </c>
      <c r="K466" s="19">
        <v>5300.0</v>
      </c>
      <c r="L466" s="18" t="s">
        <v>3559</v>
      </c>
      <c r="M466" s="18" t="s">
        <v>3537</v>
      </c>
      <c r="N466" s="18" t="s">
        <v>240</v>
      </c>
      <c r="O466" s="18" t="s">
        <v>57</v>
      </c>
      <c r="P466" s="18" t="s">
        <v>144</v>
      </c>
      <c r="Q466" s="19">
        <v>5700.0</v>
      </c>
    </row>
    <row r="467">
      <c r="A467" s="18" t="s">
        <v>148</v>
      </c>
      <c r="B467" s="18" t="s">
        <v>45</v>
      </c>
      <c r="D467" s="18" t="s">
        <v>1245</v>
      </c>
      <c r="E467" s="18" t="s">
        <v>1246</v>
      </c>
      <c r="F467" s="18" t="s">
        <v>228</v>
      </c>
      <c r="G467" s="18">
        <v>13.7</v>
      </c>
      <c r="I467" s="19">
        <v>4171.0</v>
      </c>
      <c r="J467" s="19">
        <v>4200.0</v>
      </c>
      <c r="L467" s="18" t="s">
        <v>1247</v>
      </c>
      <c r="M467" s="18" t="s">
        <v>1248</v>
      </c>
      <c r="N467" s="18" t="s">
        <v>903</v>
      </c>
      <c r="O467" s="18" t="s">
        <v>151</v>
      </c>
      <c r="P467" s="18" t="s">
        <v>48</v>
      </c>
      <c r="Q467" s="19">
        <v>4400.0</v>
      </c>
    </row>
    <row r="468">
      <c r="A468" s="18" t="s">
        <v>216</v>
      </c>
      <c r="B468" s="18" t="s">
        <v>44</v>
      </c>
      <c r="C468" s="18" t="s">
        <v>113</v>
      </c>
      <c r="D468" s="18" t="s">
        <v>1249</v>
      </c>
      <c r="E468" s="18" t="s">
        <v>1250</v>
      </c>
      <c r="F468" s="18" t="s">
        <v>228</v>
      </c>
      <c r="G468" s="18">
        <v>10.55</v>
      </c>
      <c r="H468" s="18" t="s">
        <v>116</v>
      </c>
      <c r="I468" s="19">
        <v>4173.0</v>
      </c>
      <c r="J468" s="19">
        <v>5850.0</v>
      </c>
      <c r="K468" s="19">
        <v>5050.0</v>
      </c>
      <c r="L468" s="18" t="s">
        <v>1251</v>
      </c>
      <c r="M468" s="18" t="s">
        <v>1042</v>
      </c>
      <c r="N468" s="18" t="s">
        <v>403</v>
      </c>
      <c r="O468" s="18" t="s">
        <v>83</v>
      </c>
      <c r="P468" s="18" t="s">
        <v>42</v>
      </c>
      <c r="Q468" s="19">
        <v>5700.0</v>
      </c>
    </row>
    <row r="469">
      <c r="A469" s="18" t="s">
        <v>171</v>
      </c>
      <c r="B469" s="18" t="s">
        <v>45</v>
      </c>
      <c r="C469" s="18" t="s">
        <v>45</v>
      </c>
      <c r="D469" s="18" t="s">
        <v>1252</v>
      </c>
      <c r="E469" s="18" t="s">
        <v>1253</v>
      </c>
      <c r="F469" s="18" t="s">
        <v>228</v>
      </c>
      <c r="G469" s="18">
        <v>22.68</v>
      </c>
      <c r="H469" s="18" t="s">
        <v>45</v>
      </c>
      <c r="I469" s="19">
        <v>2490.0</v>
      </c>
      <c r="J469" s="19">
        <v>2900.0</v>
      </c>
      <c r="K469" s="19">
        <v>3000.0</v>
      </c>
      <c r="L469" s="18" t="s">
        <v>1254</v>
      </c>
      <c r="M469" s="18" t="s">
        <v>1255</v>
      </c>
      <c r="N469" s="18" t="s">
        <v>403</v>
      </c>
      <c r="O469" s="18" t="s">
        <v>198</v>
      </c>
      <c r="Q469" s="19">
        <v>2500.0</v>
      </c>
    </row>
    <row r="470">
      <c r="A470" s="18" t="s">
        <v>125</v>
      </c>
      <c r="B470" s="18" t="s">
        <v>36</v>
      </c>
      <c r="C470" s="18" t="s">
        <v>37</v>
      </c>
      <c r="D470" s="18" t="s">
        <v>1256</v>
      </c>
      <c r="E470" s="18" t="s">
        <v>1257</v>
      </c>
      <c r="F470" s="18" t="s">
        <v>228</v>
      </c>
      <c r="G470" s="18">
        <v>44.88</v>
      </c>
      <c r="H470" s="18" t="s">
        <v>168</v>
      </c>
      <c r="I470" s="19">
        <v>4500.0</v>
      </c>
      <c r="J470" s="19">
        <v>3850.0</v>
      </c>
      <c r="L470" s="18" t="s">
        <v>1258</v>
      </c>
      <c r="M470" s="18" t="s">
        <v>1259</v>
      </c>
      <c r="N470" s="18" t="s">
        <v>316</v>
      </c>
      <c r="O470" s="18" t="s">
        <v>41</v>
      </c>
      <c r="Q470" s="19">
        <v>4500.0</v>
      </c>
    </row>
    <row r="471">
      <c r="A471" s="18" t="s">
        <v>138</v>
      </c>
      <c r="B471" s="18" t="s">
        <v>44</v>
      </c>
      <c r="C471" s="18" t="s">
        <v>76</v>
      </c>
      <c r="D471" s="18" t="s">
        <v>1260</v>
      </c>
      <c r="E471" s="18" t="s">
        <v>1261</v>
      </c>
      <c r="F471" s="18" t="s">
        <v>228</v>
      </c>
      <c r="G471" s="18">
        <v>22.77</v>
      </c>
      <c r="H471" s="18" t="s">
        <v>168</v>
      </c>
      <c r="I471" s="19">
        <v>4359.0</v>
      </c>
      <c r="J471" s="19">
        <v>6350.0</v>
      </c>
      <c r="K471" s="19">
        <v>5300.0</v>
      </c>
      <c r="L471" s="18" t="s">
        <v>1262</v>
      </c>
      <c r="M471" s="18" t="s">
        <v>1263</v>
      </c>
      <c r="N471" s="18" t="s">
        <v>903</v>
      </c>
      <c r="O471" s="18" t="s">
        <v>57</v>
      </c>
      <c r="P471" s="18" t="s">
        <v>144</v>
      </c>
      <c r="Q471" s="19">
        <v>5700.0</v>
      </c>
    </row>
    <row r="472">
      <c r="A472" s="18" t="s">
        <v>148</v>
      </c>
      <c r="B472" s="18" t="s">
        <v>45</v>
      </c>
      <c r="D472" s="18" t="s">
        <v>1264</v>
      </c>
      <c r="E472" s="18" t="s">
        <v>1265</v>
      </c>
      <c r="F472" s="18" t="s">
        <v>228</v>
      </c>
      <c r="G472" s="18">
        <v>13.4</v>
      </c>
      <c r="I472" s="19">
        <v>4171.0</v>
      </c>
      <c r="J472" s="19">
        <v>4200.0</v>
      </c>
      <c r="L472" s="18" t="s">
        <v>1266</v>
      </c>
      <c r="M472" s="18" t="s">
        <v>1267</v>
      </c>
      <c r="N472" s="18" t="s">
        <v>763</v>
      </c>
      <c r="O472" s="18" t="s">
        <v>151</v>
      </c>
      <c r="P472" s="18" t="s">
        <v>48</v>
      </c>
      <c r="Q472" s="19">
        <v>4200.0</v>
      </c>
    </row>
    <row r="473">
      <c r="A473" s="18" t="s">
        <v>171</v>
      </c>
      <c r="B473" s="18" t="s">
        <v>44</v>
      </c>
      <c r="C473" s="18" t="s">
        <v>113</v>
      </c>
      <c r="D473" s="18" t="s">
        <v>1268</v>
      </c>
      <c r="E473" s="18" t="s">
        <v>1269</v>
      </c>
      <c r="F473" s="18" t="s">
        <v>228</v>
      </c>
      <c r="G473" s="18">
        <v>9.99</v>
      </c>
      <c r="H473" s="18" t="s">
        <v>116</v>
      </c>
      <c r="I473" s="19">
        <v>2490.0</v>
      </c>
      <c r="J473" s="19">
        <v>2900.0</v>
      </c>
      <c r="K473" s="19">
        <v>3600.0</v>
      </c>
      <c r="L473" s="18" t="s">
        <v>1270</v>
      </c>
      <c r="M473" s="18" t="s">
        <v>1271</v>
      </c>
      <c r="N473" s="18" t="s">
        <v>143</v>
      </c>
      <c r="O473" s="18" t="s">
        <v>117</v>
      </c>
      <c r="Q473" s="19">
        <v>2500.0</v>
      </c>
    </row>
    <row r="474">
      <c r="A474" s="18" t="s">
        <v>49</v>
      </c>
      <c r="B474" s="18" t="s">
        <v>44</v>
      </c>
      <c r="C474" s="18" t="s">
        <v>53</v>
      </c>
      <c r="D474" s="18" t="s">
        <v>1272</v>
      </c>
      <c r="E474" s="18" t="s">
        <v>1273</v>
      </c>
      <c r="F474" s="18" t="s">
        <v>228</v>
      </c>
      <c r="G474" s="18">
        <v>15.21</v>
      </c>
      <c r="H474" s="18" t="s">
        <v>56</v>
      </c>
      <c r="I474" s="19">
        <v>6445.0</v>
      </c>
      <c r="J474" s="19">
        <v>7450.0</v>
      </c>
      <c r="K474" s="19">
        <v>7750.0</v>
      </c>
      <c r="L474" s="18" t="s">
        <v>1274</v>
      </c>
      <c r="M474" s="18" t="s">
        <v>1275</v>
      </c>
      <c r="N474" s="18" t="s">
        <v>903</v>
      </c>
      <c r="O474" s="18" t="s">
        <v>57</v>
      </c>
      <c r="P474" s="18" t="s">
        <v>48</v>
      </c>
      <c r="Q474" s="19">
        <v>7450.0</v>
      </c>
    </row>
    <row r="475">
      <c r="A475" s="18" t="s">
        <v>216</v>
      </c>
      <c r="B475" s="18" t="s">
        <v>44</v>
      </c>
      <c r="C475" s="18" t="s">
        <v>113</v>
      </c>
      <c r="D475" s="18" t="s">
        <v>1276</v>
      </c>
      <c r="E475" s="18" t="s">
        <v>1277</v>
      </c>
      <c r="F475" s="18" t="s">
        <v>228</v>
      </c>
      <c r="G475" s="18">
        <v>10.22</v>
      </c>
      <c r="H475" s="18" t="s">
        <v>116</v>
      </c>
      <c r="I475" s="19">
        <v>4173.0</v>
      </c>
      <c r="J475" s="19">
        <v>5850.0</v>
      </c>
      <c r="K475" s="19">
        <v>5050.0</v>
      </c>
      <c r="L475" s="18" t="s">
        <v>1278</v>
      </c>
      <c r="M475" s="18" t="s">
        <v>1279</v>
      </c>
      <c r="N475" s="18" t="s">
        <v>903</v>
      </c>
      <c r="O475" s="18" t="s">
        <v>57</v>
      </c>
      <c r="P475" s="18" t="s">
        <v>42</v>
      </c>
      <c r="Q475" s="19">
        <v>5650.0</v>
      </c>
    </row>
    <row r="476">
      <c r="A476" s="18" t="s">
        <v>210</v>
      </c>
      <c r="B476" s="18" t="s">
        <v>45</v>
      </c>
      <c r="C476" s="18" t="s">
        <v>45</v>
      </c>
      <c r="D476" s="18" t="s">
        <v>1280</v>
      </c>
      <c r="E476" s="18" t="s">
        <v>1281</v>
      </c>
      <c r="F476" s="18" t="s">
        <v>228</v>
      </c>
      <c r="G476" s="18">
        <v>9.2</v>
      </c>
      <c r="H476" s="18" t="s">
        <v>40</v>
      </c>
      <c r="I476" s="19">
        <v>3100.0</v>
      </c>
      <c r="J476" s="19">
        <v>4050.0</v>
      </c>
      <c r="K476" s="19">
        <v>3750.0</v>
      </c>
      <c r="L476" s="18" t="s">
        <v>1282</v>
      </c>
      <c r="M476" s="18" t="s">
        <v>1283</v>
      </c>
      <c r="N476" s="18" t="s">
        <v>903</v>
      </c>
      <c r="O476" s="18" t="s">
        <v>83</v>
      </c>
      <c r="P476" s="18" t="s">
        <v>63</v>
      </c>
      <c r="Q476" s="19">
        <v>4000.0</v>
      </c>
    </row>
    <row r="477">
      <c r="A477" s="18" t="s">
        <v>148</v>
      </c>
      <c r="B477" s="18" t="s">
        <v>45</v>
      </c>
      <c r="C477" s="18" t="s">
        <v>45</v>
      </c>
      <c r="D477" s="18" t="s">
        <v>1284</v>
      </c>
      <c r="E477" s="18" t="s">
        <v>1285</v>
      </c>
      <c r="F477" s="18" t="s">
        <v>228</v>
      </c>
      <c r="G477" s="18">
        <v>9.0</v>
      </c>
      <c r="H477" s="18" t="s">
        <v>45</v>
      </c>
      <c r="I477" s="19">
        <v>4171.0</v>
      </c>
      <c r="J477" s="19">
        <v>4200.0</v>
      </c>
      <c r="K477" s="19">
        <v>5050.0</v>
      </c>
      <c r="L477" s="18" t="s">
        <v>1286</v>
      </c>
      <c r="M477" s="18" t="s">
        <v>1287</v>
      </c>
      <c r="N477" s="18" t="s">
        <v>903</v>
      </c>
      <c r="O477" s="18" t="s">
        <v>57</v>
      </c>
      <c r="P477" s="18" t="s">
        <v>48</v>
      </c>
      <c r="Q477" s="19">
        <v>4400.0</v>
      </c>
    </row>
    <row r="478">
      <c r="A478" s="18" t="s">
        <v>1029</v>
      </c>
      <c r="B478" s="18" t="s">
        <v>44</v>
      </c>
      <c r="C478" s="18" t="s">
        <v>53</v>
      </c>
      <c r="D478" s="18" t="s">
        <v>1288</v>
      </c>
      <c r="E478" s="18" t="s">
        <v>1289</v>
      </c>
      <c r="F478" s="18" t="s">
        <v>228</v>
      </c>
      <c r="G478" s="18">
        <v>16.29</v>
      </c>
      <c r="H478" s="18" t="s">
        <v>56</v>
      </c>
      <c r="I478" s="19">
        <v>450.0</v>
      </c>
      <c r="J478" s="19">
        <v>360.0</v>
      </c>
      <c r="L478" s="18" t="s">
        <v>1290</v>
      </c>
      <c r="M478" s="18" t="s">
        <v>1291</v>
      </c>
      <c r="N478" s="18" t="s">
        <v>1034</v>
      </c>
      <c r="O478" s="18" t="s">
        <v>57</v>
      </c>
      <c r="Q478" s="19">
        <v>360.0</v>
      </c>
    </row>
    <row r="479">
      <c r="A479" s="18" t="s">
        <v>1029</v>
      </c>
      <c r="B479" s="18" t="s">
        <v>44</v>
      </c>
      <c r="C479" s="18" t="s">
        <v>53</v>
      </c>
      <c r="D479" s="18" t="s">
        <v>1292</v>
      </c>
      <c r="E479" s="18" t="s">
        <v>1293</v>
      </c>
      <c r="F479" s="18" t="s">
        <v>228</v>
      </c>
      <c r="G479" s="18">
        <v>15.36</v>
      </c>
      <c r="H479" s="18" t="s">
        <v>56</v>
      </c>
      <c r="I479" s="19">
        <v>450.0</v>
      </c>
      <c r="J479" s="19">
        <v>360.0</v>
      </c>
      <c r="L479" s="18" t="s">
        <v>1294</v>
      </c>
      <c r="M479" s="18" t="s">
        <v>1295</v>
      </c>
      <c r="N479" s="18" t="s">
        <v>1034</v>
      </c>
      <c r="O479" s="18" t="s">
        <v>57</v>
      </c>
      <c r="Q479" s="19">
        <v>360.0</v>
      </c>
    </row>
    <row r="480">
      <c r="A480" s="18" t="s">
        <v>145</v>
      </c>
      <c r="B480" s="18" t="s">
        <v>44</v>
      </c>
      <c r="C480" s="18" t="s">
        <v>53</v>
      </c>
      <c r="D480" s="18" t="s">
        <v>1296</v>
      </c>
      <c r="E480" s="18" t="s">
        <v>1297</v>
      </c>
      <c r="F480" s="18" t="s">
        <v>228</v>
      </c>
      <c r="G480" s="18">
        <v>16.5</v>
      </c>
      <c r="H480" s="18" t="s">
        <v>56</v>
      </c>
      <c r="I480" s="19">
        <v>8592.0</v>
      </c>
      <c r="J480" s="19">
        <v>9500.0</v>
      </c>
      <c r="K480" s="19">
        <v>10350.0</v>
      </c>
      <c r="L480" s="18" t="s">
        <v>1298</v>
      </c>
      <c r="M480" s="18" t="s">
        <v>1299</v>
      </c>
      <c r="N480" s="18" t="s">
        <v>143</v>
      </c>
      <c r="O480" s="18" t="s">
        <v>151</v>
      </c>
      <c r="P480" s="18" t="s">
        <v>63</v>
      </c>
      <c r="Q480" s="19">
        <v>9050.0</v>
      </c>
    </row>
    <row r="481">
      <c r="A481" s="18" t="s">
        <v>148</v>
      </c>
      <c r="B481" s="18" t="s">
        <v>45</v>
      </c>
      <c r="D481" s="18" t="s">
        <v>1300</v>
      </c>
      <c r="E481" s="18" t="s">
        <v>1301</v>
      </c>
      <c r="F481" s="18" t="s">
        <v>228</v>
      </c>
      <c r="G481" s="18">
        <v>13.4</v>
      </c>
      <c r="I481" s="19">
        <v>4171.0</v>
      </c>
      <c r="J481" s="19">
        <v>4200.0</v>
      </c>
      <c r="L481" s="18" t="s">
        <v>1302</v>
      </c>
      <c r="M481" s="18" t="s">
        <v>1303</v>
      </c>
      <c r="N481" s="18" t="s">
        <v>143</v>
      </c>
      <c r="O481" s="18" t="s">
        <v>151</v>
      </c>
      <c r="P481" s="18" t="s">
        <v>48</v>
      </c>
      <c r="Q481" s="19">
        <v>4200.0</v>
      </c>
    </row>
    <row r="482">
      <c r="A482" s="18" t="s">
        <v>154</v>
      </c>
      <c r="B482" s="18" t="s">
        <v>44</v>
      </c>
      <c r="C482" s="18" t="s">
        <v>64</v>
      </c>
      <c r="D482" s="18" t="s">
        <v>1304</v>
      </c>
      <c r="E482" s="18" t="s">
        <v>1305</v>
      </c>
      <c r="F482" s="18" t="s">
        <v>228</v>
      </c>
      <c r="G482" s="18">
        <v>18.0</v>
      </c>
      <c r="H482" s="18" t="s">
        <v>56</v>
      </c>
      <c r="I482" s="19">
        <v>5731.0</v>
      </c>
      <c r="J482" s="19">
        <v>8050.0</v>
      </c>
      <c r="K482" s="19">
        <v>6900.0</v>
      </c>
      <c r="L482" s="18" t="s">
        <v>1306</v>
      </c>
      <c r="M482" s="18" t="s">
        <v>1307</v>
      </c>
      <c r="N482" s="18" t="s">
        <v>1308</v>
      </c>
      <c r="O482" s="18" t="s">
        <v>151</v>
      </c>
      <c r="P482" s="18" t="s">
        <v>157</v>
      </c>
      <c r="Q482" s="19">
        <v>6050.0</v>
      </c>
    </row>
    <row r="483">
      <c r="A483" s="18" t="s">
        <v>282</v>
      </c>
      <c r="B483" s="18" t="s">
        <v>45</v>
      </c>
      <c r="C483" s="18" t="s">
        <v>45</v>
      </c>
      <c r="D483" s="18" t="s">
        <v>1309</v>
      </c>
      <c r="E483" s="18" t="s">
        <v>1310</v>
      </c>
      <c r="F483" s="18" t="s">
        <v>228</v>
      </c>
      <c r="G483" s="18">
        <v>9.88</v>
      </c>
      <c r="H483" s="18" t="s">
        <v>45</v>
      </c>
      <c r="I483" s="19">
        <v>2838.0</v>
      </c>
      <c r="J483" s="19">
        <v>3450.0</v>
      </c>
      <c r="K483" s="19">
        <v>3450.0</v>
      </c>
      <c r="L483" s="18" t="s">
        <v>1311</v>
      </c>
      <c r="M483" s="18" t="s">
        <v>1312</v>
      </c>
      <c r="N483" s="18" t="s">
        <v>343</v>
      </c>
      <c r="O483" s="18" t="s">
        <v>41</v>
      </c>
      <c r="P483" s="18" t="s">
        <v>63</v>
      </c>
      <c r="Q483" s="19">
        <v>3300.0</v>
      </c>
    </row>
    <row r="484">
      <c r="A484" s="18" t="s">
        <v>148</v>
      </c>
      <c r="B484" s="18" t="s">
        <v>45</v>
      </c>
      <c r="C484" s="18" t="s">
        <v>45</v>
      </c>
      <c r="D484" s="18" t="s">
        <v>1313</v>
      </c>
      <c r="E484" s="18" t="s">
        <v>1314</v>
      </c>
      <c r="F484" s="18" t="s">
        <v>228</v>
      </c>
      <c r="G484" s="18">
        <v>8.8</v>
      </c>
      <c r="H484" s="18" t="s">
        <v>45</v>
      </c>
      <c r="I484" s="19">
        <v>4171.0</v>
      </c>
      <c r="J484" s="19">
        <v>4200.0</v>
      </c>
      <c r="K484" s="19">
        <v>5050.0</v>
      </c>
      <c r="L484" s="18" t="s">
        <v>1315</v>
      </c>
      <c r="M484" s="18" t="s">
        <v>1145</v>
      </c>
      <c r="N484" s="18" t="s">
        <v>1146</v>
      </c>
      <c r="O484" s="18" t="s">
        <v>151</v>
      </c>
      <c r="P484" s="18" t="s">
        <v>48</v>
      </c>
      <c r="Q484" s="19">
        <v>4400.0</v>
      </c>
    </row>
    <row r="485">
      <c r="A485" s="18" t="s">
        <v>35</v>
      </c>
      <c r="B485" s="18" t="s">
        <v>45</v>
      </c>
      <c r="C485" s="18" t="s">
        <v>45</v>
      </c>
      <c r="D485" s="18" t="s">
        <v>1316</v>
      </c>
      <c r="E485" s="18" t="s">
        <v>1317</v>
      </c>
      <c r="F485" s="18" t="s">
        <v>228</v>
      </c>
      <c r="G485" s="18">
        <v>9.32</v>
      </c>
      <c r="H485" s="18" t="s">
        <v>45</v>
      </c>
      <c r="I485" s="19">
        <v>2885.0</v>
      </c>
      <c r="J485" s="19">
        <v>3900.0</v>
      </c>
      <c r="K485" s="19">
        <v>3500.0</v>
      </c>
      <c r="L485" s="18" t="s">
        <v>1318</v>
      </c>
      <c r="M485" s="18" t="s">
        <v>382</v>
      </c>
      <c r="N485" s="18" t="s">
        <v>240</v>
      </c>
      <c r="O485" s="18" t="s">
        <v>83</v>
      </c>
      <c r="P485" s="18" t="s">
        <v>42</v>
      </c>
      <c r="Q485" s="19">
        <v>3900.0</v>
      </c>
    </row>
    <row r="486">
      <c r="A486" s="18" t="s">
        <v>154</v>
      </c>
      <c r="B486" s="18" t="s">
        <v>44</v>
      </c>
      <c r="C486" s="18" t="s">
        <v>64</v>
      </c>
      <c r="D486" s="18" t="s">
        <v>1319</v>
      </c>
      <c r="E486" s="18" t="s">
        <v>1320</v>
      </c>
      <c r="F486" s="18" t="s">
        <v>228</v>
      </c>
      <c r="G486" s="18">
        <v>17.0</v>
      </c>
      <c r="H486" s="18" t="s">
        <v>56</v>
      </c>
      <c r="I486" s="19">
        <v>4799.0</v>
      </c>
      <c r="J486" s="19">
        <v>6750.0</v>
      </c>
      <c r="K486" s="19">
        <v>5800.0</v>
      </c>
      <c r="L486" s="18" t="s">
        <v>1321</v>
      </c>
      <c r="M486" s="18" t="s">
        <v>1322</v>
      </c>
      <c r="N486" s="18" t="s">
        <v>1308</v>
      </c>
      <c r="O486" s="18" t="s">
        <v>151</v>
      </c>
      <c r="P486" s="18" t="s">
        <v>157</v>
      </c>
      <c r="Q486" s="19">
        <v>4800.0</v>
      </c>
    </row>
    <row r="487">
      <c r="A487" s="18" t="s">
        <v>125</v>
      </c>
      <c r="B487" s="18" t="s">
        <v>44</v>
      </c>
      <c r="C487" s="18" t="s">
        <v>133</v>
      </c>
      <c r="D487" s="18" t="s">
        <v>1323</v>
      </c>
      <c r="E487" s="18" t="s">
        <v>1324</v>
      </c>
      <c r="F487" s="18" t="s">
        <v>228</v>
      </c>
      <c r="G487" s="18">
        <v>12.48</v>
      </c>
      <c r="H487" s="18" t="s">
        <v>56</v>
      </c>
      <c r="I487" s="19">
        <v>2376.0</v>
      </c>
      <c r="J487" s="19">
        <v>2050.0</v>
      </c>
      <c r="K487" s="19">
        <v>3900.0</v>
      </c>
      <c r="L487" s="18" t="s">
        <v>1325</v>
      </c>
      <c r="M487" s="18" t="s">
        <v>1326</v>
      </c>
      <c r="N487" s="18" t="s">
        <v>403</v>
      </c>
      <c r="O487" s="18" t="s">
        <v>57</v>
      </c>
      <c r="Q487" s="19">
        <v>2400.0</v>
      </c>
    </row>
    <row r="488">
      <c r="A488" s="18" t="s">
        <v>225</v>
      </c>
      <c r="B488" s="18" t="s">
        <v>45</v>
      </c>
      <c r="C488" s="18" t="s">
        <v>45</v>
      </c>
      <c r="D488" s="18" t="s">
        <v>1327</v>
      </c>
      <c r="E488" s="18" t="s">
        <v>1328</v>
      </c>
      <c r="F488" s="18" t="s">
        <v>228</v>
      </c>
      <c r="G488" s="18">
        <v>9.0</v>
      </c>
      <c r="H488" s="18" t="s">
        <v>45</v>
      </c>
      <c r="I488" s="19">
        <v>3100.0</v>
      </c>
      <c r="J488" s="19">
        <v>4050.0</v>
      </c>
      <c r="K488" s="19">
        <v>3600.0</v>
      </c>
      <c r="L488" s="18" t="s">
        <v>1329</v>
      </c>
      <c r="M488" s="18" t="s">
        <v>1145</v>
      </c>
      <c r="N488" s="18" t="s">
        <v>1146</v>
      </c>
      <c r="O488" s="18" t="s">
        <v>41</v>
      </c>
      <c r="P488" s="18" t="s">
        <v>162</v>
      </c>
      <c r="Q488" s="19">
        <v>3900.0</v>
      </c>
    </row>
    <row r="489">
      <c r="A489" s="18" t="s">
        <v>165</v>
      </c>
      <c r="B489" s="18" t="s">
        <v>45</v>
      </c>
      <c r="C489" s="18" t="s">
        <v>45</v>
      </c>
      <c r="D489" s="18" t="s">
        <v>1330</v>
      </c>
      <c r="E489" s="18" t="s">
        <v>1331</v>
      </c>
      <c r="F489" s="18" t="s">
        <v>228</v>
      </c>
      <c r="G489" s="18">
        <v>12.28</v>
      </c>
      <c r="H489" s="18" t="s">
        <v>45</v>
      </c>
      <c r="I489" s="19">
        <v>1892.0</v>
      </c>
      <c r="J489" s="19">
        <v>2300.0</v>
      </c>
      <c r="K489" s="19">
        <v>2300.0</v>
      </c>
      <c r="L489" s="18" t="s">
        <v>1332</v>
      </c>
      <c r="M489" s="18" t="s">
        <v>1333</v>
      </c>
      <c r="N489" s="18" t="s">
        <v>240</v>
      </c>
      <c r="O489" s="18" t="s">
        <v>41</v>
      </c>
      <c r="Q489" s="19">
        <v>1892.0</v>
      </c>
    </row>
    <row r="490">
      <c r="A490" s="18" t="s">
        <v>165</v>
      </c>
      <c r="B490" s="18" t="s">
        <v>44</v>
      </c>
      <c r="C490" s="18" t="s">
        <v>53</v>
      </c>
      <c r="D490" s="18" t="s">
        <v>1334</v>
      </c>
      <c r="E490" s="18" t="s">
        <v>1335</v>
      </c>
      <c r="F490" s="18" t="s">
        <v>228</v>
      </c>
      <c r="G490" s="18">
        <v>16.31</v>
      </c>
      <c r="H490" s="18" t="s">
        <v>56</v>
      </c>
      <c r="I490" s="19">
        <v>3563.0</v>
      </c>
      <c r="J490" s="19">
        <v>4300.0</v>
      </c>
      <c r="K490" s="19">
        <v>4350.0</v>
      </c>
      <c r="L490" s="18" t="s">
        <v>1336</v>
      </c>
      <c r="M490" s="18" t="s">
        <v>1337</v>
      </c>
      <c r="N490" s="18" t="s">
        <v>240</v>
      </c>
      <c r="O490" s="18" t="s">
        <v>41</v>
      </c>
      <c r="Q490" s="19">
        <v>3563.0</v>
      </c>
    </row>
    <row r="491">
      <c r="A491" s="18" t="s">
        <v>165</v>
      </c>
      <c r="B491" s="18" t="s">
        <v>44</v>
      </c>
      <c r="C491" s="18" t="s">
        <v>53</v>
      </c>
      <c r="D491" s="18" t="s">
        <v>1338</v>
      </c>
      <c r="E491" s="18" t="s">
        <v>1339</v>
      </c>
      <c r="F491" s="18" t="s">
        <v>228</v>
      </c>
      <c r="G491" s="18">
        <v>16.98</v>
      </c>
      <c r="H491" s="18" t="s">
        <v>56</v>
      </c>
      <c r="I491" s="19">
        <v>3563.0</v>
      </c>
      <c r="J491" s="19">
        <v>4300.0</v>
      </c>
      <c r="K491" s="19">
        <v>4350.0</v>
      </c>
      <c r="L491" s="18" t="s">
        <v>1340</v>
      </c>
      <c r="M491" s="18" t="s">
        <v>1341</v>
      </c>
      <c r="N491" s="18" t="s">
        <v>240</v>
      </c>
      <c r="O491" s="18" t="s">
        <v>41</v>
      </c>
      <c r="Q491" s="19">
        <v>3563.0</v>
      </c>
    </row>
    <row r="492">
      <c r="A492" s="18" t="s">
        <v>165</v>
      </c>
      <c r="B492" s="18" t="s">
        <v>45</v>
      </c>
      <c r="C492" s="18" t="s">
        <v>45</v>
      </c>
      <c r="D492" s="18" t="s">
        <v>1342</v>
      </c>
      <c r="E492" s="18" t="s">
        <v>1343</v>
      </c>
      <c r="F492" s="18" t="s">
        <v>228</v>
      </c>
      <c r="G492" s="18">
        <v>9.35</v>
      </c>
      <c r="H492" s="18" t="s">
        <v>45</v>
      </c>
      <c r="I492" s="19">
        <v>1892.0</v>
      </c>
      <c r="J492" s="19">
        <v>2300.0</v>
      </c>
      <c r="K492" s="19">
        <v>2300.0</v>
      </c>
      <c r="L492" s="18" t="s">
        <v>1344</v>
      </c>
      <c r="M492" s="18" t="s">
        <v>1345</v>
      </c>
      <c r="N492" s="18" t="s">
        <v>240</v>
      </c>
      <c r="O492" s="18" t="s">
        <v>41</v>
      </c>
      <c r="Q492" s="19">
        <v>1892.0</v>
      </c>
    </row>
    <row r="493">
      <c r="A493" s="18" t="s">
        <v>165</v>
      </c>
      <c r="B493" s="18" t="s">
        <v>44</v>
      </c>
      <c r="C493" s="18" t="s">
        <v>53</v>
      </c>
      <c r="D493" s="18" t="s">
        <v>1346</v>
      </c>
      <c r="E493" s="18" t="s">
        <v>1347</v>
      </c>
      <c r="F493" s="18" t="s">
        <v>228</v>
      </c>
      <c r="G493" s="18">
        <v>15.6</v>
      </c>
      <c r="H493" s="18" t="s">
        <v>56</v>
      </c>
      <c r="I493" s="19">
        <v>3563.0</v>
      </c>
      <c r="J493" s="19">
        <v>4300.0</v>
      </c>
      <c r="K493" s="19">
        <v>4350.0</v>
      </c>
      <c r="L493" s="18" t="s">
        <v>1348</v>
      </c>
      <c r="M493" s="18" t="s">
        <v>1349</v>
      </c>
      <c r="N493" s="18" t="s">
        <v>240</v>
      </c>
      <c r="O493" s="18" t="s">
        <v>41</v>
      </c>
      <c r="Q493" s="19">
        <v>3563.0</v>
      </c>
    </row>
    <row r="494">
      <c r="A494" s="18" t="s">
        <v>165</v>
      </c>
      <c r="B494" s="18" t="s">
        <v>44</v>
      </c>
      <c r="C494" s="18" t="s">
        <v>64</v>
      </c>
      <c r="D494" s="18" t="s">
        <v>1350</v>
      </c>
      <c r="E494" s="18" t="s">
        <v>1351</v>
      </c>
      <c r="F494" s="18" t="s">
        <v>228</v>
      </c>
      <c r="G494" s="18">
        <v>17.58</v>
      </c>
      <c r="H494" s="18" t="s">
        <v>120</v>
      </c>
      <c r="I494" s="19">
        <v>4039.0</v>
      </c>
      <c r="J494" s="19">
        <v>4850.0</v>
      </c>
      <c r="K494" s="19">
        <v>4900.0</v>
      </c>
      <c r="L494" s="18" t="s">
        <v>1352</v>
      </c>
      <c r="M494" s="18" t="s">
        <v>1353</v>
      </c>
      <c r="N494" s="18" t="s">
        <v>240</v>
      </c>
      <c r="O494" s="18" t="s">
        <v>41</v>
      </c>
      <c r="Q494" s="19">
        <v>4039.0</v>
      </c>
    </row>
    <row r="495">
      <c r="A495" s="18" t="s">
        <v>165</v>
      </c>
      <c r="B495" s="18" t="s">
        <v>44</v>
      </c>
      <c r="C495" s="18" t="s">
        <v>64</v>
      </c>
      <c r="D495" s="18" t="s">
        <v>1354</v>
      </c>
      <c r="E495" s="18" t="s">
        <v>1355</v>
      </c>
      <c r="F495" s="18" t="s">
        <v>228</v>
      </c>
      <c r="G495" s="18">
        <v>18.51</v>
      </c>
      <c r="H495" s="18" t="s">
        <v>120</v>
      </c>
      <c r="I495" s="19">
        <v>4039.0</v>
      </c>
      <c r="J495" s="19">
        <v>4850.0</v>
      </c>
      <c r="K495" s="19">
        <v>4900.0</v>
      </c>
      <c r="L495" s="18" t="s">
        <v>1356</v>
      </c>
      <c r="M495" s="18" t="s">
        <v>1357</v>
      </c>
      <c r="N495" s="18" t="s">
        <v>240</v>
      </c>
      <c r="O495" s="18" t="s">
        <v>41</v>
      </c>
      <c r="Q495" s="19">
        <v>4039.0</v>
      </c>
    </row>
    <row r="496">
      <c r="A496" s="18" t="s">
        <v>165</v>
      </c>
      <c r="B496" s="18" t="s">
        <v>44</v>
      </c>
      <c r="C496" s="18" t="s">
        <v>76</v>
      </c>
      <c r="D496" s="18" t="s">
        <v>1358</v>
      </c>
      <c r="E496" s="18" t="s">
        <v>1359</v>
      </c>
      <c r="F496" s="18" t="s">
        <v>228</v>
      </c>
      <c r="G496" s="18">
        <v>19.17</v>
      </c>
      <c r="H496" s="18" t="s">
        <v>120</v>
      </c>
      <c r="I496" s="19">
        <v>4275.0</v>
      </c>
      <c r="J496" s="19">
        <v>5150.0</v>
      </c>
      <c r="K496" s="19">
        <v>5200.0</v>
      </c>
      <c r="L496" s="18" t="s">
        <v>1360</v>
      </c>
      <c r="M496" s="18" t="s">
        <v>1361</v>
      </c>
      <c r="N496" s="18" t="s">
        <v>240</v>
      </c>
      <c r="O496" s="18" t="s">
        <v>41</v>
      </c>
      <c r="Q496" s="19">
        <v>4275.0</v>
      </c>
    </row>
    <row r="497">
      <c r="A497" s="18" t="s">
        <v>165</v>
      </c>
      <c r="B497" s="18" t="s">
        <v>44</v>
      </c>
      <c r="C497" s="18" t="s">
        <v>133</v>
      </c>
      <c r="D497" s="18" t="s">
        <v>1362</v>
      </c>
      <c r="E497" s="18" t="s">
        <v>1363</v>
      </c>
      <c r="F497" s="18" t="s">
        <v>228</v>
      </c>
      <c r="G497" s="18">
        <v>14.04</v>
      </c>
      <c r="H497" s="18" t="s">
        <v>56</v>
      </c>
      <c r="I497" s="19">
        <v>3086.0</v>
      </c>
      <c r="J497" s="19">
        <v>3750.0</v>
      </c>
      <c r="K497" s="19">
        <v>3750.0</v>
      </c>
      <c r="L497" s="18" t="s">
        <v>1364</v>
      </c>
      <c r="M497" s="18" t="s">
        <v>1365</v>
      </c>
      <c r="N497" s="18" t="s">
        <v>240</v>
      </c>
      <c r="O497" s="18" t="s">
        <v>41</v>
      </c>
      <c r="Q497" s="19">
        <v>3086.0</v>
      </c>
    </row>
    <row r="498">
      <c r="A498" s="18" t="s">
        <v>165</v>
      </c>
      <c r="C498" s="18" t="s">
        <v>1166</v>
      </c>
      <c r="D498" s="18" t="s">
        <v>1366</v>
      </c>
      <c r="E498" s="18" t="s">
        <v>1367</v>
      </c>
      <c r="F498" s="18" t="s">
        <v>228</v>
      </c>
      <c r="G498" s="18">
        <v>23.05</v>
      </c>
      <c r="H498" s="18" t="s">
        <v>40</v>
      </c>
      <c r="I498" s="19">
        <v>1500.0</v>
      </c>
      <c r="J498" s="19">
        <v>1800.0</v>
      </c>
      <c r="L498" s="18" t="s">
        <v>1368</v>
      </c>
      <c r="M498" s="18" t="s">
        <v>1369</v>
      </c>
      <c r="N498" s="18" t="s">
        <v>240</v>
      </c>
      <c r="O498" s="18" t="s">
        <v>41</v>
      </c>
      <c r="Q498" s="19">
        <v>1949.0</v>
      </c>
    </row>
    <row r="499">
      <c r="A499" s="18" t="s">
        <v>112</v>
      </c>
      <c r="B499" s="18" t="s">
        <v>44</v>
      </c>
      <c r="C499" s="18" t="s">
        <v>53</v>
      </c>
      <c r="D499" s="18" t="s">
        <v>2869</v>
      </c>
      <c r="E499" s="18" t="s">
        <v>2870</v>
      </c>
      <c r="F499" s="18" t="s">
        <v>228</v>
      </c>
      <c r="G499" s="18">
        <v>16.2</v>
      </c>
      <c r="H499" s="18" t="s">
        <v>56</v>
      </c>
      <c r="I499" s="19">
        <v>6008.0</v>
      </c>
      <c r="J499" s="19">
        <v>8450.0</v>
      </c>
      <c r="K499" s="19">
        <v>7300.0</v>
      </c>
      <c r="L499" s="18" t="s">
        <v>3560</v>
      </c>
      <c r="M499" s="18" t="s">
        <v>3561</v>
      </c>
      <c r="N499" s="18" t="s">
        <v>1034</v>
      </c>
      <c r="O499" s="18" t="s">
        <v>117</v>
      </c>
      <c r="P499" s="18" t="s">
        <v>42</v>
      </c>
      <c r="Q499" s="19">
        <v>8150.0</v>
      </c>
    </row>
    <row r="500">
      <c r="A500" s="18" t="s">
        <v>154</v>
      </c>
      <c r="B500" s="18" t="s">
        <v>45</v>
      </c>
      <c r="C500" s="18" t="s">
        <v>45</v>
      </c>
      <c r="D500" s="18" t="s">
        <v>2746</v>
      </c>
      <c r="E500" s="18" t="s">
        <v>2747</v>
      </c>
      <c r="F500" s="18" t="s">
        <v>228</v>
      </c>
      <c r="G500" s="18">
        <v>13.15</v>
      </c>
      <c r="H500" s="18" t="s">
        <v>45</v>
      </c>
      <c r="I500" s="19">
        <v>3580.0</v>
      </c>
      <c r="J500" s="19">
        <v>5050.0</v>
      </c>
      <c r="K500" s="19">
        <v>4350.0</v>
      </c>
      <c r="L500" s="18" t="s">
        <v>3562</v>
      </c>
      <c r="M500" s="18" t="s">
        <v>3563</v>
      </c>
      <c r="N500" s="18" t="s">
        <v>343</v>
      </c>
      <c r="O500" s="18" t="s">
        <v>151</v>
      </c>
      <c r="P500" s="18" t="s">
        <v>157</v>
      </c>
      <c r="Q500" s="19">
        <v>3800.0</v>
      </c>
    </row>
    <row r="501">
      <c r="A501" s="18" t="s">
        <v>165</v>
      </c>
      <c r="B501" s="18" t="s">
        <v>44</v>
      </c>
      <c r="C501" s="18" t="s">
        <v>64</v>
      </c>
      <c r="D501" s="18" t="s">
        <v>2711</v>
      </c>
      <c r="E501" s="18" t="s">
        <v>2712</v>
      </c>
      <c r="F501" s="18" t="s">
        <v>228</v>
      </c>
      <c r="G501" s="18">
        <v>17.39</v>
      </c>
      <c r="H501" s="18" t="s">
        <v>120</v>
      </c>
      <c r="I501" s="19">
        <v>4039.0</v>
      </c>
      <c r="J501" s="19">
        <v>4850.0</v>
      </c>
      <c r="K501" s="19">
        <v>4900.0</v>
      </c>
      <c r="L501" s="18" t="s">
        <v>3564</v>
      </c>
      <c r="M501" s="18" t="s">
        <v>3565</v>
      </c>
      <c r="N501" s="18" t="s">
        <v>316</v>
      </c>
      <c r="O501" s="18" t="s">
        <v>117</v>
      </c>
      <c r="Q501" s="19">
        <v>1650.0</v>
      </c>
    </row>
    <row r="502">
      <c r="A502" s="18" t="s">
        <v>158</v>
      </c>
      <c r="B502" s="18" t="s">
        <v>45</v>
      </c>
      <c r="C502" s="18" t="s">
        <v>45</v>
      </c>
      <c r="D502" s="18" t="s">
        <v>1370</v>
      </c>
      <c r="E502" s="18" t="s">
        <v>1371</v>
      </c>
      <c r="F502" s="18" t="s">
        <v>228</v>
      </c>
      <c r="G502" s="18">
        <v>8.0</v>
      </c>
      <c r="H502" s="18" t="s">
        <v>45</v>
      </c>
      <c r="I502" s="19">
        <v>2542.0</v>
      </c>
      <c r="J502" s="19">
        <v>2550.0</v>
      </c>
      <c r="K502" s="19">
        <v>3100.0</v>
      </c>
      <c r="L502" s="18" t="s">
        <v>1372</v>
      </c>
      <c r="M502" s="18" t="s">
        <v>1373</v>
      </c>
      <c r="N502" s="18" t="s">
        <v>316</v>
      </c>
      <c r="O502" s="18" t="s">
        <v>41</v>
      </c>
      <c r="P502" s="18" t="s">
        <v>162</v>
      </c>
      <c r="Q502" s="19">
        <v>2700.0</v>
      </c>
    </row>
    <row r="503">
      <c r="A503" s="18" t="s">
        <v>138</v>
      </c>
      <c r="B503" s="18" t="s">
        <v>44</v>
      </c>
      <c r="C503" s="18" t="s">
        <v>64</v>
      </c>
      <c r="D503" s="18" t="s">
        <v>1374</v>
      </c>
      <c r="E503" s="18" t="s">
        <v>1375</v>
      </c>
      <c r="F503" s="18" t="s">
        <v>228</v>
      </c>
      <c r="G503" s="18">
        <v>18.08</v>
      </c>
      <c r="H503" s="18" t="s">
        <v>120</v>
      </c>
      <c r="I503" s="19">
        <v>3944.0</v>
      </c>
      <c r="J503" s="19">
        <v>5750.0</v>
      </c>
      <c r="K503" s="19">
        <v>4750.0</v>
      </c>
      <c r="L503" s="18" t="s">
        <v>1376</v>
      </c>
      <c r="M503" s="18" t="s">
        <v>977</v>
      </c>
      <c r="N503" s="18" t="s">
        <v>403</v>
      </c>
      <c r="O503" s="18" t="s">
        <v>41</v>
      </c>
      <c r="P503" s="18" t="s">
        <v>144</v>
      </c>
      <c r="Q503" s="19">
        <v>5150.0</v>
      </c>
    </row>
    <row r="504">
      <c r="A504" s="18" t="s">
        <v>282</v>
      </c>
      <c r="B504" s="18" t="s">
        <v>44</v>
      </c>
      <c r="C504" s="18" t="s">
        <v>113</v>
      </c>
      <c r="D504" s="18" t="s">
        <v>1377</v>
      </c>
      <c r="E504" s="18" t="s">
        <v>1378</v>
      </c>
      <c r="F504" s="18" t="s">
        <v>228</v>
      </c>
      <c r="G504" s="18">
        <v>10.92</v>
      </c>
      <c r="H504" s="18" t="s">
        <v>120</v>
      </c>
      <c r="I504" s="19">
        <v>4575.0</v>
      </c>
      <c r="J504" s="19">
        <v>5500.0</v>
      </c>
      <c r="K504" s="19">
        <v>5900.0</v>
      </c>
      <c r="L504" s="18" t="s">
        <v>1379</v>
      </c>
      <c r="M504" s="18" t="s">
        <v>1380</v>
      </c>
      <c r="N504" s="18" t="s">
        <v>131</v>
      </c>
      <c r="O504" s="18" t="s">
        <v>57</v>
      </c>
      <c r="P504" s="18" t="s">
        <v>63</v>
      </c>
      <c r="Q504" s="19">
        <v>5300.0</v>
      </c>
    </row>
    <row r="505">
      <c r="A505" s="18" t="s">
        <v>165</v>
      </c>
      <c r="B505" s="18" t="s">
        <v>44</v>
      </c>
      <c r="C505" s="18" t="s">
        <v>53</v>
      </c>
      <c r="D505" s="18" t="s">
        <v>2713</v>
      </c>
      <c r="E505" s="18" t="s">
        <v>2714</v>
      </c>
      <c r="F505" s="18" t="s">
        <v>228</v>
      </c>
      <c r="G505" s="18">
        <v>15.5</v>
      </c>
      <c r="H505" s="18" t="s">
        <v>56</v>
      </c>
      <c r="I505" s="19">
        <v>3563.0</v>
      </c>
      <c r="J505" s="19">
        <v>4300.0</v>
      </c>
      <c r="K505" s="19">
        <v>4350.0</v>
      </c>
      <c r="L505" s="18" t="s">
        <v>3566</v>
      </c>
      <c r="M505" s="18" t="s">
        <v>481</v>
      </c>
      <c r="N505" s="18" t="s">
        <v>316</v>
      </c>
      <c r="O505" s="18" t="s">
        <v>117</v>
      </c>
      <c r="Q505" s="19">
        <v>3600.0</v>
      </c>
    </row>
    <row r="506">
      <c r="A506" s="18" t="s">
        <v>145</v>
      </c>
      <c r="B506" s="18" t="s">
        <v>44</v>
      </c>
      <c r="C506" s="18" t="s">
        <v>64</v>
      </c>
      <c r="D506" s="18" t="s">
        <v>1381</v>
      </c>
      <c r="E506" s="18" t="s">
        <v>1382</v>
      </c>
      <c r="F506" s="18" t="s">
        <v>228</v>
      </c>
      <c r="G506" s="18">
        <v>17.4</v>
      </c>
      <c r="H506" s="18" t="s">
        <v>56</v>
      </c>
      <c r="I506" s="19">
        <v>9022.0</v>
      </c>
      <c r="J506" s="19">
        <v>9950.0</v>
      </c>
      <c r="K506" s="19">
        <v>10900.0</v>
      </c>
      <c r="L506" s="18" t="s">
        <v>1383</v>
      </c>
      <c r="M506" s="18" t="s">
        <v>1384</v>
      </c>
      <c r="N506" s="18" t="s">
        <v>240</v>
      </c>
      <c r="O506" s="18" t="s">
        <v>151</v>
      </c>
      <c r="P506" s="18" t="s">
        <v>63</v>
      </c>
      <c r="Q506" s="19">
        <v>9050.0</v>
      </c>
    </row>
    <row r="507">
      <c r="A507" s="18" t="s">
        <v>1029</v>
      </c>
      <c r="B507" s="18" t="s">
        <v>44</v>
      </c>
      <c r="C507" s="18" t="s">
        <v>53</v>
      </c>
      <c r="D507" s="18" t="s">
        <v>2701</v>
      </c>
      <c r="E507" s="18" t="s">
        <v>2702</v>
      </c>
      <c r="F507" s="18" t="s">
        <v>228</v>
      </c>
      <c r="G507" s="18">
        <v>15.66</v>
      </c>
      <c r="H507" s="18" t="s">
        <v>56</v>
      </c>
      <c r="I507" s="19">
        <v>450.0</v>
      </c>
      <c r="J507" s="19">
        <v>360.0</v>
      </c>
      <c r="L507" s="18" t="s">
        <v>3567</v>
      </c>
      <c r="M507" s="18" t="s">
        <v>3568</v>
      </c>
      <c r="N507" s="18" t="s">
        <v>1034</v>
      </c>
      <c r="O507" s="18" t="s">
        <v>57</v>
      </c>
      <c r="Q507" s="19">
        <v>360.0</v>
      </c>
    </row>
    <row r="508">
      <c r="A508" s="18" t="s">
        <v>138</v>
      </c>
      <c r="B508" s="18" t="s">
        <v>45</v>
      </c>
      <c r="C508" s="18" t="s">
        <v>45</v>
      </c>
      <c r="D508" s="18" t="s">
        <v>2546</v>
      </c>
      <c r="E508" s="18" t="s">
        <v>2547</v>
      </c>
      <c r="F508" s="18" t="s">
        <v>228</v>
      </c>
      <c r="G508" s="18">
        <v>10.21</v>
      </c>
      <c r="H508" s="18" t="s">
        <v>45</v>
      </c>
      <c r="I508" s="19">
        <v>1652.0</v>
      </c>
      <c r="J508" s="19">
        <v>2400.0</v>
      </c>
      <c r="K508" s="19">
        <v>2050.0</v>
      </c>
      <c r="L508" s="18" t="s">
        <v>3569</v>
      </c>
      <c r="M508" s="18" t="s">
        <v>3537</v>
      </c>
      <c r="N508" s="18" t="s">
        <v>240</v>
      </c>
      <c r="O508" s="18" t="s">
        <v>83</v>
      </c>
      <c r="P508" s="18" t="s">
        <v>144</v>
      </c>
      <c r="Q508" s="19">
        <v>1950.0</v>
      </c>
    </row>
    <row r="509">
      <c r="A509" s="18" t="s">
        <v>154</v>
      </c>
      <c r="B509" s="18" t="s">
        <v>44</v>
      </c>
      <c r="C509" s="18" t="s">
        <v>53</v>
      </c>
      <c r="D509" s="18" t="s">
        <v>1385</v>
      </c>
      <c r="E509" s="18" t="s">
        <v>1386</v>
      </c>
      <c r="F509" s="18" t="s">
        <v>228</v>
      </c>
      <c r="G509" s="18">
        <v>15.0</v>
      </c>
      <c r="H509" s="18" t="s">
        <v>56</v>
      </c>
      <c r="I509" s="19">
        <v>4799.0</v>
      </c>
      <c r="J509" s="19">
        <v>6750.0</v>
      </c>
      <c r="K509" s="19">
        <v>5800.0</v>
      </c>
      <c r="L509" s="18" t="s">
        <v>1387</v>
      </c>
      <c r="M509" s="18" t="s">
        <v>1388</v>
      </c>
      <c r="N509" s="18" t="s">
        <v>903</v>
      </c>
      <c r="O509" s="18" t="s">
        <v>57</v>
      </c>
      <c r="P509" s="18" t="s">
        <v>157</v>
      </c>
      <c r="Q509" s="19">
        <v>5050.0</v>
      </c>
    </row>
    <row r="510">
      <c r="A510" s="18" t="s">
        <v>49</v>
      </c>
      <c r="B510" s="18" t="s">
        <v>44</v>
      </c>
      <c r="C510" s="18" t="s">
        <v>76</v>
      </c>
      <c r="D510" s="18" t="s">
        <v>1389</v>
      </c>
      <c r="E510" s="18" t="s">
        <v>1390</v>
      </c>
      <c r="F510" s="18" t="s">
        <v>228</v>
      </c>
      <c r="G510" s="18">
        <v>18.98</v>
      </c>
      <c r="H510" s="18" t="s">
        <v>120</v>
      </c>
      <c r="I510" s="19">
        <v>7320.0</v>
      </c>
      <c r="J510" s="19">
        <v>8450.0</v>
      </c>
      <c r="K510" s="19">
        <v>8850.0</v>
      </c>
      <c r="L510" s="18" t="s">
        <v>1391</v>
      </c>
      <c r="M510" s="18" t="s">
        <v>1392</v>
      </c>
      <c r="N510" s="18" t="s">
        <v>903</v>
      </c>
      <c r="O510" s="18" t="s">
        <v>57</v>
      </c>
      <c r="P510" s="18" t="s">
        <v>48</v>
      </c>
      <c r="Q510" s="19">
        <v>8450.0</v>
      </c>
    </row>
    <row r="511">
      <c r="A511" s="18" t="s">
        <v>49</v>
      </c>
      <c r="B511" s="18" t="s">
        <v>36</v>
      </c>
      <c r="D511" s="18" t="s">
        <v>1393</v>
      </c>
      <c r="E511" s="18" t="s">
        <v>1394</v>
      </c>
      <c r="F511" s="18" t="s">
        <v>228</v>
      </c>
      <c r="G511" s="18">
        <v>20.32</v>
      </c>
      <c r="H511" s="18" t="s">
        <v>40</v>
      </c>
      <c r="I511" s="19">
        <v>2921.0</v>
      </c>
      <c r="J511" s="19">
        <v>3400.0</v>
      </c>
      <c r="L511" s="18" t="s">
        <v>1395</v>
      </c>
      <c r="M511" s="18" t="s">
        <v>1396</v>
      </c>
      <c r="N511" s="18" t="s">
        <v>903</v>
      </c>
      <c r="O511" s="18" t="s">
        <v>41</v>
      </c>
      <c r="P511" s="18" t="s">
        <v>48</v>
      </c>
      <c r="Q511" s="19">
        <v>3400.0</v>
      </c>
    </row>
    <row r="512">
      <c r="A512" s="18" t="s">
        <v>210</v>
      </c>
      <c r="B512" s="18" t="s">
        <v>44</v>
      </c>
      <c r="C512" s="18" t="s">
        <v>180</v>
      </c>
      <c r="D512" s="18" t="s">
        <v>1397</v>
      </c>
      <c r="E512" s="18" t="s">
        <v>1398</v>
      </c>
      <c r="F512" s="18" t="s">
        <v>228</v>
      </c>
      <c r="G512" s="18">
        <v>21.94</v>
      </c>
      <c r="H512" s="18" t="s">
        <v>168</v>
      </c>
      <c r="I512" s="19">
        <v>6700.0</v>
      </c>
      <c r="J512" s="19">
        <v>8750.0</v>
      </c>
      <c r="K512" s="19">
        <v>8050.0</v>
      </c>
      <c r="L512" s="18" t="s">
        <v>1399</v>
      </c>
      <c r="M512" s="18" t="s">
        <v>1400</v>
      </c>
      <c r="N512" s="18" t="s">
        <v>903</v>
      </c>
      <c r="O512" s="18" t="s">
        <v>83</v>
      </c>
      <c r="P512" s="18" t="s">
        <v>63</v>
      </c>
      <c r="Q512" s="19">
        <v>8050.0</v>
      </c>
    </row>
    <row r="513">
      <c r="A513" s="18" t="s">
        <v>210</v>
      </c>
      <c r="B513" s="18" t="s">
        <v>44</v>
      </c>
      <c r="C513" s="18" t="s">
        <v>64</v>
      </c>
      <c r="D513" s="18" t="s">
        <v>1401</v>
      </c>
      <c r="E513" s="18" t="s">
        <v>1402</v>
      </c>
      <c r="F513" s="18" t="s">
        <v>228</v>
      </c>
      <c r="G513" s="18">
        <v>18.91</v>
      </c>
      <c r="H513" s="18" t="s">
        <v>120</v>
      </c>
      <c r="I513" s="19">
        <v>6250.0</v>
      </c>
      <c r="J513" s="19">
        <v>8150.0</v>
      </c>
      <c r="K513" s="19">
        <v>7500.0</v>
      </c>
      <c r="L513" s="18" t="s">
        <v>1403</v>
      </c>
      <c r="M513" s="18" t="s">
        <v>1404</v>
      </c>
      <c r="N513" s="18" t="s">
        <v>903</v>
      </c>
      <c r="O513" s="18" t="s">
        <v>213</v>
      </c>
      <c r="P513" s="18" t="s">
        <v>63</v>
      </c>
      <c r="Q513" s="19">
        <v>7500.0</v>
      </c>
    </row>
    <row r="514">
      <c r="A514" s="18" t="s">
        <v>154</v>
      </c>
      <c r="B514" s="18" t="s">
        <v>44</v>
      </c>
      <c r="C514" s="18" t="s">
        <v>64</v>
      </c>
      <c r="D514" s="18" t="s">
        <v>1405</v>
      </c>
      <c r="E514" s="18" t="s">
        <v>1406</v>
      </c>
      <c r="F514" s="18" t="s">
        <v>228</v>
      </c>
      <c r="G514" s="18">
        <v>18.3</v>
      </c>
      <c r="H514" s="18" t="s">
        <v>56</v>
      </c>
      <c r="I514" s="19">
        <v>5731.0</v>
      </c>
      <c r="J514" s="19">
        <v>8050.0</v>
      </c>
      <c r="K514" s="19">
        <v>6900.0</v>
      </c>
      <c r="L514" s="18" t="s">
        <v>1407</v>
      </c>
      <c r="M514" s="18" t="s">
        <v>1408</v>
      </c>
      <c r="N514" s="18" t="s">
        <v>903</v>
      </c>
      <c r="O514" s="18" t="s">
        <v>57</v>
      </c>
      <c r="P514" s="18" t="s">
        <v>157</v>
      </c>
      <c r="Q514" s="19">
        <v>6050.0</v>
      </c>
    </row>
    <row r="515">
      <c r="A515" s="18" t="s">
        <v>154</v>
      </c>
      <c r="B515" s="18" t="s">
        <v>44</v>
      </c>
      <c r="C515" s="18" t="s">
        <v>53</v>
      </c>
      <c r="D515" s="18" t="s">
        <v>1409</v>
      </c>
      <c r="E515" s="18" t="s">
        <v>1410</v>
      </c>
      <c r="F515" s="18" t="s">
        <v>228</v>
      </c>
      <c r="G515" s="18">
        <v>15.4</v>
      </c>
      <c r="H515" s="18" t="s">
        <v>56</v>
      </c>
      <c r="I515" s="19">
        <v>4799.0</v>
      </c>
      <c r="J515" s="19">
        <v>6750.0</v>
      </c>
      <c r="K515" s="19">
        <v>5800.0</v>
      </c>
      <c r="L515" s="18" t="s">
        <v>1411</v>
      </c>
      <c r="M515" s="18" t="s">
        <v>1412</v>
      </c>
      <c r="N515" s="18" t="s">
        <v>903</v>
      </c>
      <c r="O515" s="18" t="s">
        <v>57</v>
      </c>
      <c r="P515" s="18" t="s">
        <v>157</v>
      </c>
      <c r="Q515" s="19">
        <v>5050.0</v>
      </c>
    </row>
    <row r="516">
      <c r="A516" s="18" t="s">
        <v>154</v>
      </c>
      <c r="B516" s="18" t="s">
        <v>44</v>
      </c>
      <c r="C516" s="18" t="s">
        <v>53</v>
      </c>
      <c r="D516" s="18" t="s">
        <v>1413</v>
      </c>
      <c r="E516" s="18" t="s">
        <v>1414</v>
      </c>
      <c r="F516" s="18" t="s">
        <v>228</v>
      </c>
      <c r="G516" s="18">
        <v>15.1</v>
      </c>
      <c r="H516" s="18" t="s">
        <v>56</v>
      </c>
      <c r="I516" s="19">
        <v>4799.0</v>
      </c>
      <c r="J516" s="19">
        <v>6750.0</v>
      </c>
      <c r="K516" s="19">
        <v>5800.0</v>
      </c>
      <c r="L516" s="18" t="s">
        <v>1415</v>
      </c>
      <c r="M516" s="18" t="s">
        <v>1416</v>
      </c>
      <c r="N516" s="18" t="s">
        <v>903</v>
      </c>
      <c r="O516" s="18" t="s">
        <v>57</v>
      </c>
      <c r="P516" s="18" t="s">
        <v>157</v>
      </c>
      <c r="Q516" s="19">
        <v>5050.0</v>
      </c>
    </row>
    <row r="517">
      <c r="A517" s="18" t="s">
        <v>154</v>
      </c>
      <c r="B517" s="18" t="s">
        <v>44</v>
      </c>
      <c r="C517" s="18" t="s">
        <v>64</v>
      </c>
      <c r="D517" s="18" t="s">
        <v>1417</v>
      </c>
      <c r="E517" s="18" t="s">
        <v>1418</v>
      </c>
      <c r="F517" s="18" t="s">
        <v>228</v>
      </c>
      <c r="G517" s="18">
        <v>18.3</v>
      </c>
      <c r="H517" s="18" t="s">
        <v>56</v>
      </c>
      <c r="I517" s="19">
        <v>5731.0</v>
      </c>
      <c r="J517" s="19">
        <v>8050.0</v>
      </c>
      <c r="K517" s="19">
        <v>6900.0</v>
      </c>
      <c r="L517" s="18" t="s">
        <v>1419</v>
      </c>
      <c r="M517" s="18" t="s">
        <v>1420</v>
      </c>
      <c r="N517" s="18" t="s">
        <v>903</v>
      </c>
      <c r="O517" s="18" t="s">
        <v>57</v>
      </c>
      <c r="P517" s="18" t="s">
        <v>157</v>
      </c>
      <c r="Q517" s="19">
        <v>6050.0</v>
      </c>
    </row>
    <row r="518">
      <c r="A518" s="18" t="s">
        <v>154</v>
      </c>
      <c r="B518" s="18" t="s">
        <v>44</v>
      </c>
      <c r="C518" s="18" t="s">
        <v>64</v>
      </c>
      <c r="D518" s="18" t="s">
        <v>1421</v>
      </c>
      <c r="E518" s="18" t="s">
        <v>1422</v>
      </c>
      <c r="F518" s="18" t="s">
        <v>228</v>
      </c>
      <c r="G518" s="18">
        <v>18.0</v>
      </c>
      <c r="H518" s="18" t="s">
        <v>56</v>
      </c>
      <c r="I518" s="19">
        <v>5731.0</v>
      </c>
      <c r="J518" s="19">
        <v>8050.0</v>
      </c>
      <c r="K518" s="19">
        <v>6900.0</v>
      </c>
      <c r="L518" s="18" t="s">
        <v>1423</v>
      </c>
      <c r="M518" s="18" t="s">
        <v>1424</v>
      </c>
      <c r="N518" s="18" t="s">
        <v>903</v>
      </c>
      <c r="O518" s="18" t="s">
        <v>57</v>
      </c>
      <c r="P518" s="18" t="s">
        <v>157</v>
      </c>
      <c r="Q518" s="19">
        <v>6050.0</v>
      </c>
    </row>
    <row r="519">
      <c r="A519" s="18" t="s">
        <v>154</v>
      </c>
      <c r="B519" s="18" t="s">
        <v>44</v>
      </c>
      <c r="C519" s="18" t="s">
        <v>64</v>
      </c>
      <c r="D519" s="18" t="s">
        <v>1425</v>
      </c>
      <c r="E519" s="18" t="s">
        <v>1426</v>
      </c>
      <c r="F519" s="18" t="s">
        <v>228</v>
      </c>
      <c r="G519" s="18">
        <v>18.0</v>
      </c>
      <c r="H519" s="18" t="s">
        <v>56</v>
      </c>
      <c r="I519" s="19">
        <v>5731.0</v>
      </c>
      <c r="J519" s="19">
        <v>8050.0</v>
      </c>
      <c r="K519" s="19">
        <v>6900.0</v>
      </c>
      <c r="L519" s="18" t="s">
        <v>1427</v>
      </c>
      <c r="M519" s="18" t="s">
        <v>1428</v>
      </c>
      <c r="N519" s="18" t="s">
        <v>903</v>
      </c>
      <c r="O519" s="18" t="s">
        <v>57</v>
      </c>
      <c r="P519" s="18" t="s">
        <v>157</v>
      </c>
      <c r="Q519" s="19">
        <v>6050.0</v>
      </c>
    </row>
    <row r="520">
      <c r="A520" s="18" t="s">
        <v>154</v>
      </c>
      <c r="B520" s="18" t="s">
        <v>44</v>
      </c>
      <c r="C520" s="18" t="s">
        <v>64</v>
      </c>
      <c r="D520" s="18" t="s">
        <v>1429</v>
      </c>
      <c r="E520" s="18" t="s">
        <v>1430</v>
      </c>
      <c r="F520" s="18" t="s">
        <v>228</v>
      </c>
      <c r="G520" s="18">
        <v>18.1</v>
      </c>
      <c r="H520" s="18" t="s">
        <v>56</v>
      </c>
      <c r="I520" s="19">
        <v>5731.0</v>
      </c>
      <c r="J520" s="19">
        <v>8050.0</v>
      </c>
      <c r="K520" s="19">
        <v>6900.0</v>
      </c>
      <c r="L520" s="18" t="s">
        <v>1431</v>
      </c>
      <c r="M520" s="18" t="s">
        <v>1432</v>
      </c>
      <c r="N520" s="18" t="s">
        <v>903</v>
      </c>
      <c r="O520" s="18" t="s">
        <v>57</v>
      </c>
      <c r="P520" s="18" t="s">
        <v>157</v>
      </c>
      <c r="Q520" s="19">
        <v>6050.0</v>
      </c>
    </row>
    <row r="521">
      <c r="A521" s="18" t="s">
        <v>154</v>
      </c>
      <c r="B521" s="18" t="s">
        <v>44</v>
      </c>
      <c r="C521" s="18" t="s">
        <v>64</v>
      </c>
      <c r="D521" s="18" t="s">
        <v>1433</v>
      </c>
      <c r="E521" s="18" t="s">
        <v>1434</v>
      </c>
      <c r="F521" s="18" t="s">
        <v>228</v>
      </c>
      <c r="G521" s="18">
        <v>18.1</v>
      </c>
      <c r="H521" s="18" t="s">
        <v>56</v>
      </c>
      <c r="I521" s="19">
        <v>5731.0</v>
      </c>
      <c r="J521" s="19">
        <v>8050.0</v>
      </c>
      <c r="K521" s="19">
        <v>6900.0</v>
      </c>
      <c r="L521" s="18" t="s">
        <v>1435</v>
      </c>
      <c r="M521" s="18" t="s">
        <v>1436</v>
      </c>
      <c r="N521" s="18" t="s">
        <v>903</v>
      </c>
      <c r="O521" s="18" t="s">
        <v>57</v>
      </c>
      <c r="P521" s="18" t="s">
        <v>157</v>
      </c>
      <c r="Q521" s="19">
        <v>6050.0</v>
      </c>
    </row>
    <row r="522">
      <c r="A522" s="18" t="s">
        <v>154</v>
      </c>
      <c r="B522" s="18" t="s">
        <v>44</v>
      </c>
      <c r="C522" s="18" t="s">
        <v>64</v>
      </c>
      <c r="D522" s="18" t="s">
        <v>1437</v>
      </c>
      <c r="E522" s="18" t="s">
        <v>1438</v>
      </c>
      <c r="F522" s="18" t="s">
        <v>228</v>
      </c>
      <c r="G522" s="18">
        <v>18.0</v>
      </c>
      <c r="H522" s="18" t="s">
        <v>56</v>
      </c>
      <c r="I522" s="19">
        <v>5731.0</v>
      </c>
      <c r="J522" s="19">
        <v>8050.0</v>
      </c>
      <c r="K522" s="19">
        <v>6900.0</v>
      </c>
      <c r="L522" s="18" t="s">
        <v>1439</v>
      </c>
      <c r="M522" s="18" t="s">
        <v>1440</v>
      </c>
      <c r="N522" s="18" t="s">
        <v>903</v>
      </c>
      <c r="O522" s="18" t="s">
        <v>57</v>
      </c>
      <c r="P522" s="18" t="s">
        <v>157</v>
      </c>
      <c r="Q522" s="19">
        <v>6050.0</v>
      </c>
    </row>
    <row r="523">
      <c r="A523" s="18" t="s">
        <v>154</v>
      </c>
      <c r="B523" s="18" t="s">
        <v>44</v>
      </c>
      <c r="C523" s="18" t="s">
        <v>64</v>
      </c>
      <c r="D523" s="18" t="s">
        <v>1441</v>
      </c>
      <c r="E523" s="18" t="s">
        <v>1442</v>
      </c>
      <c r="F523" s="18" t="s">
        <v>228</v>
      </c>
      <c r="G523" s="18">
        <v>18.0</v>
      </c>
      <c r="H523" s="18" t="s">
        <v>56</v>
      </c>
      <c r="I523" s="19">
        <v>5731.0</v>
      </c>
      <c r="J523" s="19">
        <v>8050.0</v>
      </c>
      <c r="K523" s="19">
        <v>6900.0</v>
      </c>
      <c r="L523" s="18" t="s">
        <v>1443</v>
      </c>
      <c r="M523" s="18" t="s">
        <v>1444</v>
      </c>
      <c r="N523" s="18" t="s">
        <v>903</v>
      </c>
      <c r="O523" s="18" t="s">
        <v>57</v>
      </c>
      <c r="P523" s="18" t="s">
        <v>157</v>
      </c>
      <c r="Q523" s="19">
        <v>6050.0</v>
      </c>
    </row>
    <row r="524">
      <c r="A524" s="18" t="s">
        <v>154</v>
      </c>
      <c r="B524" s="18" t="s">
        <v>44</v>
      </c>
      <c r="C524" s="18" t="s">
        <v>64</v>
      </c>
      <c r="D524" s="18" t="s">
        <v>1445</v>
      </c>
      <c r="E524" s="18" t="s">
        <v>1446</v>
      </c>
      <c r="F524" s="18" t="s">
        <v>228</v>
      </c>
      <c r="G524" s="18">
        <v>18.0</v>
      </c>
      <c r="H524" s="18" t="s">
        <v>56</v>
      </c>
      <c r="I524" s="19">
        <v>5731.0</v>
      </c>
      <c r="J524" s="19">
        <v>8050.0</v>
      </c>
      <c r="K524" s="19">
        <v>6900.0</v>
      </c>
      <c r="L524" s="18" t="s">
        <v>1447</v>
      </c>
      <c r="M524" s="18" t="s">
        <v>1448</v>
      </c>
      <c r="N524" s="18" t="s">
        <v>903</v>
      </c>
      <c r="O524" s="18" t="s">
        <v>57</v>
      </c>
      <c r="P524" s="18" t="s">
        <v>157</v>
      </c>
      <c r="Q524" s="19">
        <v>6050.0</v>
      </c>
    </row>
    <row r="525">
      <c r="A525" s="18" t="s">
        <v>282</v>
      </c>
      <c r="B525" s="18" t="s">
        <v>44</v>
      </c>
      <c r="C525" s="18" t="s">
        <v>64</v>
      </c>
      <c r="D525" s="18" t="s">
        <v>1449</v>
      </c>
      <c r="E525" s="18" t="s">
        <v>1450</v>
      </c>
      <c r="F525" s="18" t="s">
        <v>228</v>
      </c>
      <c r="G525" s="18">
        <v>18.91</v>
      </c>
      <c r="H525" s="18" t="s">
        <v>168</v>
      </c>
      <c r="I525" s="19">
        <v>6499.0</v>
      </c>
      <c r="J525" s="19">
        <v>7800.0</v>
      </c>
      <c r="K525" s="19">
        <v>7800.0</v>
      </c>
      <c r="L525" s="18" t="s">
        <v>1451</v>
      </c>
      <c r="M525" s="18" t="s">
        <v>1452</v>
      </c>
      <c r="N525" s="18" t="s">
        <v>131</v>
      </c>
      <c r="O525" s="18" t="s">
        <v>57</v>
      </c>
      <c r="P525" s="18" t="s">
        <v>63</v>
      </c>
      <c r="Q525" s="19">
        <v>7500.0</v>
      </c>
    </row>
    <row r="526">
      <c r="A526" s="18" t="s">
        <v>154</v>
      </c>
      <c r="B526" s="18" t="s">
        <v>44</v>
      </c>
      <c r="C526" s="18" t="s">
        <v>64</v>
      </c>
      <c r="D526" s="18" t="s">
        <v>1453</v>
      </c>
      <c r="E526" s="18" t="s">
        <v>1454</v>
      </c>
      <c r="F526" s="18" t="s">
        <v>228</v>
      </c>
      <c r="G526" s="18">
        <v>18.0</v>
      </c>
      <c r="H526" s="18" t="s">
        <v>56</v>
      </c>
      <c r="I526" s="19">
        <v>5731.0</v>
      </c>
      <c r="J526" s="19">
        <v>8050.0</v>
      </c>
      <c r="K526" s="19">
        <v>6900.0</v>
      </c>
      <c r="L526" s="18" t="s">
        <v>1455</v>
      </c>
      <c r="M526" s="18" t="s">
        <v>1456</v>
      </c>
      <c r="N526" s="18" t="s">
        <v>903</v>
      </c>
      <c r="O526" s="18" t="s">
        <v>57</v>
      </c>
      <c r="P526" s="18" t="s">
        <v>157</v>
      </c>
      <c r="Q526" s="19">
        <v>6050.0</v>
      </c>
    </row>
    <row r="527">
      <c r="A527" s="18" t="s">
        <v>154</v>
      </c>
      <c r="B527" s="18" t="s">
        <v>44</v>
      </c>
      <c r="C527" s="18" t="s">
        <v>64</v>
      </c>
      <c r="D527" s="18" t="s">
        <v>185</v>
      </c>
      <c r="E527" s="18" t="s">
        <v>186</v>
      </c>
      <c r="F527" s="18" t="s">
        <v>228</v>
      </c>
      <c r="G527" s="18">
        <v>17.0</v>
      </c>
      <c r="H527" s="18" t="s">
        <v>56</v>
      </c>
      <c r="I527" s="19">
        <v>5731.0</v>
      </c>
      <c r="J527" s="19">
        <v>8050.0</v>
      </c>
      <c r="K527" s="19">
        <v>6900.0</v>
      </c>
      <c r="L527" s="18" t="s">
        <v>3570</v>
      </c>
      <c r="M527" s="18" t="s">
        <v>3571</v>
      </c>
      <c r="N527" s="18" t="s">
        <v>316</v>
      </c>
      <c r="O527" s="18" t="s">
        <v>151</v>
      </c>
      <c r="P527" s="18" t="s">
        <v>157</v>
      </c>
      <c r="Q527" s="19">
        <v>5750.0</v>
      </c>
    </row>
    <row r="528">
      <c r="A528" s="18" t="s">
        <v>148</v>
      </c>
      <c r="B528" s="18" t="s">
        <v>44</v>
      </c>
      <c r="C528" s="18" t="s">
        <v>64</v>
      </c>
      <c r="D528" s="18" t="s">
        <v>1457</v>
      </c>
      <c r="E528" s="18" t="s">
        <v>1458</v>
      </c>
      <c r="F528" s="18" t="s">
        <v>228</v>
      </c>
      <c r="G528" s="18">
        <v>17.8</v>
      </c>
      <c r="H528" s="18" t="s">
        <v>56</v>
      </c>
      <c r="I528" s="19">
        <v>7096.0</v>
      </c>
      <c r="J528" s="19">
        <v>7100.0</v>
      </c>
      <c r="K528" s="19">
        <v>8550.0</v>
      </c>
      <c r="L528" s="18" t="s">
        <v>1459</v>
      </c>
      <c r="M528" s="18" t="s">
        <v>1460</v>
      </c>
      <c r="N528" s="18" t="s">
        <v>343</v>
      </c>
      <c r="O528" s="18" t="s">
        <v>57</v>
      </c>
      <c r="P528" s="18" t="s">
        <v>48</v>
      </c>
      <c r="Q528" s="19">
        <v>6100.0</v>
      </c>
    </row>
    <row r="529">
      <c r="A529" s="18" t="s">
        <v>191</v>
      </c>
      <c r="B529" s="18" t="s">
        <v>44</v>
      </c>
      <c r="C529" s="18" t="s">
        <v>64</v>
      </c>
      <c r="D529" s="18" t="s">
        <v>1461</v>
      </c>
      <c r="E529" s="18" t="s">
        <v>1462</v>
      </c>
      <c r="F529" s="18" t="s">
        <v>228</v>
      </c>
      <c r="G529" s="18">
        <v>18.96</v>
      </c>
      <c r="H529" s="18" t="s">
        <v>168</v>
      </c>
      <c r="I529" s="19">
        <v>6200.0</v>
      </c>
      <c r="J529" s="19">
        <v>8100.0</v>
      </c>
      <c r="L529" s="18" t="s">
        <v>1463</v>
      </c>
      <c r="M529" s="18" t="s">
        <v>1464</v>
      </c>
      <c r="N529" s="18" t="s">
        <v>403</v>
      </c>
      <c r="O529" s="18" t="s">
        <v>57</v>
      </c>
      <c r="P529" s="18" t="s">
        <v>48</v>
      </c>
      <c r="Q529" s="19">
        <v>6850.0</v>
      </c>
    </row>
    <row r="530">
      <c r="A530" s="18" t="s">
        <v>154</v>
      </c>
      <c r="B530" s="18" t="s">
        <v>44</v>
      </c>
      <c r="C530" s="18" t="s">
        <v>64</v>
      </c>
      <c r="D530" s="18" t="s">
        <v>1465</v>
      </c>
      <c r="E530" s="18" t="s">
        <v>1466</v>
      </c>
      <c r="F530" s="18" t="s">
        <v>228</v>
      </c>
      <c r="G530" s="18">
        <v>18.3</v>
      </c>
      <c r="H530" s="18" t="s">
        <v>56</v>
      </c>
      <c r="I530" s="19">
        <v>5731.0</v>
      </c>
      <c r="J530" s="19">
        <v>8050.0</v>
      </c>
      <c r="K530" s="19">
        <v>6900.0</v>
      </c>
      <c r="L530" s="18" t="s">
        <v>1467</v>
      </c>
      <c r="M530" s="18" t="s">
        <v>1468</v>
      </c>
      <c r="N530" s="18" t="s">
        <v>903</v>
      </c>
      <c r="O530" s="18" t="s">
        <v>57</v>
      </c>
      <c r="P530" s="18" t="s">
        <v>157</v>
      </c>
      <c r="Q530" s="19">
        <v>6050.0</v>
      </c>
    </row>
    <row r="531">
      <c r="A531" s="18" t="s">
        <v>154</v>
      </c>
      <c r="B531" s="18" t="s">
        <v>44</v>
      </c>
      <c r="C531" s="18" t="s">
        <v>64</v>
      </c>
      <c r="D531" s="18" t="s">
        <v>1469</v>
      </c>
      <c r="E531" s="18" t="s">
        <v>1470</v>
      </c>
      <c r="F531" s="18" t="s">
        <v>228</v>
      </c>
      <c r="G531" s="18">
        <v>18.0</v>
      </c>
      <c r="H531" s="18" t="s">
        <v>56</v>
      </c>
      <c r="I531" s="19">
        <v>5731.0</v>
      </c>
      <c r="J531" s="19">
        <v>8050.0</v>
      </c>
      <c r="K531" s="19">
        <v>6900.0</v>
      </c>
      <c r="L531" s="18" t="s">
        <v>1471</v>
      </c>
      <c r="M531" s="18" t="s">
        <v>1472</v>
      </c>
      <c r="N531" s="18" t="s">
        <v>903</v>
      </c>
      <c r="O531" s="18" t="s">
        <v>57</v>
      </c>
      <c r="P531" s="18" t="s">
        <v>157</v>
      </c>
      <c r="Q531" s="19">
        <v>6050.0</v>
      </c>
    </row>
    <row r="532">
      <c r="A532" s="18" t="s">
        <v>154</v>
      </c>
      <c r="B532" s="18" t="s">
        <v>44</v>
      </c>
      <c r="C532" s="18" t="s">
        <v>53</v>
      </c>
      <c r="D532" s="18" t="s">
        <v>1473</v>
      </c>
      <c r="E532" s="18" t="s">
        <v>1474</v>
      </c>
      <c r="F532" s="18" t="s">
        <v>228</v>
      </c>
      <c r="G532" s="18">
        <v>15.3</v>
      </c>
      <c r="H532" s="18" t="s">
        <v>56</v>
      </c>
      <c r="I532" s="19">
        <v>4799.0</v>
      </c>
      <c r="J532" s="19">
        <v>6750.0</v>
      </c>
      <c r="K532" s="19">
        <v>5800.0</v>
      </c>
      <c r="L532" s="18" t="s">
        <v>1475</v>
      </c>
      <c r="M532" s="18" t="s">
        <v>1476</v>
      </c>
      <c r="N532" s="18" t="s">
        <v>903</v>
      </c>
      <c r="O532" s="18" t="s">
        <v>57</v>
      </c>
      <c r="P532" s="18" t="s">
        <v>157</v>
      </c>
      <c r="Q532" s="19">
        <v>5050.0</v>
      </c>
    </row>
    <row r="533">
      <c r="A533" s="18" t="s">
        <v>154</v>
      </c>
      <c r="B533" s="18" t="s">
        <v>36</v>
      </c>
      <c r="D533" s="18" t="s">
        <v>1477</v>
      </c>
      <c r="E533" s="18" t="s">
        <v>1478</v>
      </c>
      <c r="F533" s="18" t="s">
        <v>228</v>
      </c>
      <c r="G533" s="18">
        <v>37.4</v>
      </c>
      <c r="H533" s="18" t="s">
        <v>40</v>
      </c>
      <c r="I533" s="19">
        <v>4988.0</v>
      </c>
      <c r="J533" s="19">
        <v>7000.0</v>
      </c>
      <c r="L533" s="18" t="s">
        <v>1479</v>
      </c>
      <c r="M533" s="18" t="s">
        <v>1480</v>
      </c>
      <c r="N533" s="18" t="s">
        <v>903</v>
      </c>
      <c r="O533" s="18" t="s">
        <v>41</v>
      </c>
      <c r="P533" s="18" t="s">
        <v>157</v>
      </c>
      <c r="Q533" s="19">
        <v>5250.0</v>
      </c>
    </row>
    <row r="534">
      <c r="A534" s="18" t="s">
        <v>154</v>
      </c>
      <c r="B534" s="18" t="s">
        <v>45</v>
      </c>
      <c r="C534" s="18" t="s">
        <v>45</v>
      </c>
      <c r="D534" s="18" t="s">
        <v>1481</v>
      </c>
      <c r="E534" s="18" t="s">
        <v>1482</v>
      </c>
      <c r="F534" s="18" t="s">
        <v>228</v>
      </c>
      <c r="G534" s="18">
        <v>13.0</v>
      </c>
      <c r="H534" s="18" t="s">
        <v>45</v>
      </c>
      <c r="I534" s="19">
        <v>3580.0</v>
      </c>
      <c r="J534" s="19">
        <v>5050.0</v>
      </c>
      <c r="K534" s="19">
        <v>4350.0</v>
      </c>
      <c r="L534" s="18" t="s">
        <v>1483</v>
      </c>
      <c r="M534" s="18" t="s">
        <v>1484</v>
      </c>
      <c r="N534" s="18" t="s">
        <v>903</v>
      </c>
      <c r="O534" s="18" t="s">
        <v>57</v>
      </c>
      <c r="P534" s="18" t="s">
        <v>157</v>
      </c>
      <c r="Q534" s="19">
        <v>3800.0</v>
      </c>
    </row>
    <row r="535">
      <c r="A535" s="18" t="s">
        <v>154</v>
      </c>
      <c r="B535" s="18" t="s">
        <v>44</v>
      </c>
      <c r="C535" s="18" t="s">
        <v>64</v>
      </c>
      <c r="D535" s="18" t="s">
        <v>1485</v>
      </c>
      <c r="E535" s="18" t="s">
        <v>1486</v>
      </c>
      <c r="F535" s="18" t="s">
        <v>228</v>
      </c>
      <c r="G535" s="18">
        <v>18.0</v>
      </c>
      <c r="H535" s="18" t="s">
        <v>56</v>
      </c>
      <c r="I535" s="19">
        <v>5731.0</v>
      </c>
      <c r="J535" s="19">
        <v>8050.0</v>
      </c>
      <c r="K535" s="19">
        <v>6900.0</v>
      </c>
      <c r="L535" s="18" t="s">
        <v>1487</v>
      </c>
      <c r="M535" s="18" t="s">
        <v>1488</v>
      </c>
      <c r="N535" s="18" t="s">
        <v>903</v>
      </c>
      <c r="O535" s="18" t="s">
        <v>57</v>
      </c>
      <c r="P535" s="18" t="s">
        <v>157</v>
      </c>
      <c r="Q535" s="19">
        <v>6050.0</v>
      </c>
    </row>
    <row r="536">
      <c r="A536" s="18" t="s">
        <v>148</v>
      </c>
      <c r="B536" s="18" t="s">
        <v>44</v>
      </c>
      <c r="C536" s="18" t="s">
        <v>423</v>
      </c>
      <c r="D536" s="18" t="s">
        <v>2644</v>
      </c>
      <c r="E536" s="18" t="s">
        <v>2645</v>
      </c>
      <c r="F536" s="18" t="s">
        <v>228</v>
      </c>
      <c r="G536" s="18">
        <v>28.54</v>
      </c>
      <c r="H536" s="18" t="s">
        <v>168</v>
      </c>
      <c r="I536" s="19">
        <v>10857.0</v>
      </c>
      <c r="J536" s="19">
        <v>10900.0</v>
      </c>
      <c r="K536" s="19">
        <v>13100.0</v>
      </c>
      <c r="L536" s="18" t="s">
        <v>3572</v>
      </c>
      <c r="M536" s="18" t="s">
        <v>3573</v>
      </c>
      <c r="N536" s="18" t="s">
        <v>903</v>
      </c>
      <c r="O536" s="18" t="s">
        <v>57</v>
      </c>
      <c r="P536" s="18" t="s">
        <v>48</v>
      </c>
      <c r="Q536" s="19">
        <v>11400.0</v>
      </c>
    </row>
    <row r="537">
      <c r="A537" s="18" t="s">
        <v>154</v>
      </c>
      <c r="B537" s="18" t="s">
        <v>44</v>
      </c>
      <c r="C537" s="18" t="s">
        <v>53</v>
      </c>
      <c r="D537" s="18" t="s">
        <v>1489</v>
      </c>
      <c r="E537" s="18" t="s">
        <v>1490</v>
      </c>
      <c r="F537" s="18" t="s">
        <v>228</v>
      </c>
      <c r="G537" s="18">
        <v>16.0</v>
      </c>
      <c r="H537" s="18" t="s">
        <v>56</v>
      </c>
      <c r="I537" s="19">
        <v>4799.0</v>
      </c>
      <c r="J537" s="19">
        <v>6750.0</v>
      </c>
      <c r="K537" s="19">
        <v>5800.0</v>
      </c>
      <c r="L537" s="18" t="s">
        <v>1491</v>
      </c>
      <c r="M537" s="18" t="s">
        <v>1492</v>
      </c>
      <c r="N537" s="18" t="s">
        <v>250</v>
      </c>
      <c r="O537" s="18" t="s">
        <v>151</v>
      </c>
      <c r="P537" s="18" t="s">
        <v>157</v>
      </c>
      <c r="Q537" s="19">
        <v>4800.0</v>
      </c>
    </row>
    <row r="538">
      <c r="A538" s="18" t="s">
        <v>1238</v>
      </c>
      <c r="B538" s="18" t="s">
        <v>44</v>
      </c>
      <c r="C538" s="18" t="s">
        <v>76</v>
      </c>
      <c r="D538" s="18" t="s">
        <v>1493</v>
      </c>
      <c r="E538" s="18" t="s">
        <v>1494</v>
      </c>
      <c r="F538" s="18" t="s">
        <v>228</v>
      </c>
      <c r="G538" s="18">
        <v>19.26</v>
      </c>
      <c r="H538" s="18" t="s">
        <v>1495</v>
      </c>
      <c r="I538" s="19">
        <v>4489.0</v>
      </c>
      <c r="J538" s="19">
        <v>5850.0</v>
      </c>
      <c r="L538" s="18" t="s">
        <v>1496</v>
      </c>
      <c r="M538" s="18" t="s">
        <v>1497</v>
      </c>
      <c r="N538" s="18" t="s">
        <v>403</v>
      </c>
      <c r="O538" s="18" t="s">
        <v>41</v>
      </c>
      <c r="P538" s="18" t="s">
        <v>144</v>
      </c>
      <c r="Q538" s="19">
        <v>4900.0</v>
      </c>
    </row>
    <row r="539">
      <c r="A539" s="18" t="s">
        <v>154</v>
      </c>
      <c r="B539" s="18" t="s">
        <v>44</v>
      </c>
      <c r="C539" s="18" t="s">
        <v>53</v>
      </c>
      <c r="D539" s="18" t="s">
        <v>1498</v>
      </c>
      <c r="E539" s="18" t="s">
        <v>1499</v>
      </c>
      <c r="F539" s="18" t="s">
        <v>228</v>
      </c>
      <c r="G539" s="18">
        <v>15.3</v>
      </c>
      <c r="H539" s="18" t="s">
        <v>56</v>
      </c>
      <c r="I539" s="19">
        <v>4799.0</v>
      </c>
      <c r="J539" s="19">
        <v>6750.0</v>
      </c>
      <c r="K539" s="19">
        <v>5800.0</v>
      </c>
      <c r="L539" s="18" t="s">
        <v>1500</v>
      </c>
      <c r="M539" s="18" t="s">
        <v>1501</v>
      </c>
      <c r="N539" s="18" t="s">
        <v>903</v>
      </c>
      <c r="O539" s="18" t="s">
        <v>57</v>
      </c>
      <c r="P539" s="18" t="s">
        <v>157</v>
      </c>
      <c r="Q539" s="19">
        <v>5050.0</v>
      </c>
    </row>
    <row r="540">
      <c r="A540" s="18" t="s">
        <v>154</v>
      </c>
      <c r="B540" s="18" t="s">
        <v>44</v>
      </c>
      <c r="C540" s="18" t="s">
        <v>64</v>
      </c>
      <c r="D540" s="18" t="s">
        <v>1502</v>
      </c>
      <c r="E540" s="18" t="s">
        <v>1503</v>
      </c>
      <c r="F540" s="18" t="s">
        <v>228</v>
      </c>
      <c r="G540" s="18">
        <v>18.3</v>
      </c>
      <c r="H540" s="18" t="s">
        <v>56</v>
      </c>
      <c r="I540" s="19">
        <v>5731.0</v>
      </c>
      <c r="J540" s="19">
        <v>8050.0</v>
      </c>
      <c r="K540" s="19">
        <v>6900.0</v>
      </c>
      <c r="L540" s="18" t="s">
        <v>1504</v>
      </c>
      <c r="M540" s="18" t="s">
        <v>1505</v>
      </c>
      <c r="N540" s="18" t="s">
        <v>903</v>
      </c>
      <c r="O540" s="18" t="s">
        <v>57</v>
      </c>
      <c r="P540" s="18" t="s">
        <v>157</v>
      </c>
      <c r="Q540" s="19">
        <v>6050.0</v>
      </c>
    </row>
    <row r="541">
      <c r="A541" s="18" t="s">
        <v>364</v>
      </c>
      <c r="B541" s="18" t="s">
        <v>45</v>
      </c>
      <c r="C541" s="18" t="s">
        <v>45</v>
      </c>
      <c r="D541" s="18" t="s">
        <v>1506</v>
      </c>
      <c r="E541" s="18" t="s">
        <v>1507</v>
      </c>
      <c r="F541" s="18" t="s">
        <v>228</v>
      </c>
      <c r="G541" s="18">
        <v>10.15</v>
      </c>
      <c r="H541" s="18" t="s">
        <v>45</v>
      </c>
      <c r="I541" s="19">
        <v>1999.0</v>
      </c>
      <c r="J541" s="19">
        <v>1600.0</v>
      </c>
      <c r="K541" s="19">
        <v>2400.0</v>
      </c>
      <c r="L541" s="18" t="s">
        <v>1508</v>
      </c>
      <c r="M541" s="18" t="s">
        <v>1509</v>
      </c>
      <c r="N541" s="18" t="s">
        <v>316</v>
      </c>
      <c r="O541" s="18" t="s">
        <v>41</v>
      </c>
      <c r="P541" s="18" t="s">
        <v>369</v>
      </c>
      <c r="Q541" s="19">
        <v>2400.0</v>
      </c>
    </row>
    <row r="542">
      <c r="A542" s="18" t="s">
        <v>148</v>
      </c>
      <c r="B542" s="18" t="s">
        <v>44</v>
      </c>
      <c r="C542" s="18" t="s">
        <v>53</v>
      </c>
      <c r="D542" s="18" t="s">
        <v>1510</v>
      </c>
      <c r="E542" s="18" t="s">
        <v>1511</v>
      </c>
      <c r="F542" s="18" t="s">
        <v>228</v>
      </c>
      <c r="G542" s="18">
        <v>16.0</v>
      </c>
      <c r="H542" s="18" t="s">
        <v>56</v>
      </c>
      <c r="I542" s="19">
        <v>6678.0</v>
      </c>
      <c r="J542" s="19">
        <v>6700.0</v>
      </c>
      <c r="K542" s="19">
        <v>8050.0</v>
      </c>
      <c r="L542" s="18" t="s">
        <v>1512</v>
      </c>
      <c r="M542" s="18" t="s">
        <v>1513</v>
      </c>
      <c r="N542" s="18" t="s">
        <v>131</v>
      </c>
      <c r="O542" s="18" t="s">
        <v>151</v>
      </c>
      <c r="P542" s="18" t="s">
        <v>48</v>
      </c>
      <c r="Q542" s="19">
        <v>5250.0</v>
      </c>
    </row>
    <row r="543">
      <c r="A543" s="18" t="s">
        <v>1238</v>
      </c>
      <c r="B543" s="18" t="s">
        <v>44</v>
      </c>
      <c r="C543" s="18" t="s">
        <v>53</v>
      </c>
      <c r="D543" s="18" t="s">
        <v>2919</v>
      </c>
      <c r="E543" s="18" t="s">
        <v>2920</v>
      </c>
      <c r="F543" s="18" t="s">
        <v>228</v>
      </c>
      <c r="G543" s="18">
        <v>15.38</v>
      </c>
      <c r="H543" s="18" t="s">
        <v>471</v>
      </c>
      <c r="I543" s="19">
        <v>3600.0</v>
      </c>
      <c r="J543" s="19">
        <v>4700.0</v>
      </c>
      <c r="L543" s="18" t="s">
        <v>3574</v>
      </c>
      <c r="M543" s="18" t="s">
        <v>3575</v>
      </c>
      <c r="N543" s="18" t="s">
        <v>143</v>
      </c>
      <c r="O543" s="18" t="s">
        <v>41</v>
      </c>
      <c r="P543" s="18" t="s">
        <v>144</v>
      </c>
      <c r="Q543" s="19">
        <v>4000.0</v>
      </c>
    </row>
    <row r="544">
      <c r="A544" s="18" t="s">
        <v>201</v>
      </c>
      <c r="B544" s="18" t="s">
        <v>44</v>
      </c>
      <c r="C544" s="18" t="s">
        <v>133</v>
      </c>
      <c r="D544" s="18" t="s">
        <v>1514</v>
      </c>
      <c r="E544" s="18" t="s">
        <v>1515</v>
      </c>
      <c r="F544" s="18" t="s">
        <v>228</v>
      </c>
      <c r="G544" s="18">
        <v>13.56</v>
      </c>
      <c r="H544" s="18" t="s">
        <v>56</v>
      </c>
      <c r="I544" s="19">
        <v>2800.0</v>
      </c>
      <c r="J544" s="19">
        <v>3400.0</v>
      </c>
      <c r="K544" s="19">
        <v>3250.0</v>
      </c>
      <c r="L544" s="18" t="s">
        <v>1516</v>
      </c>
      <c r="M544" s="18" t="s">
        <v>1517</v>
      </c>
      <c r="N544" s="18" t="s">
        <v>403</v>
      </c>
      <c r="O544" s="18" t="s">
        <v>57</v>
      </c>
      <c r="Q544" s="19">
        <v>3450.0</v>
      </c>
    </row>
    <row r="545">
      <c r="A545" s="18" t="s">
        <v>912</v>
      </c>
      <c r="B545" s="18" t="s">
        <v>44</v>
      </c>
      <c r="C545" s="18" t="s">
        <v>133</v>
      </c>
      <c r="D545" s="18" t="s">
        <v>2833</v>
      </c>
      <c r="E545" s="18" t="s">
        <v>2834</v>
      </c>
      <c r="F545" s="18" t="s">
        <v>228</v>
      </c>
      <c r="G545" s="18">
        <v>14.33</v>
      </c>
      <c r="H545" s="18" t="s">
        <v>56</v>
      </c>
      <c r="I545" s="19">
        <v>4650.0</v>
      </c>
      <c r="J545" s="19">
        <v>5850.0</v>
      </c>
      <c r="K545" s="19">
        <v>5400.0</v>
      </c>
      <c r="L545" s="18" t="s">
        <v>3576</v>
      </c>
      <c r="M545" s="18" t="s">
        <v>3577</v>
      </c>
      <c r="N545" s="18" t="s">
        <v>143</v>
      </c>
      <c r="O545" s="18" t="s">
        <v>41</v>
      </c>
      <c r="P545" s="18" t="s">
        <v>917</v>
      </c>
      <c r="Q545" s="19">
        <v>5000.0</v>
      </c>
    </row>
    <row r="546">
      <c r="A546" s="18" t="s">
        <v>225</v>
      </c>
      <c r="B546" s="18" t="s">
        <v>44</v>
      </c>
      <c r="C546" s="18" t="s">
        <v>133</v>
      </c>
      <c r="D546" s="18" t="s">
        <v>2660</v>
      </c>
      <c r="E546" s="18" t="s">
        <v>2661</v>
      </c>
      <c r="F546" s="18" t="s">
        <v>228</v>
      </c>
      <c r="G546" s="18">
        <v>14.5</v>
      </c>
      <c r="H546" s="18" t="s">
        <v>56</v>
      </c>
      <c r="I546" s="19">
        <v>4650.0</v>
      </c>
      <c r="J546" s="19">
        <v>6050.0</v>
      </c>
      <c r="K546" s="19">
        <v>5400.0</v>
      </c>
      <c r="L546" s="18" t="s">
        <v>3578</v>
      </c>
      <c r="M546" s="18" t="s">
        <v>3579</v>
      </c>
      <c r="N546" s="18" t="s">
        <v>143</v>
      </c>
      <c r="O546" s="18" t="s">
        <v>161</v>
      </c>
      <c r="P546" s="18" t="s">
        <v>162</v>
      </c>
      <c r="Q546" s="19">
        <v>5050.0</v>
      </c>
    </row>
    <row r="547">
      <c r="A547" s="18" t="s">
        <v>35</v>
      </c>
      <c r="B547" s="18" t="s">
        <v>44</v>
      </c>
      <c r="C547" s="18" t="s">
        <v>133</v>
      </c>
      <c r="D547" s="18" t="s">
        <v>2945</v>
      </c>
      <c r="E547" s="18" t="s">
        <v>2946</v>
      </c>
      <c r="F547" s="18" t="s">
        <v>228</v>
      </c>
      <c r="G547" s="18">
        <v>14.46</v>
      </c>
      <c r="H547" s="18" t="s">
        <v>56</v>
      </c>
      <c r="I547" s="19">
        <v>5436.0</v>
      </c>
      <c r="J547" s="19">
        <v>7350.0</v>
      </c>
      <c r="K547" s="19">
        <v>6550.0</v>
      </c>
      <c r="L547" s="18" t="s">
        <v>3580</v>
      </c>
      <c r="M547" s="18" t="s">
        <v>3581</v>
      </c>
      <c r="N547" s="18" t="s">
        <v>143</v>
      </c>
      <c r="O547" s="18" t="s">
        <v>57</v>
      </c>
      <c r="P547" s="18" t="s">
        <v>42</v>
      </c>
      <c r="Q547" s="19">
        <v>6100.0</v>
      </c>
    </row>
    <row r="548">
      <c r="A548" s="18" t="s">
        <v>158</v>
      </c>
      <c r="B548" s="18" t="s">
        <v>44</v>
      </c>
      <c r="C548" s="18" t="s">
        <v>133</v>
      </c>
      <c r="D548" s="18" t="s">
        <v>2606</v>
      </c>
      <c r="E548" s="18" t="s">
        <v>2607</v>
      </c>
      <c r="F548" s="18" t="s">
        <v>228</v>
      </c>
      <c r="G548" s="18">
        <v>14.0</v>
      </c>
      <c r="H548" s="18" t="s">
        <v>56</v>
      </c>
      <c r="I548" s="19">
        <v>4666.0</v>
      </c>
      <c r="J548" s="19">
        <v>4700.0</v>
      </c>
      <c r="K548" s="19">
        <v>5650.0</v>
      </c>
      <c r="L548" s="18" t="s">
        <v>3582</v>
      </c>
      <c r="M548" s="18" t="s">
        <v>3583</v>
      </c>
      <c r="N548" s="18" t="s">
        <v>143</v>
      </c>
      <c r="O548" s="18" t="s">
        <v>41</v>
      </c>
      <c r="P548" s="18" t="s">
        <v>162</v>
      </c>
      <c r="Q548" s="19">
        <v>3750.0</v>
      </c>
    </row>
    <row r="549">
      <c r="A549" s="18" t="s">
        <v>282</v>
      </c>
      <c r="B549" s="18" t="s">
        <v>44</v>
      </c>
      <c r="C549" s="18" t="s">
        <v>133</v>
      </c>
      <c r="D549" s="18" t="s">
        <v>2937</v>
      </c>
      <c r="E549" s="18" t="s">
        <v>2938</v>
      </c>
      <c r="F549" s="18" t="s">
        <v>228</v>
      </c>
      <c r="G549" s="18">
        <v>14.78</v>
      </c>
      <c r="H549" s="18" t="s">
        <v>56</v>
      </c>
      <c r="I549" s="19">
        <v>4851.0</v>
      </c>
      <c r="J549" s="19">
        <v>5850.0</v>
      </c>
      <c r="K549" s="19">
        <v>5900.0</v>
      </c>
      <c r="L549" s="18" t="s">
        <v>3584</v>
      </c>
      <c r="M549" s="18" t="s">
        <v>3585</v>
      </c>
      <c r="N549" s="18" t="s">
        <v>143</v>
      </c>
      <c r="O549" s="18" t="s">
        <v>57</v>
      </c>
      <c r="P549" s="18" t="s">
        <v>63</v>
      </c>
      <c r="Q549" s="19">
        <v>5000.0</v>
      </c>
    </row>
    <row r="550">
      <c r="A550" s="18" t="s">
        <v>148</v>
      </c>
      <c r="B550" s="18" t="s">
        <v>44</v>
      </c>
      <c r="C550" s="18" t="s">
        <v>180</v>
      </c>
      <c r="D550" s="18" t="s">
        <v>1518</v>
      </c>
      <c r="E550" s="18" t="s">
        <v>1519</v>
      </c>
      <c r="F550" s="18" t="s">
        <v>228</v>
      </c>
      <c r="G550" s="18">
        <v>22.1</v>
      </c>
      <c r="H550" s="18" t="s">
        <v>56</v>
      </c>
      <c r="I550" s="19">
        <v>8349.0</v>
      </c>
      <c r="J550" s="19">
        <v>8350.0</v>
      </c>
      <c r="K550" s="19">
        <v>10050.0</v>
      </c>
      <c r="L550" s="18" t="s">
        <v>1520</v>
      </c>
      <c r="M550" s="18" t="s">
        <v>1521</v>
      </c>
      <c r="N550" s="18" t="s">
        <v>403</v>
      </c>
      <c r="O550" s="18" t="s">
        <v>151</v>
      </c>
      <c r="P550" s="18" t="s">
        <v>48</v>
      </c>
      <c r="Q550" s="19">
        <v>6700.0</v>
      </c>
    </row>
    <row r="551">
      <c r="A551" s="18" t="s">
        <v>282</v>
      </c>
      <c r="B551" s="18" t="s">
        <v>44</v>
      </c>
      <c r="C551" s="18" t="s">
        <v>64</v>
      </c>
      <c r="D551" s="18" t="s">
        <v>2929</v>
      </c>
      <c r="E551" s="18" t="s">
        <v>2930</v>
      </c>
      <c r="F551" s="18" t="s">
        <v>228</v>
      </c>
      <c r="G551" s="18">
        <v>16.95</v>
      </c>
      <c r="H551" s="18" t="s">
        <v>120</v>
      </c>
      <c r="I551" s="19">
        <v>5767.0</v>
      </c>
      <c r="J551" s="19">
        <v>6950.0</v>
      </c>
      <c r="K551" s="19">
        <v>7000.0</v>
      </c>
      <c r="L551" s="18" t="s">
        <v>3586</v>
      </c>
      <c r="M551" s="18" t="s">
        <v>1497</v>
      </c>
      <c r="N551" s="18" t="s">
        <v>403</v>
      </c>
      <c r="O551" s="18" t="s">
        <v>57</v>
      </c>
      <c r="P551" s="18" t="s">
        <v>63</v>
      </c>
      <c r="Q551" s="19">
        <v>6200.0</v>
      </c>
    </row>
    <row r="552">
      <c r="A552" s="18" t="s">
        <v>148</v>
      </c>
      <c r="B552" s="18" t="s">
        <v>45</v>
      </c>
      <c r="C552" s="18" t="s">
        <v>45</v>
      </c>
      <c r="D552" s="18" t="s">
        <v>1522</v>
      </c>
      <c r="E552" s="18" t="s">
        <v>1523</v>
      </c>
      <c r="F552" s="18" t="s">
        <v>228</v>
      </c>
      <c r="G552" s="18">
        <v>8.8</v>
      </c>
      <c r="H552" s="18" t="s">
        <v>45</v>
      </c>
      <c r="I552" s="19">
        <v>4171.0</v>
      </c>
      <c r="J552" s="19">
        <v>4200.0</v>
      </c>
      <c r="K552" s="19">
        <v>5050.0</v>
      </c>
      <c r="L552" s="18" t="s">
        <v>1524</v>
      </c>
      <c r="M552" s="18" t="s">
        <v>1525</v>
      </c>
      <c r="N552" s="18" t="s">
        <v>143</v>
      </c>
      <c r="O552" s="18" t="s">
        <v>57</v>
      </c>
      <c r="P552" s="18" t="s">
        <v>48</v>
      </c>
      <c r="Q552" s="19">
        <v>3350.0</v>
      </c>
    </row>
    <row r="553">
      <c r="A553" s="18" t="s">
        <v>148</v>
      </c>
      <c r="B553" s="18" t="s">
        <v>45</v>
      </c>
      <c r="D553" s="18" t="s">
        <v>1526</v>
      </c>
      <c r="E553" s="18" t="s">
        <v>1527</v>
      </c>
      <c r="F553" s="18" t="s">
        <v>228</v>
      </c>
      <c r="G553" s="18">
        <v>13.7</v>
      </c>
      <c r="I553" s="19">
        <v>4171.0</v>
      </c>
      <c r="J553" s="19">
        <v>4200.0</v>
      </c>
      <c r="L553" s="18" t="s">
        <v>1528</v>
      </c>
      <c r="M553" s="18" t="s">
        <v>1529</v>
      </c>
      <c r="N553" s="18" t="s">
        <v>903</v>
      </c>
      <c r="O553" s="18" t="s">
        <v>151</v>
      </c>
      <c r="P553" s="18" t="s">
        <v>48</v>
      </c>
      <c r="Q553" s="19">
        <v>3350.0</v>
      </c>
    </row>
    <row r="554">
      <c r="A554" s="18" t="s">
        <v>158</v>
      </c>
      <c r="B554" s="18" t="s">
        <v>44</v>
      </c>
      <c r="C554" s="18" t="s">
        <v>64</v>
      </c>
      <c r="D554" s="18" t="s">
        <v>1530</v>
      </c>
      <c r="E554" s="18" t="s">
        <v>1531</v>
      </c>
      <c r="F554" s="18" t="s">
        <v>228</v>
      </c>
      <c r="G554" s="18">
        <v>17.93</v>
      </c>
      <c r="H554" s="18" t="s">
        <v>120</v>
      </c>
      <c r="I554" s="19">
        <v>5516.0</v>
      </c>
      <c r="J554" s="19">
        <v>5550.0</v>
      </c>
      <c r="K554" s="19">
        <v>6700.0</v>
      </c>
      <c r="L554" s="18" t="s">
        <v>1532</v>
      </c>
      <c r="M554" s="18" t="s">
        <v>1533</v>
      </c>
      <c r="N554" s="18" t="s">
        <v>316</v>
      </c>
      <c r="O554" s="18" t="s">
        <v>41</v>
      </c>
      <c r="P554" s="18" t="s">
        <v>162</v>
      </c>
      <c r="Q554" s="19">
        <v>5550.0</v>
      </c>
    </row>
    <row r="555">
      <c r="A555" s="18" t="s">
        <v>112</v>
      </c>
      <c r="B555" s="18" t="s">
        <v>45</v>
      </c>
      <c r="C555" s="18" t="s">
        <v>45</v>
      </c>
      <c r="D555" s="18" t="s">
        <v>2315</v>
      </c>
      <c r="E555" s="18" t="s">
        <v>2316</v>
      </c>
      <c r="F555" s="18" t="s">
        <v>228</v>
      </c>
      <c r="G555" s="18">
        <v>11.9</v>
      </c>
      <c r="H555" s="18" t="s">
        <v>45</v>
      </c>
      <c r="I555" s="19">
        <v>3257.0</v>
      </c>
      <c r="J555" s="19">
        <v>4600.0</v>
      </c>
      <c r="K555" s="19">
        <v>4000.0</v>
      </c>
      <c r="L555" s="18" t="s">
        <v>3587</v>
      </c>
      <c r="M555" s="18" t="s">
        <v>3588</v>
      </c>
      <c r="N555" s="18" t="s">
        <v>1146</v>
      </c>
      <c r="O555" s="18" t="s">
        <v>198</v>
      </c>
      <c r="P555" s="18" t="s">
        <v>42</v>
      </c>
      <c r="Q555" s="19">
        <v>4400.0</v>
      </c>
    </row>
    <row r="556">
      <c r="A556" s="18" t="s">
        <v>1029</v>
      </c>
      <c r="B556" s="18" t="s">
        <v>44</v>
      </c>
      <c r="C556" s="18" t="s">
        <v>53</v>
      </c>
      <c r="D556" s="18" t="s">
        <v>1534</v>
      </c>
      <c r="E556" s="18" t="s">
        <v>1535</v>
      </c>
      <c r="F556" s="18" t="s">
        <v>228</v>
      </c>
      <c r="G556" s="18">
        <v>15.35</v>
      </c>
      <c r="H556" s="18" t="s">
        <v>56</v>
      </c>
      <c r="I556" s="19">
        <v>450.0</v>
      </c>
      <c r="J556" s="19">
        <v>360.0</v>
      </c>
      <c r="L556" s="18" t="s">
        <v>1536</v>
      </c>
      <c r="M556" s="18" t="s">
        <v>1537</v>
      </c>
      <c r="N556" s="18" t="s">
        <v>1034</v>
      </c>
      <c r="O556" s="18" t="s">
        <v>57</v>
      </c>
      <c r="Q556" s="19">
        <v>360.0</v>
      </c>
    </row>
    <row r="557">
      <c r="A557" s="18" t="s">
        <v>148</v>
      </c>
      <c r="B557" s="18" t="s">
        <v>45</v>
      </c>
      <c r="C557" s="18" t="s">
        <v>45</v>
      </c>
      <c r="D557" s="18" t="s">
        <v>1538</v>
      </c>
      <c r="E557" s="18" t="s">
        <v>1539</v>
      </c>
      <c r="F557" s="18" t="s">
        <v>228</v>
      </c>
      <c r="G557" s="18">
        <v>10.0</v>
      </c>
      <c r="H557" s="18" t="s">
        <v>45</v>
      </c>
      <c r="I557" s="19">
        <v>4171.0</v>
      </c>
      <c r="J557" s="19">
        <v>4200.0</v>
      </c>
      <c r="K557" s="19">
        <v>5050.0</v>
      </c>
      <c r="L557" s="18" t="s">
        <v>1540</v>
      </c>
      <c r="M557" s="18" t="s">
        <v>1541</v>
      </c>
      <c r="N557" s="18" t="s">
        <v>343</v>
      </c>
      <c r="O557" s="18" t="s">
        <v>57</v>
      </c>
      <c r="P557" s="18" t="s">
        <v>48</v>
      </c>
      <c r="Q557" s="19">
        <v>3350.0</v>
      </c>
    </row>
    <row r="558">
      <c r="A558" s="18" t="s">
        <v>191</v>
      </c>
      <c r="B558" s="18" t="s">
        <v>45</v>
      </c>
      <c r="C558" s="18" t="s">
        <v>45</v>
      </c>
      <c r="D558" s="18" t="s">
        <v>1542</v>
      </c>
      <c r="E558" s="18" t="s">
        <v>1543</v>
      </c>
      <c r="F558" s="18" t="s">
        <v>228</v>
      </c>
      <c r="G558" s="18">
        <v>11.26</v>
      </c>
      <c r="H558" s="18" t="s">
        <v>45</v>
      </c>
      <c r="I558" s="19">
        <v>3900.0</v>
      </c>
      <c r="J558" s="19">
        <v>5100.0</v>
      </c>
      <c r="L558" s="18" t="s">
        <v>1544</v>
      </c>
      <c r="M558" s="18" t="s">
        <v>1545</v>
      </c>
      <c r="N558" s="18" t="s">
        <v>903</v>
      </c>
      <c r="O558" s="18" t="s">
        <v>57</v>
      </c>
      <c r="P558" s="18" t="s">
        <v>48</v>
      </c>
      <c r="Q558" s="19">
        <v>4655.0</v>
      </c>
    </row>
    <row r="559">
      <c r="A559" s="18" t="s">
        <v>154</v>
      </c>
      <c r="B559" s="18" t="s">
        <v>45</v>
      </c>
      <c r="C559" s="18" t="s">
        <v>45</v>
      </c>
      <c r="D559" s="18" t="s">
        <v>1546</v>
      </c>
      <c r="E559" s="18" t="s">
        <v>1547</v>
      </c>
      <c r="F559" s="18" t="s">
        <v>228</v>
      </c>
      <c r="G559" s="18">
        <v>11.0</v>
      </c>
      <c r="H559" s="18" t="s">
        <v>45</v>
      </c>
      <c r="I559" s="19">
        <v>3580.0</v>
      </c>
      <c r="J559" s="19">
        <v>5050.0</v>
      </c>
      <c r="K559" s="19">
        <v>4350.0</v>
      </c>
      <c r="L559" s="18" t="s">
        <v>1548</v>
      </c>
      <c r="M559" s="18" t="s">
        <v>1549</v>
      </c>
      <c r="N559" s="18" t="s">
        <v>1146</v>
      </c>
      <c r="O559" s="18" t="s">
        <v>151</v>
      </c>
      <c r="P559" s="18" t="s">
        <v>157</v>
      </c>
      <c r="Q559" s="19">
        <v>4700.0</v>
      </c>
    </row>
    <row r="560">
      <c r="A560" s="18" t="s">
        <v>49</v>
      </c>
      <c r="B560" s="18" t="s">
        <v>44</v>
      </c>
      <c r="C560" s="18" t="s">
        <v>76</v>
      </c>
      <c r="D560" s="18" t="s">
        <v>1550</v>
      </c>
      <c r="E560" s="18" t="s">
        <v>1551</v>
      </c>
      <c r="F560" s="18" t="s">
        <v>228</v>
      </c>
      <c r="G560" s="18">
        <v>19.08</v>
      </c>
      <c r="H560" s="18" t="s">
        <v>120</v>
      </c>
      <c r="I560" s="19">
        <v>7320.0</v>
      </c>
      <c r="J560" s="19">
        <v>8450.0</v>
      </c>
      <c r="K560" s="19">
        <v>8850.0</v>
      </c>
      <c r="L560" s="18" t="s">
        <v>1552</v>
      </c>
      <c r="M560" s="18" t="s">
        <v>1553</v>
      </c>
      <c r="N560" s="18" t="s">
        <v>903</v>
      </c>
      <c r="O560" s="18" t="s">
        <v>57</v>
      </c>
      <c r="P560" s="18" t="s">
        <v>48</v>
      </c>
      <c r="Q560" s="19">
        <v>8450.0</v>
      </c>
    </row>
    <row r="561">
      <c r="A561" s="18" t="s">
        <v>912</v>
      </c>
      <c r="B561" s="18" t="s">
        <v>44</v>
      </c>
      <c r="C561" s="18" t="s">
        <v>133</v>
      </c>
      <c r="D561" s="18" t="s">
        <v>2254</v>
      </c>
      <c r="E561" s="18" t="s">
        <v>2255</v>
      </c>
      <c r="F561" s="18" t="s">
        <v>228</v>
      </c>
      <c r="G561" s="18">
        <v>13.13</v>
      </c>
      <c r="H561" s="18" t="s">
        <v>56</v>
      </c>
      <c r="I561" s="19">
        <v>4650.0</v>
      </c>
      <c r="J561" s="19">
        <v>5850.0</v>
      </c>
      <c r="K561" s="19">
        <v>5400.0</v>
      </c>
      <c r="L561" s="18" t="s">
        <v>3589</v>
      </c>
      <c r="M561" s="18" t="s">
        <v>3590</v>
      </c>
      <c r="N561" s="18" t="s">
        <v>143</v>
      </c>
      <c r="O561" s="18" t="s">
        <v>41</v>
      </c>
      <c r="P561" s="18" t="s">
        <v>917</v>
      </c>
      <c r="Q561" s="19">
        <v>5350.0</v>
      </c>
    </row>
    <row r="562">
      <c r="A562" s="18" t="s">
        <v>216</v>
      </c>
      <c r="B562" s="18" t="s">
        <v>45</v>
      </c>
      <c r="C562" s="18" t="s">
        <v>45</v>
      </c>
      <c r="D562" s="18" t="s">
        <v>1554</v>
      </c>
      <c r="E562" s="18" t="s">
        <v>1555</v>
      </c>
      <c r="F562" s="18" t="s">
        <v>228</v>
      </c>
      <c r="G562" s="18">
        <v>8.47</v>
      </c>
      <c r="H562" s="18" t="s">
        <v>45</v>
      </c>
      <c r="I562" s="19">
        <v>3194.0</v>
      </c>
      <c r="J562" s="19">
        <v>4500.0</v>
      </c>
      <c r="K562" s="19">
        <v>3850.0</v>
      </c>
      <c r="L562" s="18" t="s">
        <v>1556</v>
      </c>
      <c r="M562" s="18" t="s">
        <v>1557</v>
      </c>
      <c r="N562" s="18" t="s">
        <v>343</v>
      </c>
      <c r="O562" s="18" t="s">
        <v>83</v>
      </c>
      <c r="P562" s="18" t="s">
        <v>42</v>
      </c>
      <c r="Q562" s="19">
        <v>4350.0</v>
      </c>
    </row>
    <row r="563">
      <c r="A563" s="18" t="s">
        <v>282</v>
      </c>
      <c r="B563" s="18" t="s">
        <v>44</v>
      </c>
      <c r="C563" s="18" t="s">
        <v>64</v>
      </c>
      <c r="D563" s="18" t="s">
        <v>1558</v>
      </c>
      <c r="E563" s="18" t="s">
        <v>1559</v>
      </c>
      <c r="F563" s="18" t="s">
        <v>228</v>
      </c>
      <c r="G563" s="18">
        <v>17.44</v>
      </c>
      <c r="H563" s="18" t="s">
        <v>120</v>
      </c>
      <c r="I563" s="19">
        <v>5767.0</v>
      </c>
      <c r="J563" s="19">
        <v>6950.0</v>
      </c>
      <c r="K563" s="19">
        <v>7000.0</v>
      </c>
      <c r="L563" s="18" t="s">
        <v>1560</v>
      </c>
      <c r="M563" s="18" t="s">
        <v>977</v>
      </c>
      <c r="N563" s="18" t="s">
        <v>403</v>
      </c>
      <c r="O563" s="18" t="s">
        <v>41</v>
      </c>
      <c r="P563" s="18" t="s">
        <v>63</v>
      </c>
      <c r="Q563" s="19">
        <v>6200.0</v>
      </c>
    </row>
    <row r="564">
      <c r="A564" s="18" t="s">
        <v>148</v>
      </c>
      <c r="B564" s="18" t="s">
        <v>44</v>
      </c>
      <c r="C564" s="18" t="s">
        <v>180</v>
      </c>
      <c r="D564" s="18" t="s">
        <v>1561</v>
      </c>
      <c r="E564" s="18" t="s">
        <v>1562</v>
      </c>
      <c r="F564" s="18" t="s">
        <v>228</v>
      </c>
      <c r="G564" s="18">
        <v>22.2</v>
      </c>
      <c r="H564" s="18" t="s">
        <v>56</v>
      </c>
      <c r="I564" s="19">
        <v>8349.0</v>
      </c>
      <c r="J564" s="19">
        <v>8350.0</v>
      </c>
      <c r="K564" s="19">
        <v>10050.0</v>
      </c>
      <c r="L564" s="18" t="s">
        <v>1563</v>
      </c>
      <c r="M564" s="18" t="s">
        <v>1564</v>
      </c>
      <c r="N564" s="18" t="s">
        <v>240</v>
      </c>
      <c r="O564" s="18" t="s">
        <v>151</v>
      </c>
      <c r="P564" s="18" t="s">
        <v>48</v>
      </c>
      <c r="Q564" s="19">
        <v>6700.0</v>
      </c>
    </row>
    <row r="565">
      <c r="A565" s="18" t="s">
        <v>112</v>
      </c>
      <c r="B565" s="18" t="s">
        <v>45</v>
      </c>
      <c r="C565" s="18" t="s">
        <v>45</v>
      </c>
      <c r="D565" s="18" t="s">
        <v>1565</v>
      </c>
      <c r="E565" s="18" t="s">
        <v>1566</v>
      </c>
      <c r="F565" s="18" t="s">
        <v>228</v>
      </c>
      <c r="G565" s="18">
        <v>10.6</v>
      </c>
      <c r="H565" s="18" t="s">
        <v>45</v>
      </c>
      <c r="I565" s="19">
        <v>3257.0</v>
      </c>
      <c r="J565" s="19">
        <v>4600.0</v>
      </c>
      <c r="K565" s="19">
        <v>4000.0</v>
      </c>
      <c r="L565" s="18" t="s">
        <v>1567</v>
      </c>
      <c r="M565" s="18" t="s">
        <v>1568</v>
      </c>
      <c r="N565" s="18" t="s">
        <v>403</v>
      </c>
      <c r="O565" s="18" t="s">
        <v>198</v>
      </c>
      <c r="P565" s="18" t="s">
        <v>42</v>
      </c>
      <c r="Q565" s="19">
        <v>4350.0</v>
      </c>
    </row>
    <row r="566">
      <c r="A566" s="18" t="s">
        <v>171</v>
      </c>
      <c r="B566" s="18" t="s">
        <v>45</v>
      </c>
      <c r="C566" s="18" t="s">
        <v>45</v>
      </c>
      <c r="D566" s="18" t="s">
        <v>1569</v>
      </c>
      <c r="E566" s="18" t="s">
        <v>1570</v>
      </c>
      <c r="F566" s="18" t="s">
        <v>228</v>
      </c>
      <c r="G566" s="18">
        <v>10.41</v>
      </c>
      <c r="H566" s="18" t="s">
        <v>45</v>
      </c>
      <c r="I566" s="19">
        <v>1990.0</v>
      </c>
      <c r="J566" s="19">
        <v>2300.0</v>
      </c>
      <c r="K566" s="19">
        <v>3000.0</v>
      </c>
      <c r="L566" s="18" t="s">
        <v>1571</v>
      </c>
      <c r="M566" s="18" t="s">
        <v>1572</v>
      </c>
      <c r="N566" s="18" t="s">
        <v>403</v>
      </c>
      <c r="O566" s="18" t="s">
        <v>198</v>
      </c>
      <c r="Q566" s="19">
        <v>2300.0</v>
      </c>
    </row>
    <row r="567">
      <c r="A567" s="18" t="s">
        <v>132</v>
      </c>
      <c r="B567" s="18" t="s">
        <v>45</v>
      </c>
      <c r="C567" s="18" t="s">
        <v>45</v>
      </c>
      <c r="D567" s="18" t="s">
        <v>1573</v>
      </c>
      <c r="E567" s="18" t="s">
        <v>1574</v>
      </c>
      <c r="F567" s="18" t="s">
        <v>228</v>
      </c>
      <c r="G567" s="18">
        <v>10.46</v>
      </c>
      <c r="H567" s="18" t="s">
        <v>400</v>
      </c>
      <c r="I567" s="19">
        <v>1822.08</v>
      </c>
      <c r="J567" s="19">
        <v>1500.0</v>
      </c>
      <c r="K567" s="19">
        <v>5050.0</v>
      </c>
      <c r="L567" s="18" t="s">
        <v>1575</v>
      </c>
      <c r="M567" s="18" t="s">
        <v>1576</v>
      </c>
      <c r="N567" s="18" t="s">
        <v>403</v>
      </c>
      <c r="O567" s="18" t="s">
        <v>41</v>
      </c>
      <c r="Q567" s="19">
        <v>1800.0</v>
      </c>
    </row>
    <row r="568">
      <c r="A568" s="18" t="s">
        <v>148</v>
      </c>
      <c r="B568" s="18" t="s">
        <v>45</v>
      </c>
      <c r="C568" s="18" t="s">
        <v>45</v>
      </c>
      <c r="D568" s="18" t="s">
        <v>1577</v>
      </c>
      <c r="E568" s="18" t="s">
        <v>1578</v>
      </c>
      <c r="F568" s="18" t="s">
        <v>228</v>
      </c>
      <c r="G568" s="18">
        <v>8.8</v>
      </c>
      <c r="H568" s="18" t="s">
        <v>45</v>
      </c>
      <c r="I568" s="19">
        <v>4171.0</v>
      </c>
      <c r="J568" s="19">
        <v>4200.0</v>
      </c>
      <c r="K568" s="19">
        <v>5050.0</v>
      </c>
      <c r="L568" s="18" t="s">
        <v>1579</v>
      </c>
      <c r="M568" s="18" t="s">
        <v>1580</v>
      </c>
      <c r="N568" s="18" t="s">
        <v>403</v>
      </c>
      <c r="O568" s="18" t="s">
        <v>57</v>
      </c>
      <c r="P568" s="18" t="s">
        <v>48</v>
      </c>
      <c r="Q568" s="19">
        <v>4400.0</v>
      </c>
    </row>
    <row r="569">
      <c r="A569" s="18" t="s">
        <v>225</v>
      </c>
      <c r="B569" s="18" t="s">
        <v>45</v>
      </c>
      <c r="C569" s="18" t="s">
        <v>45</v>
      </c>
      <c r="D569" s="18" t="s">
        <v>1581</v>
      </c>
      <c r="E569" s="18" t="s">
        <v>1582</v>
      </c>
      <c r="F569" s="18" t="s">
        <v>228</v>
      </c>
      <c r="G569" s="18">
        <v>9.0</v>
      </c>
      <c r="H569" s="18" t="s">
        <v>45</v>
      </c>
      <c r="I569" s="19">
        <v>3100.0</v>
      </c>
      <c r="J569" s="19">
        <v>4050.0</v>
      </c>
      <c r="K569" s="19">
        <v>3600.0</v>
      </c>
      <c r="L569" s="18" t="s">
        <v>1583</v>
      </c>
      <c r="M569" s="18" t="s">
        <v>1584</v>
      </c>
      <c r="N569" s="18" t="s">
        <v>403</v>
      </c>
      <c r="O569" s="18" t="s">
        <v>161</v>
      </c>
      <c r="P569" s="18" t="s">
        <v>162</v>
      </c>
      <c r="Q569" s="19">
        <v>3900.0</v>
      </c>
    </row>
    <row r="570">
      <c r="A570" s="18" t="s">
        <v>145</v>
      </c>
      <c r="B570" s="18" t="s">
        <v>44</v>
      </c>
      <c r="C570" s="18" t="s">
        <v>64</v>
      </c>
      <c r="D570" s="18" t="s">
        <v>2598</v>
      </c>
      <c r="E570" s="18" t="s">
        <v>2599</v>
      </c>
      <c r="F570" s="18" t="s">
        <v>228</v>
      </c>
      <c r="G570" s="18">
        <v>18.0</v>
      </c>
      <c r="H570" s="18" t="s">
        <v>56</v>
      </c>
      <c r="I570" s="19">
        <v>9022.0</v>
      </c>
      <c r="J570" s="19">
        <v>9950.0</v>
      </c>
      <c r="K570" s="19">
        <v>10900.0</v>
      </c>
      <c r="L570" s="18" t="s">
        <v>3591</v>
      </c>
      <c r="M570" s="18" t="s">
        <v>3592</v>
      </c>
      <c r="N570" s="18" t="s">
        <v>3593</v>
      </c>
      <c r="O570" s="18" t="s">
        <v>151</v>
      </c>
      <c r="P570" s="18" t="s">
        <v>63</v>
      </c>
      <c r="Q570" s="19">
        <v>9500.0</v>
      </c>
    </row>
    <row r="571">
      <c r="A571" s="18" t="s">
        <v>132</v>
      </c>
      <c r="B571" s="18" t="s">
        <v>44</v>
      </c>
      <c r="C571" s="18" t="s">
        <v>151</v>
      </c>
      <c r="D571" s="18" t="s">
        <v>1585</v>
      </c>
      <c r="E571" s="18" t="s">
        <v>1586</v>
      </c>
      <c r="F571" s="18" t="s">
        <v>228</v>
      </c>
      <c r="G571" s="18">
        <v>24.65</v>
      </c>
      <c r="H571" s="18" t="s">
        <v>574</v>
      </c>
      <c r="I571" s="19">
        <v>4563.0</v>
      </c>
      <c r="J571" s="19">
        <v>3700.0</v>
      </c>
      <c r="K571" s="19">
        <v>3500.0</v>
      </c>
      <c r="L571" s="18" t="s">
        <v>1587</v>
      </c>
      <c r="M571" s="18" t="s">
        <v>1533</v>
      </c>
      <c r="N571" s="18" t="s">
        <v>240</v>
      </c>
      <c r="O571" s="18" t="s">
        <v>41</v>
      </c>
      <c r="Q571" s="19">
        <v>3700.0</v>
      </c>
    </row>
    <row r="572">
      <c r="A572" s="18" t="s">
        <v>364</v>
      </c>
      <c r="B572" s="18" t="s">
        <v>44</v>
      </c>
      <c r="C572" s="18" t="s">
        <v>64</v>
      </c>
      <c r="D572" s="18" t="s">
        <v>1588</v>
      </c>
      <c r="E572" s="18" t="s">
        <v>1589</v>
      </c>
      <c r="F572" s="18" t="s">
        <v>228</v>
      </c>
      <c r="G572" s="18">
        <v>17.92</v>
      </c>
      <c r="H572" s="18" t="s">
        <v>120</v>
      </c>
      <c r="I572" s="19">
        <v>4500.0</v>
      </c>
      <c r="J572" s="19">
        <v>3600.0</v>
      </c>
      <c r="K572" s="19">
        <v>5400.0</v>
      </c>
      <c r="L572" s="18" t="s">
        <v>1590</v>
      </c>
      <c r="M572" s="18" t="s">
        <v>1591</v>
      </c>
      <c r="N572" s="18" t="s">
        <v>491</v>
      </c>
      <c r="O572" s="18" t="s">
        <v>41</v>
      </c>
      <c r="P572" s="18" t="s">
        <v>369</v>
      </c>
      <c r="Q572" s="19">
        <v>6800.0</v>
      </c>
    </row>
    <row r="573">
      <c r="A573" s="18" t="s">
        <v>1238</v>
      </c>
      <c r="B573" s="18" t="s">
        <v>44</v>
      </c>
      <c r="C573" s="18" t="s">
        <v>53</v>
      </c>
      <c r="D573" s="18" t="s">
        <v>1592</v>
      </c>
      <c r="E573" s="18" t="s">
        <v>1593</v>
      </c>
      <c r="F573" s="18" t="s">
        <v>228</v>
      </c>
      <c r="G573" s="18">
        <v>15.59</v>
      </c>
      <c r="H573" s="18" t="s">
        <v>1242</v>
      </c>
      <c r="I573" s="19">
        <v>3600.0</v>
      </c>
      <c r="J573" s="19">
        <v>4700.0</v>
      </c>
      <c r="L573" s="18" t="s">
        <v>1594</v>
      </c>
      <c r="M573" s="18" t="s">
        <v>1595</v>
      </c>
      <c r="N573" s="18" t="s">
        <v>240</v>
      </c>
      <c r="O573" s="18" t="s">
        <v>41</v>
      </c>
      <c r="P573" s="18" t="s">
        <v>144</v>
      </c>
      <c r="Q573" s="19">
        <v>4100.0</v>
      </c>
    </row>
    <row r="574">
      <c r="A574" s="18" t="s">
        <v>148</v>
      </c>
      <c r="B574" s="18" t="s">
        <v>44</v>
      </c>
      <c r="C574" s="18" t="s">
        <v>64</v>
      </c>
      <c r="D574" s="18" t="s">
        <v>163</v>
      </c>
      <c r="E574" s="18" t="s">
        <v>164</v>
      </c>
      <c r="F574" s="18" t="s">
        <v>228</v>
      </c>
      <c r="G574" s="18">
        <v>18.1</v>
      </c>
      <c r="H574" s="18" t="s">
        <v>56</v>
      </c>
      <c r="I574" s="19">
        <v>7096.0</v>
      </c>
      <c r="J574" s="19">
        <v>7100.0</v>
      </c>
      <c r="K574" s="19">
        <v>8550.0</v>
      </c>
      <c r="L574" s="18" t="s">
        <v>3594</v>
      </c>
      <c r="M574" s="18" t="s">
        <v>3595</v>
      </c>
      <c r="N574" s="18" t="s">
        <v>143</v>
      </c>
      <c r="O574" s="18" t="s">
        <v>151</v>
      </c>
      <c r="P574" s="18" t="s">
        <v>48</v>
      </c>
      <c r="Q574" s="19">
        <v>5700.0</v>
      </c>
    </row>
    <row r="575">
      <c r="A575" s="18" t="s">
        <v>1596</v>
      </c>
      <c r="B575" s="18" t="s">
        <v>44</v>
      </c>
      <c r="C575" s="18" t="s">
        <v>151</v>
      </c>
      <c r="D575" s="18" t="s">
        <v>1597</v>
      </c>
      <c r="E575" s="18" t="s">
        <v>1598</v>
      </c>
      <c r="F575" s="18" t="s">
        <v>228</v>
      </c>
      <c r="G575" s="18">
        <v>26.91</v>
      </c>
      <c r="H575" s="18" t="s">
        <v>168</v>
      </c>
      <c r="I575" s="19">
        <v>5096.0</v>
      </c>
      <c r="J575" s="19">
        <v>5400.0</v>
      </c>
      <c r="L575" s="18" t="s">
        <v>1599</v>
      </c>
      <c r="M575" s="18" t="s">
        <v>1600</v>
      </c>
      <c r="N575" s="18" t="s">
        <v>131</v>
      </c>
      <c r="O575" s="18" t="s">
        <v>41</v>
      </c>
      <c r="P575" s="18" t="s">
        <v>162</v>
      </c>
      <c r="Q575" s="19">
        <v>3085.7</v>
      </c>
    </row>
    <row r="576">
      <c r="A576" s="18" t="s">
        <v>138</v>
      </c>
      <c r="B576" s="18" t="s">
        <v>44</v>
      </c>
      <c r="C576" s="18" t="s">
        <v>53</v>
      </c>
      <c r="D576" s="18" t="s">
        <v>1601</v>
      </c>
      <c r="E576" s="18" t="s">
        <v>1602</v>
      </c>
      <c r="F576" s="18" t="s">
        <v>228</v>
      </c>
      <c r="G576" s="18">
        <v>15.88</v>
      </c>
      <c r="H576" s="18" t="s">
        <v>56</v>
      </c>
      <c r="I576" s="19">
        <v>3529.0</v>
      </c>
      <c r="J576" s="19">
        <v>5150.0</v>
      </c>
      <c r="K576" s="19">
        <v>4300.0</v>
      </c>
      <c r="L576" s="18" t="s">
        <v>1603</v>
      </c>
      <c r="M576" s="18" t="s">
        <v>1604</v>
      </c>
      <c r="N576" s="18" t="s">
        <v>763</v>
      </c>
      <c r="O576" s="18" t="s">
        <v>41</v>
      </c>
      <c r="P576" s="18" t="s">
        <v>144</v>
      </c>
      <c r="Q576" s="19">
        <v>3250.0</v>
      </c>
    </row>
    <row r="577">
      <c r="A577" s="18" t="s">
        <v>158</v>
      </c>
      <c r="B577" s="18" t="s">
        <v>44</v>
      </c>
      <c r="C577" s="18" t="s">
        <v>53</v>
      </c>
      <c r="D577" s="18" t="s">
        <v>1605</v>
      </c>
      <c r="E577" s="18" t="s">
        <v>1606</v>
      </c>
      <c r="F577" s="18" t="s">
        <v>228</v>
      </c>
      <c r="G577" s="18">
        <v>15.64</v>
      </c>
      <c r="H577" s="18" t="s">
        <v>120</v>
      </c>
      <c r="I577" s="19">
        <v>5091.0</v>
      </c>
      <c r="J577" s="19">
        <v>5100.0</v>
      </c>
      <c r="K577" s="19">
        <v>6150.0</v>
      </c>
      <c r="L577" s="18" t="s">
        <v>1607</v>
      </c>
      <c r="M577" s="18" t="s">
        <v>1608</v>
      </c>
      <c r="N577" s="18" t="s">
        <v>403</v>
      </c>
      <c r="O577" s="18" t="s">
        <v>161</v>
      </c>
      <c r="P577" s="18" t="s">
        <v>162</v>
      </c>
      <c r="Q577" s="19">
        <v>4100.0</v>
      </c>
    </row>
    <row r="578">
      <c r="A578" s="18" t="s">
        <v>158</v>
      </c>
      <c r="B578" s="18" t="s">
        <v>44</v>
      </c>
      <c r="C578" s="18" t="s">
        <v>53</v>
      </c>
      <c r="D578" s="18" t="s">
        <v>1609</v>
      </c>
      <c r="E578" s="18" t="s">
        <v>1610</v>
      </c>
      <c r="F578" s="18" t="s">
        <v>228</v>
      </c>
      <c r="G578" s="18">
        <v>15.19</v>
      </c>
      <c r="H578" s="18" t="s">
        <v>120</v>
      </c>
      <c r="I578" s="19">
        <v>5091.0</v>
      </c>
      <c r="J578" s="19">
        <v>5100.0</v>
      </c>
      <c r="K578" s="19">
        <v>6150.0</v>
      </c>
      <c r="L578" s="18" t="s">
        <v>1611</v>
      </c>
      <c r="M578" s="18" t="s">
        <v>1608</v>
      </c>
      <c r="N578" s="18" t="s">
        <v>403</v>
      </c>
      <c r="O578" s="18" t="s">
        <v>161</v>
      </c>
      <c r="P578" s="18" t="s">
        <v>162</v>
      </c>
      <c r="Q578" s="19">
        <v>4100.0</v>
      </c>
    </row>
    <row r="579">
      <c r="A579" s="18" t="s">
        <v>112</v>
      </c>
      <c r="B579" s="18" t="s">
        <v>45</v>
      </c>
      <c r="C579" s="18" t="s">
        <v>45</v>
      </c>
      <c r="D579" s="18" t="s">
        <v>196</v>
      </c>
      <c r="E579" s="18" t="s">
        <v>197</v>
      </c>
      <c r="F579" s="18" t="s">
        <v>228</v>
      </c>
      <c r="G579" s="18">
        <v>10.4</v>
      </c>
      <c r="H579" s="18" t="s">
        <v>45</v>
      </c>
      <c r="I579" s="19">
        <v>3257.0</v>
      </c>
      <c r="J579" s="19">
        <v>4600.0</v>
      </c>
      <c r="K579" s="19">
        <v>4000.0</v>
      </c>
      <c r="L579" s="18" t="s">
        <v>3596</v>
      </c>
      <c r="M579" s="18" t="s">
        <v>3597</v>
      </c>
      <c r="N579" s="18" t="s">
        <v>403</v>
      </c>
      <c r="O579" s="18" t="s">
        <v>198</v>
      </c>
      <c r="P579" s="18" t="s">
        <v>42</v>
      </c>
      <c r="Q579" s="19">
        <v>4400.0</v>
      </c>
    </row>
    <row r="580">
      <c r="A580" s="18" t="s">
        <v>912</v>
      </c>
      <c r="B580" s="18" t="s">
        <v>45</v>
      </c>
      <c r="C580" s="18" t="s">
        <v>45</v>
      </c>
      <c r="D580" s="18" t="s">
        <v>1612</v>
      </c>
      <c r="E580" s="18" t="s">
        <v>1613</v>
      </c>
      <c r="F580" s="18" t="s">
        <v>228</v>
      </c>
      <c r="G580" s="18">
        <v>11.21</v>
      </c>
      <c r="H580" s="18" t="s">
        <v>45</v>
      </c>
      <c r="I580" s="19">
        <v>2600.0</v>
      </c>
      <c r="J580" s="19">
        <v>3250.0</v>
      </c>
      <c r="K580" s="19">
        <v>3000.0</v>
      </c>
      <c r="L580" s="18" t="s">
        <v>1614</v>
      </c>
      <c r="M580" s="18" t="s">
        <v>1615</v>
      </c>
      <c r="N580" s="18" t="s">
        <v>143</v>
      </c>
      <c r="O580" s="18" t="s">
        <v>41</v>
      </c>
      <c r="P580" s="18" t="s">
        <v>917</v>
      </c>
      <c r="Q580" s="19">
        <v>3000.0</v>
      </c>
    </row>
    <row r="581">
      <c r="A581" s="18" t="s">
        <v>201</v>
      </c>
      <c r="B581" s="18" t="s">
        <v>44</v>
      </c>
      <c r="C581" s="18" t="s">
        <v>53</v>
      </c>
      <c r="D581" s="18" t="s">
        <v>1616</v>
      </c>
      <c r="E581" s="18" t="s">
        <v>1617</v>
      </c>
      <c r="F581" s="18" t="s">
        <v>228</v>
      </c>
      <c r="G581" s="18">
        <v>16.36</v>
      </c>
      <c r="H581" s="18" t="s">
        <v>56</v>
      </c>
      <c r="I581" s="19">
        <v>3150.0</v>
      </c>
      <c r="J581" s="19">
        <v>3800.0</v>
      </c>
      <c r="K581" s="19">
        <v>3700.0</v>
      </c>
      <c r="L581" s="18" t="s">
        <v>1618</v>
      </c>
      <c r="M581" s="18" t="s">
        <v>1619</v>
      </c>
      <c r="N581" s="18" t="s">
        <v>240</v>
      </c>
      <c r="O581" s="18" t="s">
        <v>41</v>
      </c>
      <c r="Q581" s="19">
        <v>3800.0</v>
      </c>
    </row>
    <row r="582">
      <c r="A582" s="18" t="s">
        <v>171</v>
      </c>
      <c r="B582" s="18" t="s">
        <v>44</v>
      </c>
      <c r="C582" s="18" t="s">
        <v>53</v>
      </c>
      <c r="D582" s="18" t="s">
        <v>1620</v>
      </c>
      <c r="E582" s="18" t="s">
        <v>1621</v>
      </c>
      <c r="F582" s="18" t="s">
        <v>228</v>
      </c>
      <c r="G582" s="18">
        <v>15.97</v>
      </c>
      <c r="H582" s="18" t="s">
        <v>56</v>
      </c>
      <c r="I582" s="19">
        <v>4250.0</v>
      </c>
      <c r="J582" s="19">
        <v>4900.0</v>
      </c>
      <c r="K582" s="19">
        <v>5100.0</v>
      </c>
      <c r="L582" s="18" t="s">
        <v>1622</v>
      </c>
      <c r="M582" s="18" t="s">
        <v>600</v>
      </c>
      <c r="N582" s="18" t="s">
        <v>240</v>
      </c>
      <c r="O582" s="18" t="s">
        <v>41</v>
      </c>
      <c r="Q582" s="19">
        <v>4900.0</v>
      </c>
    </row>
    <row r="583">
      <c r="A583" s="18" t="s">
        <v>201</v>
      </c>
      <c r="B583" s="18" t="s">
        <v>44</v>
      </c>
      <c r="C583" s="18" t="s">
        <v>113</v>
      </c>
      <c r="D583" s="18" t="s">
        <v>2445</v>
      </c>
      <c r="E583" s="18" t="s">
        <v>2446</v>
      </c>
      <c r="F583" s="18" t="s">
        <v>228</v>
      </c>
      <c r="G583" s="18">
        <v>12.4</v>
      </c>
      <c r="H583" s="18" t="s">
        <v>116</v>
      </c>
      <c r="I583" s="19">
        <v>2600.0</v>
      </c>
      <c r="J583" s="19">
        <v>3150.0</v>
      </c>
      <c r="K583" s="19">
        <v>3000.0</v>
      </c>
      <c r="L583" s="18" t="s">
        <v>3598</v>
      </c>
      <c r="M583" s="18" t="s">
        <v>3599</v>
      </c>
      <c r="N583" s="18" t="s">
        <v>363</v>
      </c>
      <c r="O583" s="18" t="s">
        <v>41</v>
      </c>
      <c r="Q583" s="19">
        <v>3150.0</v>
      </c>
    </row>
    <row r="584">
      <c r="A584" s="18" t="s">
        <v>43</v>
      </c>
      <c r="B584" s="18" t="s">
        <v>44</v>
      </c>
      <c r="C584" s="18" t="s">
        <v>180</v>
      </c>
      <c r="D584" s="18" t="s">
        <v>1623</v>
      </c>
      <c r="E584" s="18" t="s">
        <v>1624</v>
      </c>
      <c r="F584" s="18" t="s">
        <v>228</v>
      </c>
      <c r="G584" s="18">
        <v>22.1</v>
      </c>
      <c r="H584" s="18" t="s">
        <v>168</v>
      </c>
      <c r="I584" s="19">
        <v>7700.0</v>
      </c>
      <c r="J584" s="19">
        <v>9250.0</v>
      </c>
      <c r="L584" s="18" t="s">
        <v>1625</v>
      </c>
      <c r="M584" s="18" t="s">
        <v>1626</v>
      </c>
      <c r="N584" s="18" t="s">
        <v>240</v>
      </c>
      <c r="O584" s="18" t="s">
        <v>57</v>
      </c>
      <c r="P584" s="18" t="s">
        <v>48</v>
      </c>
      <c r="Q584" s="19">
        <v>8500.0</v>
      </c>
    </row>
    <row r="585">
      <c r="A585" s="18" t="s">
        <v>171</v>
      </c>
      <c r="B585" s="18" t="s">
        <v>45</v>
      </c>
      <c r="C585" s="18" t="s">
        <v>45</v>
      </c>
      <c r="D585" s="18" t="s">
        <v>1627</v>
      </c>
      <c r="E585" s="18" t="s">
        <v>1628</v>
      </c>
      <c r="F585" s="18" t="s">
        <v>228</v>
      </c>
      <c r="G585" s="18">
        <v>10.28</v>
      </c>
      <c r="H585" s="18" t="s">
        <v>45</v>
      </c>
      <c r="I585" s="19">
        <v>1990.0</v>
      </c>
      <c r="J585" s="19">
        <v>2300.0</v>
      </c>
      <c r="K585" s="19">
        <v>2400.0</v>
      </c>
      <c r="L585" s="18" t="s">
        <v>1629</v>
      </c>
      <c r="M585" s="18" t="s">
        <v>1630</v>
      </c>
      <c r="N585" s="18" t="s">
        <v>143</v>
      </c>
      <c r="O585" s="18" t="s">
        <v>41</v>
      </c>
      <c r="Q585" s="19">
        <v>2300.0</v>
      </c>
    </row>
    <row r="586">
      <c r="A586" s="18" t="s">
        <v>210</v>
      </c>
      <c r="B586" s="18" t="s">
        <v>44</v>
      </c>
      <c r="C586" s="18" t="s">
        <v>151</v>
      </c>
      <c r="D586" s="18" t="s">
        <v>1631</v>
      </c>
      <c r="E586" s="18" t="s">
        <v>1632</v>
      </c>
      <c r="F586" s="18" t="s">
        <v>228</v>
      </c>
      <c r="G586" s="18">
        <v>26.07</v>
      </c>
      <c r="H586" s="18" t="s">
        <v>168</v>
      </c>
      <c r="I586" s="19">
        <v>7250.0</v>
      </c>
      <c r="J586" s="19">
        <v>9450.0</v>
      </c>
      <c r="K586" s="19">
        <v>8700.0</v>
      </c>
      <c r="L586" s="18" t="s">
        <v>1633</v>
      </c>
      <c r="M586" s="18" t="s">
        <v>1634</v>
      </c>
      <c r="N586" s="18" t="s">
        <v>403</v>
      </c>
      <c r="O586" s="18" t="s">
        <v>57</v>
      </c>
      <c r="P586" s="18" t="s">
        <v>63</v>
      </c>
      <c r="Q586" s="19">
        <v>8700.0</v>
      </c>
    </row>
    <row r="587">
      <c r="A587" s="18" t="s">
        <v>35</v>
      </c>
      <c r="B587" s="18" t="s">
        <v>44</v>
      </c>
      <c r="C587" s="18" t="s">
        <v>53</v>
      </c>
      <c r="D587" s="18" t="s">
        <v>1635</v>
      </c>
      <c r="E587" s="18" t="s">
        <v>1636</v>
      </c>
      <c r="F587" s="18" t="s">
        <v>228</v>
      </c>
      <c r="G587" s="18">
        <v>16.08</v>
      </c>
      <c r="H587" s="18" t="s">
        <v>120</v>
      </c>
      <c r="I587" s="19">
        <v>6230.0</v>
      </c>
      <c r="J587" s="19">
        <v>8450.0</v>
      </c>
      <c r="K587" s="19">
        <v>7500.0</v>
      </c>
      <c r="L587" s="18" t="s">
        <v>1637</v>
      </c>
      <c r="M587" s="18" t="s">
        <v>1638</v>
      </c>
      <c r="N587" s="18" t="s">
        <v>131</v>
      </c>
      <c r="O587" s="18" t="s">
        <v>41</v>
      </c>
      <c r="P587" s="18" t="s">
        <v>42</v>
      </c>
      <c r="Q587" s="19">
        <v>8450.0</v>
      </c>
    </row>
    <row r="588">
      <c r="A588" s="18" t="s">
        <v>43</v>
      </c>
      <c r="B588" s="18" t="s">
        <v>44</v>
      </c>
      <c r="C588" s="18" t="s">
        <v>37</v>
      </c>
      <c r="D588" s="18" t="s">
        <v>1639</v>
      </c>
      <c r="E588" s="18" t="s">
        <v>1640</v>
      </c>
      <c r="F588" s="18" t="s">
        <v>228</v>
      </c>
      <c r="G588" s="18">
        <v>42.41</v>
      </c>
      <c r="H588" s="18" t="s">
        <v>168</v>
      </c>
      <c r="I588" s="19">
        <v>10800.0</v>
      </c>
      <c r="J588" s="19">
        <v>13000.0</v>
      </c>
      <c r="L588" s="18" t="s">
        <v>1641</v>
      </c>
      <c r="M588" s="18" t="s">
        <v>1634</v>
      </c>
      <c r="N588" s="18" t="s">
        <v>403</v>
      </c>
      <c r="O588" s="18" t="s">
        <v>83</v>
      </c>
      <c r="P588" s="18" t="s">
        <v>48</v>
      </c>
      <c r="Q588" s="19">
        <v>11900.0</v>
      </c>
    </row>
    <row r="589">
      <c r="A589" s="18" t="s">
        <v>43</v>
      </c>
      <c r="B589" s="18" t="s">
        <v>44</v>
      </c>
      <c r="C589" s="18" t="s">
        <v>76</v>
      </c>
      <c r="D589" s="18" t="s">
        <v>1642</v>
      </c>
      <c r="E589" s="18" t="s">
        <v>1643</v>
      </c>
      <c r="F589" s="18" t="s">
        <v>228</v>
      </c>
      <c r="G589" s="18">
        <v>19.18</v>
      </c>
      <c r="H589" s="18" t="s">
        <v>120</v>
      </c>
      <c r="I589" s="19">
        <v>7200.0</v>
      </c>
      <c r="J589" s="19">
        <v>8650.0</v>
      </c>
      <c r="L589" s="18" t="s">
        <v>1644</v>
      </c>
      <c r="M589" s="18" t="s">
        <v>447</v>
      </c>
      <c r="N589" s="18" t="s">
        <v>240</v>
      </c>
      <c r="O589" s="18" t="s">
        <v>41</v>
      </c>
      <c r="P589" s="18" t="s">
        <v>48</v>
      </c>
      <c r="Q589" s="19">
        <v>7950.0</v>
      </c>
    </row>
    <row r="590">
      <c r="A590" s="18" t="s">
        <v>138</v>
      </c>
      <c r="B590" s="18" t="s">
        <v>45</v>
      </c>
      <c r="C590" s="18" t="s">
        <v>45</v>
      </c>
      <c r="D590" s="18" t="s">
        <v>1645</v>
      </c>
      <c r="E590" s="18" t="s">
        <v>1646</v>
      </c>
      <c r="F590" s="18" t="s">
        <v>228</v>
      </c>
      <c r="G590" s="18">
        <v>9.99</v>
      </c>
      <c r="H590" s="18" t="s">
        <v>45</v>
      </c>
      <c r="I590" s="19">
        <v>1652.0</v>
      </c>
      <c r="J590" s="19">
        <v>2400.0</v>
      </c>
      <c r="K590" s="19">
        <v>2050.0</v>
      </c>
      <c r="L590" s="18" t="s">
        <v>1647</v>
      </c>
      <c r="M590" s="18" t="s">
        <v>1648</v>
      </c>
      <c r="N590" s="18" t="s">
        <v>131</v>
      </c>
      <c r="O590" s="18" t="s">
        <v>57</v>
      </c>
      <c r="P590" s="18" t="s">
        <v>144</v>
      </c>
      <c r="Q590" s="19">
        <v>2150.0</v>
      </c>
    </row>
    <row r="591">
      <c r="A591" s="18" t="s">
        <v>148</v>
      </c>
      <c r="B591" s="18" t="s">
        <v>44</v>
      </c>
      <c r="C591" s="18" t="s">
        <v>64</v>
      </c>
      <c r="D591" s="18" t="s">
        <v>1649</v>
      </c>
      <c r="E591" s="18" t="s">
        <v>1650</v>
      </c>
      <c r="F591" s="18" t="s">
        <v>228</v>
      </c>
      <c r="G591" s="18">
        <v>18.1</v>
      </c>
      <c r="H591" s="18" t="s">
        <v>56</v>
      </c>
      <c r="I591" s="19">
        <v>7096.0</v>
      </c>
      <c r="J591" s="19">
        <v>7100.0</v>
      </c>
      <c r="K591" s="19">
        <v>8550.0</v>
      </c>
      <c r="L591" s="18" t="s">
        <v>1651</v>
      </c>
      <c r="M591" s="18" t="s">
        <v>1652</v>
      </c>
      <c r="N591" s="18" t="s">
        <v>131</v>
      </c>
      <c r="O591" s="18" t="s">
        <v>151</v>
      </c>
      <c r="P591" s="18" t="s">
        <v>48</v>
      </c>
      <c r="Q591" s="19">
        <v>5700.0</v>
      </c>
    </row>
    <row r="592">
      <c r="A592" s="18" t="s">
        <v>171</v>
      </c>
      <c r="B592" s="18" t="s">
        <v>45</v>
      </c>
      <c r="C592" s="18" t="s">
        <v>45</v>
      </c>
      <c r="D592" s="18" t="s">
        <v>1653</v>
      </c>
      <c r="E592" s="18" t="s">
        <v>1654</v>
      </c>
      <c r="F592" s="18" t="s">
        <v>228</v>
      </c>
      <c r="G592" s="18">
        <v>9.33</v>
      </c>
      <c r="H592" s="18" t="s">
        <v>45</v>
      </c>
      <c r="I592" s="19">
        <v>1990.0</v>
      </c>
      <c r="J592" s="19">
        <v>2300.0</v>
      </c>
      <c r="K592" s="19">
        <v>2400.0</v>
      </c>
      <c r="L592" s="18" t="s">
        <v>1655</v>
      </c>
      <c r="M592" s="18" t="s">
        <v>1656</v>
      </c>
      <c r="N592" s="18" t="s">
        <v>1657</v>
      </c>
      <c r="O592" s="18" t="s">
        <v>117</v>
      </c>
      <c r="Q592" s="19">
        <v>2300.0</v>
      </c>
    </row>
    <row r="593">
      <c r="A593" s="18" t="s">
        <v>210</v>
      </c>
      <c r="B593" s="18" t="s">
        <v>44</v>
      </c>
      <c r="C593" s="18" t="s">
        <v>53</v>
      </c>
      <c r="D593" s="18" t="s">
        <v>1658</v>
      </c>
      <c r="E593" s="18" t="s">
        <v>1659</v>
      </c>
      <c r="F593" s="18" t="s">
        <v>228</v>
      </c>
      <c r="G593" s="18">
        <v>16.7</v>
      </c>
      <c r="H593" s="18" t="s">
        <v>56</v>
      </c>
      <c r="I593" s="19">
        <v>5900.0</v>
      </c>
      <c r="J593" s="19">
        <v>7700.0</v>
      </c>
      <c r="K593" s="19">
        <v>7100.0</v>
      </c>
      <c r="L593" s="18" t="s">
        <v>1660</v>
      </c>
      <c r="M593" s="18" t="s">
        <v>1661</v>
      </c>
      <c r="N593" s="18" t="s">
        <v>131</v>
      </c>
      <c r="O593" s="18" t="s">
        <v>57</v>
      </c>
      <c r="P593" s="18" t="s">
        <v>63</v>
      </c>
      <c r="Q593" s="19">
        <v>7100.0</v>
      </c>
    </row>
    <row r="594">
      <c r="A594" s="18" t="s">
        <v>216</v>
      </c>
      <c r="B594" s="18" t="s">
        <v>44</v>
      </c>
      <c r="C594" s="18" t="s">
        <v>76</v>
      </c>
      <c r="D594" s="18" t="s">
        <v>1662</v>
      </c>
      <c r="E594" s="18" t="s">
        <v>1663</v>
      </c>
      <c r="F594" s="18" t="s">
        <v>228</v>
      </c>
      <c r="G594" s="18">
        <v>18.68</v>
      </c>
      <c r="H594" s="18" t="s">
        <v>168</v>
      </c>
      <c r="I594" s="19">
        <v>6601.0</v>
      </c>
      <c r="J594" s="19">
        <v>9250.0</v>
      </c>
      <c r="K594" s="19">
        <v>8000.0</v>
      </c>
      <c r="L594" s="18" t="s">
        <v>1664</v>
      </c>
      <c r="M594" s="18" t="s">
        <v>1665</v>
      </c>
      <c r="N594" s="18" t="s">
        <v>903</v>
      </c>
      <c r="O594" s="18" t="s">
        <v>41</v>
      </c>
      <c r="P594" s="18" t="s">
        <v>42</v>
      </c>
      <c r="Q594" s="19">
        <v>8500.0</v>
      </c>
    </row>
    <row r="595">
      <c r="A595" s="18" t="s">
        <v>138</v>
      </c>
      <c r="B595" s="18" t="s">
        <v>44</v>
      </c>
      <c r="C595" s="18" t="s">
        <v>53</v>
      </c>
      <c r="D595" s="18" t="s">
        <v>1666</v>
      </c>
      <c r="E595" s="18" t="s">
        <v>1667</v>
      </c>
      <c r="F595" s="18" t="s">
        <v>228</v>
      </c>
      <c r="G595" s="18">
        <v>15.59</v>
      </c>
      <c r="H595" s="18" t="s">
        <v>56</v>
      </c>
      <c r="I595" s="19">
        <v>3529.0</v>
      </c>
      <c r="J595" s="19">
        <v>5150.0</v>
      </c>
      <c r="K595" s="19">
        <v>4300.0</v>
      </c>
      <c r="L595" s="18" t="s">
        <v>1668</v>
      </c>
      <c r="M595" s="18" t="s">
        <v>1669</v>
      </c>
      <c r="N595" s="18" t="s">
        <v>131</v>
      </c>
      <c r="O595" s="18" t="s">
        <v>57</v>
      </c>
      <c r="P595" s="18" t="s">
        <v>144</v>
      </c>
      <c r="Q595" s="19">
        <v>3550.0</v>
      </c>
    </row>
    <row r="596">
      <c r="A596" s="18" t="s">
        <v>225</v>
      </c>
      <c r="B596" s="18" t="s">
        <v>44</v>
      </c>
      <c r="C596" s="18" t="s">
        <v>53</v>
      </c>
      <c r="D596" s="18" t="s">
        <v>1670</v>
      </c>
      <c r="E596" s="18" t="s">
        <v>1671</v>
      </c>
      <c r="F596" s="18" t="s">
        <v>228</v>
      </c>
      <c r="G596" s="18">
        <v>16.4</v>
      </c>
      <c r="H596" s="18" t="s">
        <v>120</v>
      </c>
      <c r="I596" s="19">
        <v>5700.0</v>
      </c>
      <c r="J596" s="19">
        <v>7450.0</v>
      </c>
      <c r="K596" s="19">
        <v>6600.0</v>
      </c>
      <c r="L596" s="18" t="s">
        <v>1672</v>
      </c>
      <c r="M596" s="18" t="s">
        <v>1673</v>
      </c>
      <c r="N596" s="18" t="s">
        <v>131</v>
      </c>
      <c r="O596" s="18" t="s">
        <v>41</v>
      </c>
      <c r="P596" s="18" t="s">
        <v>162</v>
      </c>
      <c r="Q596" s="19">
        <v>5400.0</v>
      </c>
    </row>
    <row r="597">
      <c r="A597" s="18" t="s">
        <v>282</v>
      </c>
      <c r="B597" s="18" t="s">
        <v>45</v>
      </c>
      <c r="C597" s="18" t="s">
        <v>45</v>
      </c>
      <c r="D597" s="18" t="s">
        <v>1674</v>
      </c>
      <c r="E597" s="18" t="s">
        <v>1675</v>
      </c>
      <c r="F597" s="18" t="s">
        <v>228</v>
      </c>
      <c r="G597" s="18">
        <v>11.81</v>
      </c>
      <c r="H597" s="18" t="s">
        <v>45</v>
      </c>
      <c r="I597" s="19">
        <v>2838.0</v>
      </c>
      <c r="J597" s="19">
        <v>3450.0</v>
      </c>
      <c r="K597" s="19">
        <v>3450.0</v>
      </c>
      <c r="L597" s="18" t="s">
        <v>1676</v>
      </c>
      <c r="M597" s="18" t="s">
        <v>1677</v>
      </c>
      <c r="N597" s="18" t="s">
        <v>1657</v>
      </c>
      <c r="O597" s="18" t="s">
        <v>57</v>
      </c>
      <c r="P597" s="18" t="s">
        <v>63</v>
      </c>
      <c r="Q597" s="19">
        <v>3300.0</v>
      </c>
    </row>
    <row r="598">
      <c r="A598" s="18" t="s">
        <v>1238</v>
      </c>
      <c r="B598" s="18" t="s">
        <v>44</v>
      </c>
      <c r="C598" s="18" t="s">
        <v>133</v>
      </c>
      <c r="D598" s="18" t="s">
        <v>1678</v>
      </c>
      <c r="E598" s="18" t="s">
        <v>1679</v>
      </c>
      <c r="F598" s="18" t="s">
        <v>228</v>
      </c>
      <c r="G598" s="18">
        <v>13.72</v>
      </c>
      <c r="H598" s="18" t="s">
        <v>1242</v>
      </c>
      <c r="I598" s="19">
        <v>3199.0</v>
      </c>
      <c r="J598" s="19">
        <v>4200.0</v>
      </c>
      <c r="L598" s="18" t="s">
        <v>1680</v>
      </c>
      <c r="M598" s="18" t="s">
        <v>1681</v>
      </c>
      <c r="N598" s="18" t="s">
        <v>1657</v>
      </c>
      <c r="O598" s="18" t="s">
        <v>41</v>
      </c>
      <c r="P598" s="18" t="s">
        <v>144</v>
      </c>
      <c r="Q598" s="19">
        <v>3550.0</v>
      </c>
    </row>
    <row r="599">
      <c r="A599" s="18" t="s">
        <v>364</v>
      </c>
      <c r="B599" s="18" t="s">
        <v>44</v>
      </c>
      <c r="C599" s="18" t="s">
        <v>133</v>
      </c>
      <c r="D599" s="18" t="s">
        <v>1682</v>
      </c>
      <c r="E599" s="18" t="s">
        <v>1683</v>
      </c>
      <c r="F599" s="18" t="s">
        <v>228</v>
      </c>
      <c r="G599" s="18">
        <v>14.38</v>
      </c>
      <c r="H599" s="18" t="s">
        <v>56</v>
      </c>
      <c r="I599" s="19">
        <v>3900.0</v>
      </c>
      <c r="J599" s="19">
        <v>3150.0</v>
      </c>
      <c r="K599" s="19">
        <v>4500.0</v>
      </c>
      <c r="L599" s="18" t="s">
        <v>1684</v>
      </c>
      <c r="M599" s="18" t="s">
        <v>1685</v>
      </c>
      <c r="N599" s="18" t="s">
        <v>1657</v>
      </c>
      <c r="O599" s="18" t="s">
        <v>117</v>
      </c>
      <c r="P599" s="18" t="s">
        <v>369</v>
      </c>
      <c r="Q599" s="19">
        <v>4700.0</v>
      </c>
    </row>
    <row r="600">
      <c r="A600" s="18" t="s">
        <v>43</v>
      </c>
      <c r="B600" s="18" t="s">
        <v>44</v>
      </c>
      <c r="C600" s="18" t="s">
        <v>76</v>
      </c>
      <c r="D600" s="18" t="s">
        <v>1686</v>
      </c>
      <c r="E600" s="18" t="s">
        <v>1687</v>
      </c>
      <c r="F600" s="18" t="s">
        <v>228</v>
      </c>
      <c r="G600" s="18">
        <v>19.92</v>
      </c>
      <c r="H600" s="18" t="s">
        <v>120</v>
      </c>
      <c r="I600" s="19">
        <v>7200.0</v>
      </c>
      <c r="J600" s="19">
        <v>8650.0</v>
      </c>
      <c r="L600" s="18" t="s">
        <v>1688</v>
      </c>
      <c r="M600" s="18" t="s">
        <v>1689</v>
      </c>
      <c r="N600" s="18" t="s">
        <v>903</v>
      </c>
      <c r="O600" s="18" t="s">
        <v>57</v>
      </c>
      <c r="P600" s="18" t="s">
        <v>48</v>
      </c>
      <c r="Q600" s="19">
        <v>7950.0</v>
      </c>
    </row>
    <row r="601">
      <c r="A601" s="18" t="s">
        <v>148</v>
      </c>
      <c r="B601" s="18" t="s">
        <v>44</v>
      </c>
      <c r="C601" s="18" t="s">
        <v>64</v>
      </c>
      <c r="D601" s="18" t="s">
        <v>2624</v>
      </c>
      <c r="E601" s="18" t="s">
        <v>2625</v>
      </c>
      <c r="F601" s="18" t="s">
        <v>228</v>
      </c>
      <c r="G601" s="18">
        <v>17.0</v>
      </c>
      <c r="H601" s="18" t="s">
        <v>56</v>
      </c>
      <c r="I601" s="19">
        <v>7096.0</v>
      </c>
      <c r="J601" s="19">
        <v>7100.0</v>
      </c>
      <c r="K601" s="19">
        <v>8550.0</v>
      </c>
      <c r="L601" s="18" t="s">
        <v>3600</v>
      </c>
      <c r="M601" s="18" t="s">
        <v>3601</v>
      </c>
      <c r="N601" s="18" t="s">
        <v>143</v>
      </c>
      <c r="O601" s="18" t="s">
        <v>151</v>
      </c>
      <c r="P601" s="18" t="s">
        <v>48</v>
      </c>
      <c r="Q601" s="19">
        <v>5700.0</v>
      </c>
    </row>
    <row r="602">
      <c r="A602" s="18" t="s">
        <v>216</v>
      </c>
      <c r="B602" s="18" t="s">
        <v>44</v>
      </c>
      <c r="C602" s="18" t="s">
        <v>53</v>
      </c>
      <c r="D602" s="18" t="s">
        <v>217</v>
      </c>
      <c r="E602" s="18" t="s">
        <v>218</v>
      </c>
      <c r="F602" s="18" t="s">
        <v>228</v>
      </c>
      <c r="G602" s="18">
        <v>15.6</v>
      </c>
      <c r="H602" s="18" t="s">
        <v>120</v>
      </c>
      <c r="I602" s="19">
        <v>5494.0</v>
      </c>
      <c r="J602" s="19">
        <v>7700.0</v>
      </c>
      <c r="K602" s="19">
        <v>6600.0</v>
      </c>
      <c r="L602" s="18" t="s">
        <v>3602</v>
      </c>
      <c r="M602" s="18" t="s">
        <v>3603</v>
      </c>
      <c r="N602" s="18" t="s">
        <v>343</v>
      </c>
      <c r="O602" s="18" t="s">
        <v>57</v>
      </c>
      <c r="P602" s="18" t="s">
        <v>42</v>
      </c>
      <c r="Q602" s="19">
        <v>7450.0</v>
      </c>
    </row>
    <row r="603">
      <c r="A603" s="18" t="s">
        <v>171</v>
      </c>
      <c r="B603" s="18" t="s">
        <v>44</v>
      </c>
      <c r="C603" s="18" t="s">
        <v>53</v>
      </c>
      <c r="D603" s="18" t="s">
        <v>1690</v>
      </c>
      <c r="E603" s="18" t="s">
        <v>1691</v>
      </c>
      <c r="F603" s="18" t="s">
        <v>228</v>
      </c>
      <c r="G603" s="18">
        <v>15.62</v>
      </c>
      <c r="H603" s="18" t="s">
        <v>56</v>
      </c>
      <c r="I603" s="19">
        <v>4250.0</v>
      </c>
      <c r="J603" s="19">
        <v>4900.0</v>
      </c>
      <c r="K603" s="19">
        <v>5100.0</v>
      </c>
      <c r="L603" s="18" t="s">
        <v>1692</v>
      </c>
      <c r="M603" s="18" t="s">
        <v>3604</v>
      </c>
      <c r="N603" s="18" t="s">
        <v>903</v>
      </c>
      <c r="O603" s="18" t="s">
        <v>41</v>
      </c>
      <c r="Q603" s="19">
        <v>4650.0</v>
      </c>
    </row>
    <row r="604">
      <c r="A604" s="18" t="s">
        <v>138</v>
      </c>
      <c r="B604" s="18" t="s">
        <v>44</v>
      </c>
      <c r="C604" s="18" t="s">
        <v>151</v>
      </c>
      <c r="D604" s="18" t="s">
        <v>1694</v>
      </c>
      <c r="E604" s="18" t="s">
        <v>1695</v>
      </c>
      <c r="F604" s="18" t="s">
        <v>228</v>
      </c>
      <c r="G604" s="18">
        <v>25.87</v>
      </c>
      <c r="H604" s="18" t="s">
        <v>168</v>
      </c>
      <c r="I604" s="19">
        <v>4973.0</v>
      </c>
      <c r="J604" s="19">
        <v>7250.0</v>
      </c>
      <c r="K604" s="19">
        <v>6000.0</v>
      </c>
      <c r="L604" s="18" t="s">
        <v>1696</v>
      </c>
      <c r="M604" s="18" t="s">
        <v>1697</v>
      </c>
      <c r="N604" s="18" t="s">
        <v>1146</v>
      </c>
      <c r="O604" s="18" t="s">
        <v>57</v>
      </c>
      <c r="P604" s="18" t="s">
        <v>144</v>
      </c>
      <c r="Q604" s="19">
        <v>5850.0</v>
      </c>
    </row>
    <row r="605">
      <c r="A605" s="18" t="s">
        <v>154</v>
      </c>
      <c r="B605" s="18" t="s">
        <v>44</v>
      </c>
      <c r="C605" s="18" t="s">
        <v>76</v>
      </c>
      <c r="D605" s="18" t="s">
        <v>1698</v>
      </c>
      <c r="E605" s="18" t="s">
        <v>1699</v>
      </c>
      <c r="F605" s="18" t="s">
        <v>228</v>
      </c>
      <c r="G605" s="18">
        <v>21.0</v>
      </c>
      <c r="H605" s="18" t="s">
        <v>56</v>
      </c>
      <c r="I605" s="19">
        <v>6090.0</v>
      </c>
      <c r="J605" s="19">
        <v>8550.0</v>
      </c>
      <c r="K605" s="19">
        <v>7350.0</v>
      </c>
      <c r="L605" s="18" t="s">
        <v>1700</v>
      </c>
      <c r="M605" s="18" t="s">
        <v>1701</v>
      </c>
      <c r="N605" s="18" t="s">
        <v>240</v>
      </c>
      <c r="O605" s="18" t="s">
        <v>151</v>
      </c>
      <c r="P605" s="18" t="s">
        <v>157</v>
      </c>
      <c r="Q605" s="19">
        <v>7950.0</v>
      </c>
    </row>
    <row r="606">
      <c r="A606" s="18" t="s">
        <v>225</v>
      </c>
      <c r="B606" s="18" t="s">
        <v>45</v>
      </c>
      <c r="C606" s="18" t="s">
        <v>45</v>
      </c>
      <c r="D606" s="18" t="s">
        <v>1702</v>
      </c>
      <c r="E606" s="18" t="s">
        <v>1703</v>
      </c>
      <c r="F606" s="18" t="s">
        <v>228</v>
      </c>
      <c r="G606" s="18">
        <v>9.0</v>
      </c>
      <c r="H606" s="18" t="s">
        <v>45</v>
      </c>
      <c r="I606" s="19">
        <v>3100.0</v>
      </c>
      <c r="J606" s="19">
        <v>4050.0</v>
      </c>
      <c r="K606" s="19">
        <v>3600.0</v>
      </c>
      <c r="L606" s="18" t="s">
        <v>1704</v>
      </c>
      <c r="M606" s="18" t="s">
        <v>1705</v>
      </c>
      <c r="N606" s="18" t="s">
        <v>143</v>
      </c>
      <c r="O606" s="18" t="s">
        <v>161</v>
      </c>
      <c r="P606" s="18" t="s">
        <v>162</v>
      </c>
      <c r="Q606" s="19">
        <v>3300.0</v>
      </c>
    </row>
    <row r="607">
      <c r="A607" s="18" t="s">
        <v>210</v>
      </c>
      <c r="B607" s="18" t="s">
        <v>44</v>
      </c>
      <c r="C607" s="18" t="s">
        <v>180</v>
      </c>
      <c r="D607" s="18" t="s">
        <v>1706</v>
      </c>
      <c r="E607" s="18" t="s">
        <v>1707</v>
      </c>
      <c r="F607" s="18" t="s">
        <v>228</v>
      </c>
      <c r="G607" s="18">
        <v>23.22</v>
      </c>
      <c r="H607" s="18" t="s">
        <v>168</v>
      </c>
      <c r="I607" s="19">
        <v>6700.0</v>
      </c>
      <c r="J607" s="19">
        <v>8750.0</v>
      </c>
      <c r="K607" s="19">
        <v>8050.0</v>
      </c>
      <c r="L607" s="18" t="s">
        <v>1708</v>
      </c>
      <c r="M607" s="18" t="s">
        <v>1709</v>
      </c>
      <c r="N607" s="18" t="s">
        <v>903</v>
      </c>
      <c r="O607" s="18" t="s">
        <v>57</v>
      </c>
      <c r="P607" s="18" t="s">
        <v>63</v>
      </c>
      <c r="Q607" s="19">
        <v>8050.0</v>
      </c>
    </row>
    <row r="608">
      <c r="A608" s="18" t="s">
        <v>191</v>
      </c>
      <c r="B608" s="18" t="s">
        <v>44</v>
      </c>
      <c r="C608" s="18" t="s">
        <v>64</v>
      </c>
      <c r="D608" s="18" t="s">
        <v>194</v>
      </c>
      <c r="E608" s="18" t="s">
        <v>195</v>
      </c>
      <c r="F608" s="18" t="s">
        <v>228</v>
      </c>
      <c r="G608" s="18">
        <v>18.84</v>
      </c>
      <c r="H608" s="18" t="s">
        <v>120</v>
      </c>
      <c r="I608" s="19">
        <v>6200.0</v>
      </c>
      <c r="J608" s="19">
        <v>8100.0</v>
      </c>
      <c r="L608" s="18" t="s">
        <v>3605</v>
      </c>
      <c r="M608" s="18" t="s">
        <v>3606</v>
      </c>
      <c r="N608" s="18" t="s">
        <v>903</v>
      </c>
      <c r="O608" s="18" t="s">
        <v>57</v>
      </c>
      <c r="P608" s="18" t="s">
        <v>48</v>
      </c>
      <c r="Q608" s="19">
        <v>7365.0</v>
      </c>
    </row>
    <row r="609">
      <c r="A609" s="18" t="s">
        <v>216</v>
      </c>
      <c r="B609" s="18" t="s">
        <v>44</v>
      </c>
      <c r="C609" s="18" t="s">
        <v>113</v>
      </c>
      <c r="D609" s="18" t="s">
        <v>219</v>
      </c>
      <c r="E609" s="18" t="s">
        <v>220</v>
      </c>
      <c r="F609" s="18" t="s">
        <v>228</v>
      </c>
      <c r="G609" s="18">
        <v>10.22</v>
      </c>
      <c r="H609" s="18" t="s">
        <v>116</v>
      </c>
      <c r="I609" s="19">
        <v>4173.0</v>
      </c>
      <c r="J609" s="19">
        <v>5850.0</v>
      </c>
      <c r="K609" s="19">
        <v>5050.0</v>
      </c>
      <c r="L609" s="18" t="s">
        <v>3607</v>
      </c>
      <c r="M609" s="18" t="s">
        <v>3608</v>
      </c>
      <c r="N609" s="18" t="s">
        <v>363</v>
      </c>
      <c r="O609" s="18" t="s">
        <v>41</v>
      </c>
      <c r="P609" s="18" t="s">
        <v>42</v>
      </c>
      <c r="Q609" s="19">
        <v>5650.0</v>
      </c>
    </row>
    <row r="610">
      <c r="A610" s="18" t="s">
        <v>191</v>
      </c>
      <c r="B610" s="18" t="s">
        <v>44</v>
      </c>
      <c r="C610" s="18" t="s">
        <v>180</v>
      </c>
      <c r="D610" s="18" t="s">
        <v>1710</v>
      </c>
      <c r="E610" s="18" t="s">
        <v>1711</v>
      </c>
      <c r="F610" s="18" t="s">
        <v>228</v>
      </c>
      <c r="G610" s="18">
        <v>23.01</v>
      </c>
      <c r="H610" s="18" t="s">
        <v>168</v>
      </c>
      <c r="I610" s="19">
        <v>6900.0</v>
      </c>
      <c r="J610" s="19">
        <v>9000.0</v>
      </c>
      <c r="L610" s="18" t="s">
        <v>1712</v>
      </c>
      <c r="M610" s="18" t="s">
        <v>1713</v>
      </c>
      <c r="N610" s="18" t="s">
        <v>240</v>
      </c>
      <c r="O610" s="18" t="s">
        <v>57</v>
      </c>
      <c r="P610" s="18" t="s">
        <v>48</v>
      </c>
      <c r="Q610" s="19">
        <v>8650.0</v>
      </c>
    </row>
    <row r="611">
      <c r="A611" s="18" t="s">
        <v>145</v>
      </c>
      <c r="B611" s="18" t="s">
        <v>44</v>
      </c>
      <c r="C611" s="18" t="s">
        <v>64</v>
      </c>
      <c r="D611" s="18" t="s">
        <v>1714</v>
      </c>
      <c r="E611" s="18" t="s">
        <v>1715</v>
      </c>
      <c r="F611" s="18" t="s">
        <v>228</v>
      </c>
      <c r="G611" s="18">
        <v>17.0</v>
      </c>
      <c r="H611" s="18" t="s">
        <v>56</v>
      </c>
      <c r="I611" s="19">
        <v>9022.0</v>
      </c>
      <c r="J611" s="19">
        <v>9950.0</v>
      </c>
      <c r="K611" s="19">
        <v>10900.0</v>
      </c>
      <c r="L611" s="18" t="s">
        <v>1716</v>
      </c>
      <c r="M611" s="18" t="s">
        <v>1701</v>
      </c>
      <c r="N611" s="18" t="s">
        <v>240</v>
      </c>
      <c r="O611" s="18" t="s">
        <v>151</v>
      </c>
      <c r="P611" s="18" t="s">
        <v>63</v>
      </c>
      <c r="Q611" s="19">
        <v>9500.0</v>
      </c>
    </row>
    <row r="612">
      <c r="A612" s="18" t="s">
        <v>158</v>
      </c>
      <c r="B612" s="18" t="s">
        <v>44</v>
      </c>
      <c r="C612" s="18" t="s">
        <v>133</v>
      </c>
      <c r="D612" s="18" t="s">
        <v>1717</v>
      </c>
      <c r="E612" s="18" t="s">
        <v>1718</v>
      </c>
      <c r="F612" s="18" t="s">
        <v>228</v>
      </c>
      <c r="G612" s="18">
        <v>14.49</v>
      </c>
      <c r="H612" s="18" t="s">
        <v>56</v>
      </c>
      <c r="I612" s="19">
        <v>4667.0</v>
      </c>
      <c r="J612" s="19">
        <v>4700.0</v>
      </c>
      <c r="K612" s="19">
        <v>5650.0</v>
      </c>
      <c r="L612" s="18" t="s">
        <v>1719</v>
      </c>
      <c r="M612" s="18" t="s">
        <v>1720</v>
      </c>
      <c r="N612" s="18" t="s">
        <v>131</v>
      </c>
      <c r="O612" s="18" t="s">
        <v>41</v>
      </c>
      <c r="P612" s="18" t="s">
        <v>162</v>
      </c>
      <c r="Q612" s="19">
        <v>3750.0</v>
      </c>
    </row>
    <row r="613">
      <c r="A613" s="18" t="s">
        <v>1238</v>
      </c>
      <c r="B613" s="18" t="s">
        <v>44</v>
      </c>
      <c r="C613" s="18" t="s">
        <v>1239</v>
      </c>
      <c r="D613" s="18" t="s">
        <v>1721</v>
      </c>
      <c r="E613" s="18" t="s">
        <v>1722</v>
      </c>
      <c r="F613" s="18" t="s">
        <v>228</v>
      </c>
      <c r="G613" s="18">
        <v>52.23</v>
      </c>
      <c r="H613" s="18" t="s">
        <v>471</v>
      </c>
      <c r="I613" s="19">
        <v>6949.0</v>
      </c>
      <c r="J613" s="19">
        <v>9050.0</v>
      </c>
      <c r="L613" s="18" t="s">
        <v>1723</v>
      </c>
      <c r="M613" s="18" t="s">
        <v>1724</v>
      </c>
      <c r="N613" s="18" t="s">
        <v>1146</v>
      </c>
      <c r="O613" s="18" t="s">
        <v>57</v>
      </c>
      <c r="P613" s="18" t="s">
        <v>144</v>
      </c>
      <c r="Q613" s="19">
        <v>7900.0</v>
      </c>
    </row>
    <row r="614">
      <c r="A614" s="18" t="s">
        <v>154</v>
      </c>
      <c r="B614" s="18" t="s">
        <v>44</v>
      </c>
      <c r="C614" s="18" t="s">
        <v>53</v>
      </c>
      <c r="D614" s="18" t="s">
        <v>1725</v>
      </c>
      <c r="E614" s="18" t="s">
        <v>1726</v>
      </c>
      <c r="F614" s="18" t="s">
        <v>228</v>
      </c>
      <c r="G614" s="18">
        <v>16.0</v>
      </c>
      <c r="H614" s="18" t="s">
        <v>56</v>
      </c>
      <c r="I614" s="19">
        <v>4799.0</v>
      </c>
      <c r="J614" s="19">
        <v>6750.0</v>
      </c>
      <c r="K614" s="19">
        <v>5800.0</v>
      </c>
      <c r="L614" s="18" t="s">
        <v>1727</v>
      </c>
      <c r="M614" s="18" t="s">
        <v>265</v>
      </c>
      <c r="N614" s="18" t="s">
        <v>240</v>
      </c>
      <c r="O614" s="18" t="s">
        <v>151</v>
      </c>
      <c r="P614" s="18" t="s">
        <v>157</v>
      </c>
      <c r="Q614" s="19">
        <v>6250.0</v>
      </c>
    </row>
    <row r="615">
      <c r="A615" s="18" t="s">
        <v>912</v>
      </c>
      <c r="B615" s="18" t="s">
        <v>44</v>
      </c>
      <c r="C615" s="18" t="s">
        <v>53</v>
      </c>
      <c r="D615" s="18" t="s">
        <v>1728</v>
      </c>
      <c r="E615" s="18" t="s">
        <v>1729</v>
      </c>
      <c r="F615" s="18" t="s">
        <v>228</v>
      </c>
      <c r="G615" s="18">
        <v>16.05</v>
      </c>
      <c r="H615" s="18" t="s">
        <v>120</v>
      </c>
      <c r="I615" s="19">
        <v>4900.0</v>
      </c>
      <c r="J615" s="19">
        <v>6150.0</v>
      </c>
      <c r="K615" s="19">
        <v>5700.0</v>
      </c>
      <c r="L615" s="18" t="s">
        <v>1730</v>
      </c>
      <c r="M615" s="18" t="s">
        <v>265</v>
      </c>
      <c r="N615" s="18" t="s">
        <v>240</v>
      </c>
      <c r="O615" s="18" t="s">
        <v>41</v>
      </c>
      <c r="P615" s="18" t="s">
        <v>917</v>
      </c>
      <c r="Q615" s="19">
        <v>5650.0</v>
      </c>
    </row>
    <row r="616">
      <c r="A616" s="18" t="s">
        <v>1238</v>
      </c>
      <c r="B616" s="18" t="s">
        <v>44</v>
      </c>
      <c r="C616" s="18" t="s">
        <v>37</v>
      </c>
      <c r="D616" s="18" t="s">
        <v>1731</v>
      </c>
      <c r="E616" s="18" t="s">
        <v>1732</v>
      </c>
      <c r="F616" s="18" t="s">
        <v>228</v>
      </c>
      <c r="G616" s="18">
        <v>41.59</v>
      </c>
      <c r="H616" s="18" t="s">
        <v>471</v>
      </c>
      <c r="I616" s="19">
        <v>6563.0</v>
      </c>
      <c r="J616" s="19">
        <v>8550.0</v>
      </c>
      <c r="L616" s="18" t="s">
        <v>1733</v>
      </c>
      <c r="M616" s="18" t="s">
        <v>1384</v>
      </c>
      <c r="N616" s="18" t="s">
        <v>240</v>
      </c>
      <c r="O616" s="18" t="s">
        <v>57</v>
      </c>
      <c r="P616" s="18" t="s">
        <v>144</v>
      </c>
      <c r="Q616" s="19">
        <v>7900.0</v>
      </c>
    </row>
    <row r="617">
      <c r="A617" s="18" t="s">
        <v>165</v>
      </c>
      <c r="B617" s="18" t="s">
        <v>45</v>
      </c>
      <c r="C617" s="18" t="s">
        <v>45</v>
      </c>
      <c r="D617" s="18" t="s">
        <v>1734</v>
      </c>
      <c r="E617" s="18" t="s">
        <v>1735</v>
      </c>
      <c r="F617" s="18" t="s">
        <v>228</v>
      </c>
      <c r="G617" s="18">
        <v>13.53</v>
      </c>
      <c r="H617" s="18" t="s">
        <v>45</v>
      </c>
      <c r="I617" s="19">
        <v>1892.0</v>
      </c>
      <c r="J617" s="19">
        <v>2300.0</v>
      </c>
      <c r="K617" s="19">
        <v>2300.0</v>
      </c>
      <c r="L617" s="18" t="s">
        <v>1736</v>
      </c>
      <c r="M617" s="18" t="s">
        <v>1737</v>
      </c>
      <c r="N617" s="18" t="s">
        <v>240</v>
      </c>
      <c r="O617" s="18" t="s">
        <v>41</v>
      </c>
      <c r="Q617" s="19">
        <v>3000.0</v>
      </c>
    </row>
    <row r="618">
      <c r="A618" s="18" t="s">
        <v>158</v>
      </c>
      <c r="B618" s="18" t="s">
        <v>44</v>
      </c>
      <c r="C618" s="18" t="s">
        <v>64</v>
      </c>
      <c r="D618" s="18" t="s">
        <v>1738</v>
      </c>
      <c r="E618" s="18" t="s">
        <v>1739</v>
      </c>
      <c r="F618" s="18" t="s">
        <v>228</v>
      </c>
      <c r="G618" s="18">
        <v>17.93</v>
      </c>
      <c r="H618" s="18" t="s">
        <v>120</v>
      </c>
      <c r="I618" s="19">
        <v>5516.0</v>
      </c>
      <c r="J618" s="19">
        <v>5550.0</v>
      </c>
      <c r="K618" s="19">
        <v>6700.0</v>
      </c>
      <c r="L618" s="18" t="s">
        <v>1740</v>
      </c>
      <c r="M618" s="18" t="s">
        <v>1017</v>
      </c>
      <c r="N618" s="18" t="s">
        <v>403</v>
      </c>
      <c r="O618" s="18" t="s">
        <v>41</v>
      </c>
      <c r="P618" s="18" t="s">
        <v>162</v>
      </c>
      <c r="Q618" s="19">
        <v>4950.0</v>
      </c>
    </row>
    <row r="619">
      <c r="A619" s="18" t="s">
        <v>216</v>
      </c>
      <c r="B619" s="18" t="s">
        <v>44</v>
      </c>
      <c r="C619" s="18" t="s">
        <v>133</v>
      </c>
      <c r="D619" s="18" t="s">
        <v>2933</v>
      </c>
      <c r="E619" s="18" t="s">
        <v>2934</v>
      </c>
      <c r="F619" s="18" t="s">
        <v>228</v>
      </c>
      <c r="G619" s="18">
        <v>14.46</v>
      </c>
      <c r="H619" s="18" t="s">
        <v>56</v>
      </c>
      <c r="I619" s="19">
        <v>5323.0</v>
      </c>
      <c r="J619" s="19">
        <v>7500.0</v>
      </c>
      <c r="K619" s="19">
        <v>6450.0</v>
      </c>
      <c r="L619" s="18" t="s">
        <v>3609</v>
      </c>
      <c r="M619" s="18" t="s">
        <v>3610</v>
      </c>
      <c r="N619" s="18" t="s">
        <v>1657</v>
      </c>
      <c r="O619" s="18" t="s">
        <v>83</v>
      </c>
      <c r="P619" s="18" t="s">
        <v>42</v>
      </c>
      <c r="Q619" s="19">
        <v>7200.0</v>
      </c>
    </row>
    <row r="620">
      <c r="A620" s="18" t="s">
        <v>201</v>
      </c>
      <c r="B620" s="18" t="s">
        <v>44</v>
      </c>
      <c r="C620" s="18" t="s">
        <v>113</v>
      </c>
      <c r="D620" s="18" t="s">
        <v>2420</v>
      </c>
      <c r="E620" s="18" t="s">
        <v>2421</v>
      </c>
      <c r="F620" s="18" t="s">
        <v>228</v>
      </c>
      <c r="G620" s="18">
        <v>12.59</v>
      </c>
      <c r="H620" s="18" t="s">
        <v>116</v>
      </c>
      <c r="I620" s="19">
        <v>2600.0</v>
      </c>
      <c r="J620" s="19">
        <v>3150.0</v>
      </c>
      <c r="K620" s="19">
        <v>3000.0</v>
      </c>
      <c r="L620" s="18" t="s">
        <v>3611</v>
      </c>
      <c r="M620" s="18" t="s">
        <v>3612</v>
      </c>
      <c r="N620" s="18" t="s">
        <v>363</v>
      </c>
      <c r="O620" s="18" t="s">
        <v>57</v>
      </c>
      <c r="Q620" s="19">
        <v>3150.0</v>
      </c>
    </row>
    <row r="621">
      <c r="A621" s="18" t="s">
        <v>138</v>
      </c>
      <c r="B621" s="18" t="s">
        <v>45</v>
      </c>
      <c r="C621" s="18" t="s">
        <v>45</v>
      </c>
      <c r="D621" s="18" t="s">
        <v>1749</v>
      </c>
      <c r="E621" s="18" t="s">
        <v>1750</v>
      </c>
      <c r="F621" s="18" t="s">
        <v>228</v>
      </c>
      <c r="G621" s="18">
        <v>9.23</v>
      </c>
      <c r="H621" s="18" t="s">
        <v>45</v>
      </c>
      <c r="I621" s="19">
        <v>1652.0</v>
      </c>
      <c r="J621" s="19">
        <v>2400.0</v>
      </c>
      <c r="K621" s="19">
        <v>2050.0</v>
      </c>
      <c r="L621" s="18" t="s">
        <v>1751</v>
      </c>
      <c r="M621" s="18" t="s">
        <v>1752</v>
      </c>
      <c r="N621" s="18" t="s">
        <v>143</v>
      </c>
      <c r="O621" s="18" t="s">
        <v>41</v>
      </c>
      <c r="P621" s="18" t="s">
        <v>144</v>
      </c>
      <c r="Q621" s="19">
        <v>2150.0</v>
      </c>
    </row>
    <row r="622">
      <c r="A622" s="18" t="s">
        <v>201</v>
      </c>
      <c r="B622" s="18" t="s">
        <v>45</v>
      </c>
      <c r="C622" s="18" t="s">
        <v>45</v>
      </c>
      <c r="D622" s="18" t="s">
        <v>1753</v>
      </c>
      <c r="E622" s="18" t="s">
        <v>1754</v>
      </c>
      <c r="F622" s="18" t="s">
        <v>228</v>
      </c>
      <c r="G622" s="18">
        <v>10.96</v>
      </c>
      <c r="H622" s="18" t="s">
        <v>45</v>
      </c>
      <c r="I622" s="19">
        <v>1900.0</v>
      </c>
      <c r="J622" s="19">
        <v>2300.0</v>
      </c>
      <c r="K622" s="19">
        <v>2300.0</v>
      </c>
      <c r="L622" s="18" t="s">
        <v>1755</v>
      </c>
      <c r="M622" s="18" t="s">
        <v>1756</v>
      </c>
      <c r="N622" s="18" t="s">
        <v>143</v>
      </c>
      <c r="O622" s="18" t="s">
        <v>41</v>
      </c>
      <c r="Q622" s="19">
        <v>1957.0</v>
      </c>
    </row>
    <row r="623">
      <c r="A623" s="18" t="s">
        <v>154</v>
      </c>
      <c r="B623" s="18" t="s">
        <v>45</v>
      </c>
      <c r="C623" s="18" t="s">
        <v>45</v>
      </c>
      <c r="D623" s="18" t="s">
        <v>187</v>
      </c>
      <c r="E623" s="18" t="s">
        <v>188</v>
      </c>
      <c r="F623" s="18" t="s">
        <v>228</v>
      </c>
      <c r="G623" s="18">
        <v>11.0</v>
      </c>
      <c r="H623" s="18" t="s">
        <v>45</v>
      </c>
      <c r="I623" s="19">
        <v>3580.0</v>
      </c>
      <c r="J623" s="19">
        <v>5050.0</v>
      </c>
      <c r="K623" s="19">
        <v>4350.0</v>
      </c>
      <c r="L623" s="18" t="s">
        <v>3613</v>
      </c>
      <c r="M623" s="18" t="s">
        <v>3597</v>
      </c>
      <c r="N623" s="18" t="s">
        <v>403</v>
      </c>
      <c r="O623" s="18" t="s">
        <v>151</v>
      </c>
      <c r="P623" s="18" t="s">
        <v>157</v>
      </c>
      <c r="Q623" s="19">
        <v>4700.0</v>
      </c>
    </row>
    <row r="624">
      <c r="A624" s="18" t="s">
        <v>201</v>
      </c>
      <c r="B624" s="18" t="s">
        <v>44</v>
      </c>
      <c r="C624" s="18" t="s">
        <v>133</v>
      </c>
      <c r="D624" s="18" t="s">
        <v>1757</v>
      </c>
      <c r="E624" s="18" t="s">
        <v>1758</v>
      </c>
      <c r="F624" s="18" t="s">
        <v>228</v>
      </c>
      <c r="G624" s="18">
        <v>13.42</v>
      </c>
      <c r="H624" s="18" t="s">
        <v>56</v>
      </c>
      <c r="I624" s="19">
        <v>2800.0</v>
      </c>
      <c r="J624" s="19">
        <v>3400.0</v>
      </c>
      <c r="K624" s="19">
        <v>3250.0</v>
      </c>
      <c r="L624" s="18" t="s">
        <v>1759</v>
      </c>
      <c r="M624" s="18" t="s">
        <v>1760</v>
      </c>
      <c r="N624" s="18" t="s">
        <v>131</v>
      </c>
      <c r="O624" s="18" t="s">
        <v>57</v>
      </c>
      <c r="Q624" s="19">
        <v>3400.0</v>
      </c>
    </row>
    <row r="625">
      <c r="A625" s="18" t="s">
        <v>158</v>
      </c>
      <c r="B625" s="18" t="s">
        <v>45</v>
      </c>
      <c r="C625" s="18" t="s">
        <v>45</v>
      </c>
      <c r="D625" s="18" t="s">
        <v>1761</v>
      </c>
      <c r="E625" s="18" t="s">
        <v>1762</v>
      </c>
      <c r="F625" s="18" t="s">
        <v>228</v>
      </c>
      <c r="G625" s="18">
        <v>8.0</v>
      </c>
      <c r="H625" s="18" t="s">
        <v>45</v>
      </c>
      <c r="I625" s="19">
        <v>2542.0</v>
      </c>
      <c r="J625" s="19">
        <v>2550.0</v>
      </c>
      <c r="K625" s="19">
        <v>3100.0</v>
      </c>
      <c r="L625" s="18" t="s">
        <v>1763</v>
      </c>
      <c r="M625" s="18" t="s">
        <v>1764</v>
      </c>
      <c r="N625" s="18" t="s">
        <v>903</v>
      </c>
      <c r="O625" s="18" t="s">
        <v>41</v>
      </c>
      <c r="P625" s="18" t="s">
        <v>162</v>
      </c>
      <c r="Q625" s="19">
        <v>2050.0</v>
      </c>
    </row>
    <row r="626">
      <c r="A626" s="18" t="s">
        <v>158</v>
      </c>
      <c r="B626" s="18" t="s">
        <v>44</v>
      </c>
      <c r="C626" s="18" t="s">
        <v>133</v>
      </c>
      <c r="D626" s="18" t="s">
        <v>2658</v>
      </c>
      <c r="E626" s="18" t="s">
        <v>2659</v>
      </c>
      <c r="F626" s="18" t="s">
        <v>228</v>
      </c>
      <c r="G626" s="18">
        <v>14.52</v>
      </c>
      <c r="H626" s="18" t="s">
        <v>56</v>
      </c>
      <c r="I626" s="19">
        <v>4666.0</v>
      </c>
      <c r="J626" s="19">
        <v>4700.0</v>
      </c>
      <c r="K626" s="19">
        <v>5650.0</v>
      </c>
      <c r="L626" s="18" t="s">
        <v>3614</v>
      </c>
      <c r="M626" s="18" t="s">
        <v>3615</v>
      </c>
      <c r="N626" s="18" t="s">
        <v>131</v>
      </c>
      <c r="O626" s="18" t="s">
        <v>41</v>
      </c>
      <c r="P626" s="18" t="s">
        <v>162</v>
      </c>
      <c r="Q626" s="19">
        <v>3750.0</v>
      </c>
    </row>
    <row r="627">
      <c r="A627" s="18" t="s">
        <v>1596</v>
      </c>
      <c r="B627" s="18" t="s">
        <v>44</v>
      </c>
      <c r="C627" s="18" t="s">
        <v>1781</v>
      </c>
      <c r="D627" s="18" t="s">
        <v>1782</v>
      </c>
      <c r="E627" s="18" t="s">
        <v>1783</v>
      </c>
      <c r="F627" s="18" t="s">
        <v>228</v>
      </c>
      <c r="G627" s="18">
        <v>34.12</v>
      </c>
      <c r="H627" s="18" t="s">
        <v>168</v>
      </c>
      <c r="I627" s="19">
        <v>6200.0</v>
      </c>
      <c r="J627" s="19">
        <v>6550.0</v>
      </c>
      <c r="L627" s="18" t="s">
        <v>1784</v>
      </c>
      <c r="M627" s="18" t="s">
        <v>1785</v>
      </c>
      <c r="N627" s="18" t="s">
        <v>131</v>
      </c>
      <c r="O627" s="18" t="s">
        <v>57</v>
      </c>
      <c r="P627" s="18" t="s">
        <v>162</v>
      </c>
      <c r="Q627" s="19">
        <v>3742.8</v>
      </c>
    </row>
    <row r="628">
      <c r="A628" s="18" t="s">
        <v>1596</v>
      </c>
      <c r="B628" s="18" t="s">
        <v>44</v>
      </c>
      <c r="C628" s="18" t="s">
        <v>151</v>
      </c>
      <c r="D628" s="18" t="s">
        <v>1786</v>
      </c>
      <c r="E628" s="18" t="s">
        <v>1787</v>
      </c>
      <c r="F628" s="18" t="s">
        <v>228</v>
      </c>
      <c r="G628" s="18">
        <v>25.48</v>
      </c>
      <c r="H628" s="18" t="s">
        <v>168</v>
      </c>
      <c r="I628" s="19">
        <v>5096.0</v>
      </c>
      <c r="J628" s="19">
        <v>5400.0</v>
      </c>
      <c r="L628" s="18" t="s">
        <v>1788</v>
      </c>
      <c r="M628" s="18" t="s">
        <v>1789</v>
      </c>
      <c r="N628" s="18" t="s">
        <v>131</v>
      </c>
      <c r="O628" s="18" t="s">
        <v>41</v>
      </c>
      <c r="P628" s="18" t="s">
        <v>162</v>
      </c>
      <c r="Q628" s="19">
        <v>3085.7</v>
      </c>
    </row>
    <row r="629">
      <c r="A629" s="18" t="s">
        <v>1596</v>
      </c>
      <c r="B629" s="18" t="s">
        <v>44</v>
      </c>
      <c r="C629" s="18" t="s">
        <v>1239</v>
      </c>
      <c r="D629" s="18" t="s">
        <v>1790</v>
      </c>
      <c r="E629" s="18" t="s">
        <v>1791</v>
      </c>
      <c r="F629" s="18" t="s">
        <v>228</v>
      </c>
      <c r="G629" s="18">
        <v>40.31</v>
      </c>
      <c r="H629" s="18" t="s">
        <v>168</v>
      </c>
      <c r="I629" s="19">
        <v>6938.0</v>
      </c>
      <c r="J629" s="19">
        <v>7300.0</v>
      </c>
      <c r="L629" s="18" t="s">
        <v>1792</v>
      </c>
      <c r="M629" s="18" t="s">
        <v>1793</v>
      </c>
      <c r="N629" s="18" t="s">
        <v>131</v>
      </c>
      <c r="O629" s="18" t="s">
        <v>41</v>
      </c>
      <c r="P629" s="18" t="s">
        <v>162</v>
      </c>
      <c r="Q629" s="19">
        <v>4171.4</v>
      </c>
    </row>
    <row r="630">
      <c r="A630" s="18" t="s">
        <v>1596</v>
      </c>
      <c r="B630" s="18" t="s">
        <v>44</v>
      </c>
      <c r="C630" s="18" t="s">
        <v>1239</v>
      </c>
      <c r="D630" s="18" t="s">
        <v>1794</v>
      </c>
      <c r="E630" s="18" t="s">
        <v>1795</v>
      </c>
      <c r="F630" s="18" t="s">
        <v>228</v>
      </c>
      <c r="G630" s="18">
        <v>40.65</v>
      </c>
      <c r="H630" s="18" t="s">
        <v>168</v>
      </c>
      <c r="I630" s="19">
        <v>6938.0</v>
      </c>
      <c r="J630" s="19">
        <v>7300.0</v>
      </c>
      <c r="L630" s="18" t="s">
        <v>1796</v>
      </c>
      <c r="M630" s="18" t="s">
        <v>1797</v>
      </c>
      <c r="N630" s="18" t="s">
        <v>131</v>
      </c>
      <c r="O630" s="18" t="s">
        <v>57</v>
      </c>
      <c r="P630" s="18" t="s">
        <v>162</v>
      </c>
      <c r="Q630" s="19">
        <v>4171.4</v>
      </c>
    </row>
    <row r="631">
      <c r="A631" s="18" t="s">
        <v>1596</v>
      </c>
      <c r="B631" s="18" t="s">
        <v>44</v>
      </c>
      <c r="C631" s="18" t="s">
        <v>1781</v>
      </c>
      <c r="D631" s="18" t="s">
        <v>1798</v>
      </c>
      <c r="E631" s="18" t="s">
        <v>1799</v>
      </c>
      <c r="F631" s="18" t="s">
        <v>228</v>
      </c>
      <c r="G631" s="18">
        <v>34.13</v>
      </c>
      <c r="H631" s="18" t="s">
        <v>168</v>
      </c>
      <c r="I631" s="19">
        <v>6200.0</v>
      </c>
      <c r="J631" s="19">
        <v>6550.0</v>
      </c>
      <c r="L631" s="18" t="s">
        <v>1800</v>
      </c>
      <c r="M631" s="18" t="s">
        <v>1801</v>
      </c>
      <c r="N631" s="18" t="s">
        <v>131</v>
      </c>
      <c r="O631" s="18" t="s">
        <v>57</v>
      </c>
      <c r="P631" s="18" t="s">
        <v>162</v>
      </c>
      <c r="Q631" s="19">
        <v>3742.8</v>
      </c>
    </row>
    <row r="632">
      <c r="A632" s="18" t="s">
        <v>1596</v>
      </c>
      <c r="B632" s="18" t="s">
        <v>44</v>
      </c>
      <c r="C632" s="18" t="s">
        <v>1239</v>
      </c>
      <c r="D632" s="18" t="s">
        <v>1802</v>
      </c>
      <c r="E632" s="18" t="s">
        <v>1803</v>
      </c>
      <c r="F632" s="18" t="s">
        <v>228</v>
      </c>
      <c r="G632" s="18">
        <v>45.93</v>
      </c>
      <c r="H632" s="18" t="s">
        <v>168</v>
      </c>
      <c r="I632" s="19">
        <v>6938.0</v>
      </c>
      <c r="J632" s="19">
        <v>7300.0</v>
      </c>
      <c r="L632" s="18" t="s">
        <v>1804</v>
      </c>
      <c r="M632" s="18" t="s">
        <v>1805</v>
      </c>
      <c r="N632" s="18" t="s">
        <v>131</v>
      </c>
      <c r="O632" s="18" t="s">
        <v>57</v>
      </c>
      <c r="P632" s="18" t="s">
        <v>162</v>
      </c>
      <c r="Q632" s="19">
        <v>4171.4</v>
      </c>
    </row>
    <row r="633">
      <c r="A633" s="18" t="s">
        <v>225</v>
      </c>
      <c r="B633" s="18" t="s">
        <v>44</v>
      </c>
      <c r="C633" s="18" t="s">
        <v>53</v>
      </c>
      <c r="D633" s="18" t="s">
        <v>1806</v>
      </c>
      <c r="E633" s="18" t="s">
        <v>1807</v>
      </c>
      <c r="F633" s="18" t="s">
        <v>228</v>
      </c>
      <c r="G633" s="18">
        <v>15.1</v>
      </c>
      <c r="H633" s="18" t="s">
        <v>120</v>
      </c>
      <c r="I633" s="19">
        <v>5150.0</v>
      </c>
      <c r="J633" s="19">
        <v>6700.0</v>
      </c>
      <c r="K633" s="19">
        <v>6000.0</v>
      </c>
      <c r="L633" s="18" t="s">
        <v>1808</v>
      </c>
      <c r="M633" s="18" t="s">
        <v>1809</v>
      </c>
      <c r="N633" s="18" t="s">
        <v>131</v>
      </c>
      <c r="O633" s="18" t="s">
        <v>161</v>
      </c>
      <c r="P633" s="18" t="s">
        <v>162</v>
      </c>
      <c r="Q633" s="19">
        <v>4365.0</v>
      </c>
    </row>
    <row r="634">
      <c r="A634" s="18" t="s">
        <v>132</v>
      </c>
      <c r="B634" s="18" t="s">
        <v>45</v>
      </c>
      <c r="C634" s="18" t="s">
        <v>45</v>
      </c>
      <c r="D634" s="18" t="s">
        <v>1810</v>
      </c>
      <c r="E634" s="18" t="s">
        <v>1811</v>
      </c>
      <c r="F634" s="18" t="s">
        <v>228</v>
      </c>
      <c r="G634" s="18">
        <v>10.93</v>
      </c>
      <c r="H634" s="18" t="s">
        <v>400</v>
      </c>
      <c r="I634" s="19">
        <v>1822.08</v>
      </c>
      <c r="J634" s="19">
        <v>1500.0</v>
      </c>
      <c r="K634" s="19">
        <v>2200.0</v>
      </c>
      <c r="L634" s="18" t="s">
        <v>1812</v>
      </c>
      <c r="M634" s="18" t="s">
        <v>1813</v>
      </c>
      <c r="N634" s="18" t="s">
        <v>143</v>
      </c>
      <c r="O634" s="18" t="s">
        <v>57</v>
      </c>
      <c r="Q634" s="19">
        <v>1500.0</v>
      </c>
    </row>
    <row r="635">
      <c r="A635" s="18" t="s">
        <v>43</v>
      </c>
      <c r="B635" s="18" t="s">
        <v>44</v>
      </c>
      <c r="C635" s="18" t="s">
        <v>133</v>
      </c>
      <c r="D635" s="18" t="s">
        <v>189</v>
      </c>
      <c r="E635" s="18" t="s">
        <v>190</v>
      </c>
      <c r="F635" s="18" t="s">
        <v>228</v>
      </c>
      <c r="G635" s="18">
        <v>14.04</v>
      </c>
      <c r="H635" s="18" t="s">
        <v>56</v>
      </c>
      <c r="I635" s="19">
        <v>6000.0</v>
      </c>
      <c r="J635" s="19">
        <v>7200.0</v>
      </c>
      <c r="L635" s="18" t="s">
        <v>3616</v>
      </c>
      <c r="M635" s="18" t="s">
        <v>3617</v>
      </c>
      <c r="N635" s="18" t="s">
        <v>143</v>
      </c>
      <c r="O635" s="18" t="s">
        <v>41</v>
      </c>
      <c r="P635" s="18" t="s">
        <v>48</v>
      </c>
      <c r="Q635" s="19">
        <v>6900.0</v>
      </c>
    </row>
    <row r="636">
      <c r="A636" s="18" t="s">
        <v>216</v>
      </c>
      <c r="B636" s="18" t="s">
        <v>45</v>
      </c>
      <c r="C636" s="18" t="s">
        <v>45</v>
      </c>
      <c r="D636" s="18" t="s">
        <v>1814</v>
      </c>
      <c r="E636" s="18" t="s">
        <v>1815</v>
      </c>
      <c r="F636" s="18" t="s">
        <v>228</v>
      </c>
      <c r="G636" s="18">
        <v>8.39</v>
      </c>
      <c r="H636" s="18" t="s">
        <v>45</v>
      </c>
      <c r="I636" s="19">
        <v>3194.0</v>
      </c>
      <c r="J636" s="19">
        <v>4500.0</v>
      </c>
      <c r="K636" s="19">
        <v>3850.0</v>
      </c>
      <c r="L636" s="18" t="s">
        <v>1816</v>
      </c>
      <c r="M636" s="18" t="s">
        <v>1817</v>
      </c>
      <c r="N636" s="18" t="s">
        <v>1657</v>
      </c>
      <c r="O636" s="18" t="s">
        <v>83</v>
      </c>
      <c r="P636" s="18" t="s">
        <v>42</v>
      </c>
      <c r="Q636" s="19">
        <v>4400.0</v>
      </c>
    </row>
    <row r="637">
      <c r="A637" s="18" t="s">
        <v>282</v>
      </c>
      <c r="B637" s="18" t="s">
        <v>44</v>
      </c>
      <c r="C637" s="18" t="s">
        <v>76</v>
      </c>
      <c r="D637" s="18" t="s">
        <v>1818</v>
      </c>
      <c r="E637" s="18" t="s">
        <v>1819</v>
      </c>
      <c r="F637" s="18" t="s">
        <v>228</v>
      </c>
      <c r="G637" s="18">
        <v>20.59</v>
      </c>
      <c r="H637" s="18" t="s">
        <v>168</v>
      </c>
      <c r="I637" s="19">
        <v>6499.0</v>
      </c>
      <c r="J637" s="19">
        <v>7800.0</v>
      </c>
      <c r="K637" s="19">
        <v>7800.0</v>
      </c>
      <c r="L637" s="18" t="s">
        <v>1820</v>
      </c>
      <c r="M637" s="18" t="s">
        <v>1821</v>
      </c>
      <c r="N637" s="18" t="s">
        <v>240</v>
      </c>
      <c r="O637" s="18" t="s">
        <v>41</v>
      </c>
      <c r="P637" s="18" t="s">
        <v>63</v>
      </c>
      <c r="Q637" s="19">
        <v>7350.0</v>
      </c>
    </row>
    <row r="638">
      <c r="A638" s="18" t="s">
        <v>49</v>
      </c>
      <c r="B638" s="18" t="s">
        <v>44</v>
      </c>
      <c r="C638" s="18" t="s">
        <v>180</v>
      </c>
      <c r="D638" s="18" t="s">
        <v>1827</v>
      </c>
      <c r="E638" s="18" t="s">
        <v>1828</v>
      </c>
      <c r="F638" s="18" t="s">
        <v>228</v>
      </c>
      <c r="G638" s="18">
        <v>22.86</v>
      </c>
      <c r="H638" s="18" t="s">
        <v>168</v>
      </c>
      <c r="I638" s="19">
        <v>8300.0</v>
      </c>
      <c r="J638" s="19">
        <v>9550.0</v>
      </c>
      <c r="K638" s="19">
        <v>10000.0</v>
      </c>
      <c r="L638" s="18" t="s">
        <v>1829</v>
      </c>
      <c r="M638" s="18" t="s">
        <v>1634</v>
      </c>
      <c r="N638" s="18" t="s">
        <v>403</v>
      </c>
      <c r="O638" s="18" t="s">
        <v>57</v>
      </c>
      <c r="P638" s="18" t="s">
        <v>48</v>
      </c>
      <c r="Q638" s="19">
        <v>9550.0</v>
      </c>
    </row>
    <row r="639">
      <c r="A639" s="18" t="s">
        <v>154</v>
      </c>
      <c r="B639" s="18" t="s">
        <v>45</v>
      </c>
      <c r="C639" s="18" t="s">
        <v>45</v>
      </c>
      <c r="D639" s="18" t="s">
        <v>2845</v>
      </c>
      <c r="E639" s="18" t="s">
        <v>2846</v>
      </c>
      <c r="F639" s="18" t="s">
        <v>228</v>
      </c>
      <c r="G639" s="18">
        <v>11.0</v>
      </c>
      <c r="H639" s="18" t="s">
        <v>45</v>
      </c>
      <c r="I639" s="19">
        <v>3580.0</v>
      </c>
      <c r="J639" s="19">
        <v>5050.0</v>
      </c>
      <c r="K639" s="19">
        <v>4350.0</v>
      </c>
      <c r="L639" s="18" t="s">
        <v>3618</v>
      </c>
      <c r="M639" s="18" t="s">
        <v>1198</v>
      </c>
      <c r="N639" s="18" t="s">
        <v>403</v>
      </c>
      <c r="O639" s="18" t="s">
        <v>151</v>
      </c>
      <c r="P639" s="18" t="s">
        <v>157</v>
      </c>
      <c r="Q639" s="19">
        <v>4850.0</v>
      </c>
    </row>
    <row r="640">
      <c r="A640" s="18" t="s">
        <v>138</v>
      </c>
      <c r="B640" s="18" t="s">
        <v>45</v>
      </c>
      <c r="C640" s="18" t="s">
        <v>45</v>
      </c>
      <c r="D640" s="18" t="s">
        <v>1830</v>
      </c>
      <c r="E640" s="18" t="s">
        <v>1831</v>
      </c>
      <c r="F640" s="18" t="s">
        <v>228</v>
      </c>
      <c r="G640" s="18">
        <v>9.21</v>
      </c>
      <c r="H640" s="18" t="s">
        <v>45</v>
      </c>
      <c r="I640" s="19">
        <v>1652.0</v>
      </c>
      <c r="J640" s="19">
        <v>2400.0</v>
      </c>
      <c r="K640" s="19">
        <v>2050.0</v>
      </c>
      <c r="L640" s="18" t="s">
        <v>1832</v>
      </c>
      <c r="M640" s="18" t="s">
        <v>1833</v>
      </c>
      <c r="N640" s="18" t="s">
        <v>403</v>
      </c>
      <c r="O640" s="18" t="s">
        <v>41</v>
      </c>
      <c r="P640" s="18" t="s">
        <v>144</v>
      </c>
      <c r="Q640" s="19">
        <v>2150.0</v>
      </c>
    </row>
    <row r="641">
      <c r="A641" s="18" t="s">
        <v>1238</v>
      </c>
      <c r="B641" s="18" t="s">
        <v>44</v>
      </c>
      <c r="C641" s="18" t="s">
        <v>1834</v>
      </c>
      <c r="D641" s="18" t="s">
        <v>1835</v>
      </c>
      <c r="E641" s="18" t="s">
        <v>1836</v>
      </c>
      <c r="F641" s="18" t="s">
        <v>228</v>
      </c>
      <c r="G641" s="18">
        <v>58.23</v>
      </c>
      <c r="H641" s="18" t="s">
        <v>471</v>
      </c>
      <c r="I641" s="19">
        <v>7800.0</v>
      </c>
      <c r="J641" s="19">
        <v>10150.0</v>
      </c>
      <c r="L641" s="18" t="s">
        <v>1837</v>
      </c>
      <c r="M641" s="18" t="s">
        <v>1838</v>
      </c>
      <c r="N641" s="18" t="s">
        <v>806</v>
      </c>
      <c r="O641" s="18" t="s">
        <v>57</v>
      </c>
      <c r="P641" s="18" t="s">
        <v>144</v>
      </c>
      <c r="Q641" s="19">
        <v>8800.0</v>
      </c>
    </row>
    <row r="642">
      <c r="A642" s="18" t="s">
        <v>171</v>
      </c>
      <c r="B642" s="18" t="s">
        <v>44</v>
      </c>
      <c r="C642" s="18" t="s">
        <v>113</v>
      </c>
      <c r="D642" s="18" t="s">
        <v>1839</v>
      </c>
      <c r="E642" s="18" t="s">
        <v>1840</v>
      </c>
      <c r="F642" s="18" t="s">
        <v>228</v>
      </c>
      <c r="G642" s="18">
        <v>9.57</v>
      </c>
      <c r="H642" s="18" t="s">
        <v>116</v>
      </c>
      <c r="I642" s="19">
        <v>2990.0</v>
      </c>
      <c r="J642" s="19">
        <v>3450.0</v>
      </c>
      <c r="K642" s="19">
        <v>3600.0</v>
      </c>
      <c r="L642" s="18" t="s">
        <v>1841</v>
      </c>
      <c r="M642" s="18" t="s">
        <v>1842</v>
      </c>
      <c r="N642" s="18" t="s">
        <v>363</v>
      </c>
      <c r="O642" s="18" t="s">
        <v>41</v>
      </c>
      <c r="Q642" s="19">
        <v>3150.0</v>
      </c>
    </row>
    <row r="643">
      <c r="A643" s="18" t="s">
        <v>165</v>
      </c>
      <c r="B643" s="18" t="s">
        <v>44</v>
      </c>
      <c r="C643" s="18" t="s">
        <v>180</v>
      </c>
      <c r="D643" s="18" t="s">
        <v>1843</v>
      </c>
      <c r="E643" s="18" t="s">
        <v>1844</v>
      </c>
      <c r="F643" s="18" t="s">
        <v>228</v>
      </c>
      <c r="G643" s="18">
        <v>23.4</v>
      </c>
      <c r="H643" s="18" t="s">
        <v>168</v>
      </c>
      <c r="I643" s="19">
        <v>4511.0</v>
      </c>
      <c r="J643" s="19">
        <v>5450.0</v>
      </c>
      <c r="K643" s="19">
        <v>5500.0</v>
      </c>
      <c r="L643" s="18" t="s">
        <v>1845</v>
      </c>
      <c r="M643" s="18" t="s">
        <v>1846</v>
      </c>
      <c r="N643" s="18" t="s">
        <v>131</v>
      </c>
      <c r="O643" s="18" t="s">
        <v>117</v>
      </c>
      <c r="Q643" s="19">
        <v>4550.0</v>
      </c>
    </row>
    <row r="644">
      <c r="A644" s="18" t="s">
        <v>216</v>
      </c>
      <c r="B644" s="18" t="s">
        <v>44</v>
      </c>
      <c r="C644" s="18" t="s">
        <v>53</v>
      </c>
      <c r="D644" s="18" t="s">
        <v>2473</v>
      </c>
      <c r="E644" s="18" t="s">
        <v>2474</v>
      </c>
      <c r="F644" s="18" t="s">
        <v>228</v>
      </c>
      <c r="G644" s="18">
        <v>14.84</v>
      </c>
      <c r="H644" s="18" t="s">
        <v>120</v>
      </c>
      <c r="I644" s="19">
        <v>5494.0</v>
      </c>
      <c r="J644" s="19">
        <v>7700.0</v>
      </c>
      <c r="K644" s="19">
        <v>6600.0</v>
      </c>
      <c r="L644" s="18" t="s">
        <v>3619</v>
      </c>
      <c r="M644" s="18" t="s">
        <v>3620</v>
      </c>
      <c r="N644" s="18" t="s">
        <v>903</v>
      </c>
      <c r="O644" s="18" t="s">
        <v>41</v>
      </c>
      <c r="P644" s="18" t="s">
        <v>42</v>
      </c>
      <c r="Q644" s="19">
        <v>7450.0</v>
      </c>
    </row>
    <row r="645">
      <c r="A645" s="18" t="s">
        <v>138</v>
      </c>
      <c r="B645" s="18" t="s">
        <v>44</v>
      </c>
      <c r="C645" s="18" t="s">
        <v>113</v>
      </c>
      <c r="D645" s="18" t="s">
        <v>2778</v>
      </c>
      <c r="E645" s="18" t="s">
        <v>2779</v>
      </c>
      <c r="F645" s="18" t="s">
        <v>228</v>
      </c>
      <c r="G645" s="18">
        <v>14.22</v>
      </c>
      <c r="H645" s="18" t="s">
        <v>116</v>
      </c>
      <c r="I645" s="19">
        <v>2482.0</v>
      </c>
      <c r="J645" s="19">
        <v>3600.0</v>
      </c>
      <c r="K645" s="19">
        <v>3000.0</v>
      </c>
      <c r="L645" s="18" t="s">
        <v>3621</v>
      </c>
      <c r="M645" s="18" t="s">
        <v>3622</v>
      </c>
      <c r="N645" s="18" t="s">
        <v>143</v>
      </c>
      <c r="O645" s="18" t="s">
        <v>41</v>
      </c>
      <c r="P645" s="18" t="s">
        <v>144</v>
      </c>
      <c r="Q645" s="19">
        <v>3250.0</v>
      </c>
    </row>
    <row r="646">
      <c r="A646" s="18" t="s">
        <v>201</v>
      </c>
      <c r="B646" s="18" t="s">
        <v>45</v>
      </c>
      <c r="C646" s="18" t="s">
        <v>45</v>
      </c>
      <c r="D646" s="18" t="s">
        <v>1851</v>
      </c>
      <c r="E646" s="18" t="s">
        <v>1852</v>
      </c>
      <c r="F646" s="18" t="s">
        <v>228</v>
      </c>
      <c r="G646" s="18">
        <v>11.16</v>
      </c>
      <c r="H646" s="18" t="s">
        <v>45</v>
      </c>
      <c r="I646" s="19">
        <v>1900.0</v>
      </c>
      <c r="J646" s="19">
        <v>2300.0</v>
      </c>
      <c r="K646" s="19">
        <v>2300.0</v>
      </c>
      <c r="L646" s="18" t="s">
        <v>1853</v>
      </c>
      <c r="M646" s="18" t="s">
        <v>1854</v>
      </c>
      <c r="N646" s="18" t="s">
        <v>903</v>
      </c>
      <c r="O646" s="18" t="s">
        <v>57</v>
      </c>
      <c r="Q646" s="19">
        <v>2300.0</v>
      </c>
    </row>
    <row r="647">
      <c r="A647" s="18" t="s">
        <v>138</v>
      </c>
      <c r="B647" s="18" t="s">
        <v>45</v>
      </c>
      <c r="C647" s="18" t="s">
        <v>45</v>
      </c>
      <c r="D647" s="18" t="s">
        <v>2733</v>
      </c>
      <c r="E647" s="18" t="s">
        <v>2734</v>
      </c>
      <c r="F647" s="18" t="s">
        <v>228</v>
      </c>
      <c r="G647" s="18">
        <v>9.99</v>
      </c>
      <c r="H647" s="18" t="s">
        <v>45</v>
      </c>
      <c r="I647" s="19">
        <v>1652.0</v>
      </c>
      <c r="J647" s="19">
        <v>2400.0</v>
      </c>
      <c r="K647" s="19">
        <v>2050.0</v>
      </c>
      <c r="L647" s="18" t="s">
        <v>3623</v>
      </c>
      <c r="M647" s="18" t="s">
        <v>3624</v>
      </c>
      <c r="N647" s="18" t="s">
        <v>131</v>
      </c>
      <c r="O647" s="18" t="s">
        <v>83</v>
      </c>
      <c r="P647" s="18" t="s">
        <v>144</v>
      </c>
      <c r="Q647" s="19">
        <v>2150.0</v>
      </c>
    </row>
    <row r="648">
      <c r="A648" s="18" t="s">
        <v>145</v>
      </c>
      <c r="B648" s="18" t="s">
        <v>44</v>
      </c>
      <c r="C648" s="18" t="s">
        <v>53</v>
      </c>
      <c r="D648" s="18" t="s">
        <v>146</v>
      </c>
      <c r="E648" s="18" t="s">
        <v>147</v>
      </c>
      <c r="F648" s="18" t="s">
        <v>228</v>
      </c>
      <c r="G648" s="18">
        <v>16.0</v>
      </c>
      <c r="H648" s="18" t="s">
        <v>56</v>
      </c>
      <c r="I648" s="19">
        <v>8592.0</v>
      </c>
      <c r="J648" s="19">
        <v>9500.0</v>
      </c>
      <c r="K648" s="19">
        <v>10350.0</v>
      </c>
      <c r="L648" s="18" t="s">
        <v>3625</v>
      </c>
      <c r="M648" s="18" t="s">
        <v>3626</v>
      </c>
      <c r="N648" s="18" t="s">
        <v>903</v>
      </c>
      <c r="O648" s="18" t="s">
        <v>57</v>
      </c>
      <c r="P648" s="18" t="s">
        <v>63</v>
      </c>
      <c r="Q648" s="19">
        <v>9050.0</v>
      </c>
    </row>
    <row r="649">
      <c r="A649" s="18" t="s">
        <v>138</v>
      </c>
      <c r="B649" s="18" t="s">
        <v>44</v>
      </c>
      <c r="C649" s="18" t="s">
        <v>64</v>
      </c>
      <c r="D649" s="18" t="s">
        <v>169</v>
      </c>
      <c r="E649" s="18" t="s">
        <v>170</v>
      </c>
      <c r="F649" s="18" t="s">
        <v>228</v>
      </c>
      <c r="G649" s="18">
        <v>19.55</v>
      </c>
      <c r="H649" s="18" t="s">
        <v>120</v>
      </c>
      <c r="I649" s="19">
        <v>3944.0</v>
      </c>
      <c r="J649" s="19">
        <v>5750.0</v>
      </c>
      <c r="K649" s="19">
        <v>4750.0</v>
      </c>
      <c r="L649" s="18" t="s">
        <v>3627</v>
      </c>
      <c r="M649" s="18" t="s">
        <v>3628</v>
      </c>
      <c r="N649" s="18" t="s">
        <v>903</v>
      </c>
      <c r="O649" s="18" t="s">
        <v>57</v>
      </c>
      <c r="P649" s="18" t="s">
        <v>144</v>
      </c>
      <c r="Q649" s="19">
        <v>5150.0</v>
      </c>
    </row>
    <row r="650">
      <c r="A650" s="18" t="s">
        <v>49</v>
      </c>
      <c r="B650" s="18" t="s">
        <v>45</v>
      </c>
      <c r="C650" s="18" t="s">
        <v>50</v>
      </c>
      <c r="D650" s="18" t="s">
        <v>1859</v>
      </c>
      <c r="E650" s="18" t="s">
        <v>1860</v>
      </c>
      <c r="F650" s="18" t="s">
        <v>228</v>
      </c>
      <c r="G650" s="18">
        <v>9.12</v>
      </c>
      <c r="H650" s="18" t="s">
        <v>40</v>
      </c>
      <c r="I650" s="19">
        <v>3551.0</v>
      </c>
      <c r="J650" s="19">
        <v>4100.0</v>
      </c>
      <c r="K650" s="19">
        <v>4350.0</v>
      </c>
      <c r="L650" s="18" t="s">
        <v>1861</v>
      </c>
      <c r="M650" s="18" t="s">
        <v>1862</v>
      </c>
      <c r="N650" s="18" t="s">
        <v>143</v>
      </c>
      <c r="O650" s="18" t="s">
        <v>41</v>
      </c>
      <c r="P650" s="18" t="s">
        <v>48</v>
      </c>
      <c r="Q650" s="19">
        <v>3600.0</v>
      </c>
    </row>
    <row r="651">
      <c r="A651" s="18" t="s">
        <v>1238</v>
      </c>
      <c r="B651" s="18" t="s">
        <v>44</v>
      </c>
      <c r="C651" s="18" t="s">
        <v>76</v>
      </c>
      <c r="D651" s="18" t="s">
        <v>1867</v>
      </c>
      <c r="E651" s="18" t="s">
        <v>1868</v>
      </c>
      <c r="F651" s="18" t="s">
        <v>228</v>
      </c>
      <c r="G651" s="18">
        <v>19.18</v>
      </c>
      <c r="H651" s="18" t="s">
        <v>1495</v>
      </c>
      <c r="I651" s="19">
        <v>4489.0</v>
      </c>
      <c r="J651" s="19">
        <v>5850.0</v>
      </c>
      <c r="L651" s="18" t="s">
        <v>1869</v>
      </c>
      <c r="M651" s="18" t="s">
        <v>1870</v>
      </c>
      <c r="N651" s="18" t="s">
        <v>240</v>
      </c>
      <c r="O651" s="18" t="s">
        <v>41</v>
      </c>
      <c r="P651" s="18" t="s">
        <v>144</v>
      </c>
      <c r="Q651" s="19">
        <v>5400.0</v>
      </c>
    </row>
    <row r="652">
      <c r="A652" s="18" t="s">
        <v>364</v>
      </c>
      <c r="B652" s="18" t="s">
        <v>44</v>
      </c>
      <c r="C652" s="18" t="s">
        <v>180</v>
      </c>
      <c r="D652" s="18" t="s">
        <v>2477</v>
      </c>
      <c r="E652" s="18" t="s">
        <v>2478</v>
      </c>
      <c r="F652" s="18" t="s">
        <v>228</v>
      </c>
      <c r="G652" s="18">
        <v>23.65</v>
      </c>
      <c r="H652" s="18" t="s">
        <v>168</v>
      </c>
      <c r="I652" s="19">
        <v>5600.0</v>
      </c>
      <c r="J652" s="19">
        <v>4500.0</v>
      </c>
      <c r="K652" s="19">
        <v>6500.0</v>
      </c>
      <c r="L652" s="18" t="s">
        <v>3629</v>
      </c>
      <c r="M652" s="18" t="s">
        <v>3630</v>
      </c>
      <c r="N652" s="18" t="s">
        <v>403</v>
      </c>
      <c r="O652" s="18" t="s">
        <v>41</v>
      </c>
      <c r="P652" s="18" t="s">
        <v>369</v>
      </c>
      <c r="Q652" s="19">
        <v>5000.0</v>
      </c>
    </row>
    <row r="653">
      <c r="A653" s="18" t="s">
        <v>158</v>
      </c>
      <c r="B653" s="18" t="s">
        <v>44</v>
      </c>
      <c r="C653" s="18" t="s">
        <v>64</v>
      </c>
      <c r="D653" s="18" t="s">
        <v>1871</v>
      </c>
      <c r="E653" s="18" t="s">
        <v>1872</v>
      </c>
      <c r="F653" s="18" t="s">
        <v>228</v>
      </c>
      <c r="G653" s="18">
        <v>18.27</v>
      </c>
      <c r="H653" s="18" t="s">
        <v>120</v>
      </c>
      <c r="I653" s="19">
        <v>5516.0</v>
      </c>
      <c r="J653" s="19">
        <v>5550.0</v>
      </c>
      <c r="K653" s="19">
        <v>6700.0</v>
      </c>
      <c r="L653" s="18" t="s">
        <v>1873</v>
      </c>
      <c r="M653" s="18" t="s">
        <v>1874</v>
      </c>
      <c r="N653" s="18" t="s">
        <v>131</v>
      </c>
      <c r="O653" s="18" t="s">
        <v>161</v>
      </c>
      <c r="P653" s="18" t="s">
        <v>162</v>
      </c>
      <c r="Q653" s="19">
        <v>4450.0</v>
      </c>
    </row>
    <row r="654">
      <c r="A654" s="18" t="s">
        <v>364</v>
      </c>
      <c r="B654" s="18" t="s">
        <v>44</v>
      </c>
      <c r="C654" s="18" t="s">
        <v>180</v>
      </c>
      <c r="D654" s="18" t="s">
        <v>1882</v>
      </c>
      <c r="E654" s="18" t="s">
        <v>1883</v>
      </c>
      <c r="F654" s="18" t="s">
        <v>228</v>
      </c>
      <c r="G654" s="18">
        <v>22.16</v>
      </c>
      <c r="H654" s="18" t="s">
        <v>168</v>
      </c>
      <c r="I654" s="19">
        <v>5600.0</v>
      </c>
      <c r="J654" s="19">
        <v>4500.0</v>
      </c>
      <c r="K654" s="19">
        <v>6500.0</v>
      </c>
      <c r="L654" s="18" t="s">
        <v>1884</v>
      </c>
      <c r="M654" s="18" t="s">
        <v>1182</v>
      </c>
      <c r="N654" s="18" t="s">
        <v>240</v>
      </c>
      <c r="O654" s="18" t="s">
        <v>117</v>
      </c>
      <c r="P654" s="18" t="s">
        <v>369</v>
      </c>
      <c r="Q654" s="19">
        <v>5250.0</v>
      </c>
    </row>
    <row r="655">
      <c r="A655" s="18" t="s">
        <v>364</v>
      </c>
      <c r="B655" s="18" t="s">
        <v>44</v>
      </c>
      <c r="C655" s="18" t="s">
        <v>180</v>
      </c>
      <c r="D655" s="18" t="s">
        <v>1885</v>
      </c>
      <c r="E655" s="18" t="s">
        <v>1886</v>
      </c>
      <c r="F655" s="18" t="s">
        <v>228</v>
      </c>
      <c r="G655" s="18">
        <v>22.91</v>
      </c>
      <c r="H655" s="18" t="s">
        <v>168</v>
      </c>
      <c r="I655" s="19">
        <v>5600.0</v>
      </c>
      <c r="J655" s="19">
        <v>4500.0</v>
      </c>
      <c r="K655" s="19">
        <v>6500.0</v>
      </c>
      <c r="L655" s="18" t="s">
        <v>1887</v>
      </c>
      <c r="M655" s="18" t="s">
        <v>1182</v>
      </c>
      <c r="N655" s="18" t="s">
        <v>240</v>
      </c>
      <c r="O655" s="18" t="s">
        <v>117</v>
      </c>
      <c r="P655" s="18" t="s">
        <v>369</v>
      </c>
      <c r="Q655" s="19">
        <v>5250.0</v>
      </c>
    </row>
    <row r="656">
      <c r="A656" s="18" t="s">
        <v>1029</v>
      </c>
      <c r="B656" s="18" t="s">
        <v>44</v>
      </c>
      <c r="C656" s="18" t="s">
        <v>53</v>
      </c>
      <c r="D656" s="18" t="s">
        <v>1888</v>
      </c>
      <c r="E656" s="18" t="s">
        <v>1889</v>
      </c>
      <c r="F656" s="18" t="s">
        <v>228</v>
      </c>
      <c r="G656" s="18">
        <v>16.29</v>
      </c>
      <c r="H656" s="18" t="s">
        <v>56</v>
      </c>
      <c r="I656" s="19">
        <v>450.0</v>
      </c>
      <c r="J656" s="19">
        <v>360.0</v>
      </c>
      <c r="L656" s="18" t="s">
        <v>1890</v>
      </c>
      <c r="M656" s="18" t="s">
        <v>1891</v>
      </c>
      <c r="N656" s="18" t="s">
        <v>1034</v>
      </c>
      <c r="O656" s="18" t="s">
        <v>83</v>
      </c>
      <c r="Q656" s="19">
        <v>450.0</v>
      </c>
    </row>
    <row r="657">
      <c r="A657" s="18" t="s">
        <v>364</v>
      </c>
      <c r="B657" s="18" t="s">
        <v>44</v>
      </c>
      <c r="C657" s="18" t="s">
        <v>76</v>
      </c>
      <c r="D657" s="18" t="s">
        <v>1892</v>
      </c>
      <c r="E657" s="18" t="s">
        <v>1893</v>
      </c>
      <c r="F657" s="18" t="s">
        <v>228</v>
      </c>
      <c r="G657" s="18">
        <v>19.25</v>
      </c>
      <c r="H657" s="18" t="s">
        <v>120</v>
      </c>
      <c r="I657" s="19">
        <v>5100.0</v>
      </c>
      <c r="J657" s="19">
        <v>4100.0</v>
      </c>
      <c r="K657" s="19">
        <v>5950.0</v>
      </c>
      <c r="L657" s="18" t="s">
        <v>1894</v>
      </c>
      <c r="M657" s="18" t="s">
        <v>1626</v>
      </c>
      <c r="N657" s="18" t="s">
        <v>240</v>
      </c>
      <c r="O657" s="18" t="s">
        <v>41</v>
      </c>
      <c r="P657" s="18" t="s">
        <v>369</v>
      </c>
      <c r="Q657" s="19">
        <v>5550.0</v>
      </c>
    </row>
    <row r="658">
      <c r="A658" s="18" t="s">
        <v>225</v>
      </c>
      <c r="B658" s="18" t="s">
        <v>44</v>
      </c>
      <c r="C658" s="18" t="s">
        <v>64</v>
      </c>
      <c r="D658" s="18" t="s">
        <v>1895</v>
      </c>
      <c r="E658" s="18" t="s">
        <v>1896</v>
      </c>
      <c r="F658" s="18" t="s">
        <v>228</v>
      </c>
      <c r="G658" s="18">
        <v>17.9</v>
      </c>
      <c r="H658" s="18" t="s">
        <v>120</v>
      </c>
      <c r="I658" s="19">
        <v>6200.0</v>
      </c>
      <c r="J658" s="19">
        <v>8100.0</v>
      </c>
      <c r="K658" s="19">
        <v>7200.0</v>
      </c>
      <c r="L658" s="18" t="s">
        <v>1897</v>
      </c>
      <c r="M658" s="18" t="s">
        <v>1898</v>
      </c>
      <c r="N658" s="18" t="s">
        <v>403</v>
      </c>
      <c r="O658" s="18" t="s">
        <v>41</v>
      </c>
      <c r="P658" s="18" t="s">
        <v>162</v>
      </c>
      <c r="Q658" s="19">
        <v>6200.0</v>
      </c>
    </row>
    <row r="659">
      <c r="A659" s="18" t="s">
        <v>1899</v>
      </c>
      <c r="B659" s="18" t="s">
        <v>44</v>
      </c>
      <c r="C659" s="18" t="s">
        <v>180</v>
      </c>
      <c r="D659" s="18" t="s">
        <v>1900</v>
      </c>
      <c r="E659" s="18" t="s">
        <v>1901</v>
      </c>
      <c r="F659" s="18" t="s">
        <v>228</v>
      </c>
      <c r="G659" s="18">
        <v>22.02</v>
      </c>
      <c r="H659" s="18" t="s">
        <v>168</v>
      </c>
      <c r="I659" s="19">
        <v>4001.0</v>
      </c>
      <c r="J659" s="19">
        <v>0.0</v>
      </c>
      <c r="L659" s="18" t="s">
        <v>1902</v>
      </c>
      <c r="M659" s="18" t="s">
        <v>1903</v>
      </c>
      <c r="N659" s="18" t="s">
        <v>363</v>
      </c>
      <c r="O659" s="18" t="s">
        <v>41</v>
      </c>
      <c r="Q659" s="19">
        <v>4001.0</v>
      </c>
    </row>
    <row r="660">
      <c r="A660" s="18" t="s">
        <v>145</v>
      </c>
      <c r="B660" s="18" t="s">
        <v>44</v>
      </c>
      <c r="C660" s="18" t="s">
        <v>53</v>
      </c>
      <c r="D660" s="18" t="s">
        <v>1904</v>
      </c>
      <c r="E660" s="18" t="s">
        <v>1905</v>
      </c>
      <c r="F660" s="18" t="s">
        <v>228</v>
      </c>
      <c r="G660" s="18">
        <v>16.5</v>
      </c>
      <c r="H660" s="18" t="s">
        <v>56</v>
      </c>
      <c r="I660" s="19">
        <v>8592.0</v>
      </c>
      <c r="J660" s="19">
        <v>9500.0</v>
      </c>
      <c r="K660" s="19">
        <v>10350.0</v>
      </c>
      <c r="L660" s="18" t="s">
        <v>1906</v>
      </c>
      <c r="M660" s="18" t="s">
        <v>1907</v>
      </c>
      <c r="N660" s="18" t="s">
        <v>131</v>
      </c>
      <c r="O660" s="18" t="s">
        <v>151</v>
      </c>
      <c r="P660" s="18" t="s">
        <v>63</v>
      </c>
      <c r="Q660" s="19">
        <v>9050.0</v>
      </c>
    </row>
    <row r="661">
      <c r="A661" s="18" t="s">
        <v>191</v>
      </c>
      <c r="B661" s="18" t="s">
        <v>45</v>
      </c>
      <c r="C661" s="18" t="s">
        <v>45</v>
      </c>
      <c r="D661" s="18" t="s">
        <v>1908</v>
      </c>
      <c r="E661" s="18" t="s">
        <v>1909</v>
      </c>
      <c r="F661" s="18" t="s">
        <v>228</v>
      </c>
      <c r="G661" s="18">
        <v>12.51</v>
      </c>
      <c r="H661" s="18" t="s">
        <v>45</v>
      </c>
      <c r="I661" s="19">
        <v>3900.0</v>
      </c>
      <c r="J661" s="19">
        <v>5100.0</v>
      </c>
      <c r="L661" s="18" t="s">
        <v>1910</v>
      </c>
      <c r="M661" s="18" t="s">
        <v>1911</v>
      </c>
      <c r="N661" s="18" t="s">
        <v>903</v>
      </c>
      <c r="O661" s="18" t="s">
        <v>57</v>
      </c>
      <c r="P661" s="18" t="s">
        <v>48</v>
      </c>
      <c r="Q661" s="19">
        <v>4655.0</v>
      </c>
    </row>
    <row r="662">
      <c r="A662" s="18" t="s">
        <v>148</v>
      </c>
      <c r="B662" s="18" t="s">
        <v>44</v>
      </c>
      <c r="C662" s="18" t="s">
        <v>423</v>
      </c>
      <c r="D662" s="18" t="s">
        <v>1912</v>
      </c>
      <c r="E662" s="18" t="s">
        <v>1913</v>
      </c>
      <c r="F662" s="18" t="s">
        <v>228</v>
      </c>
      <c r="G662" s="18">
        <v>29.4</v>
      </c>
      <c r="H662" s="18" t="s">
        <v>168</v>
      </c>
      <c r="I662" s="19">
        <v>10857.0</v>
      </c>
      <c r="J662" s="19">
        <v>10900.0</v>
      </c>
      <c r="K662" s="19">
        <v>13100.0</v>
      </c>
      <c r="L662" s="18" t="s">
        <v>1914</v>
      </c>
      <c r="M662" s="18" t="s">
        <v>1915</v>
      </c>
      <c r="N662" s="18" t="s">
        <v>143</v>
      </c>
      <c r="O662" s="18" t="s">
        <v>151</v>
      </c>
      <c r="P662" s="18" t="s">
        <v>48</v>
      </c>
      <c r="Q662" s="19">
        <v>8700.0</v>
      </c>
    </row>
    <row r="663">
      <c r="A663" s="18" t="s">
        <v>138</v>
      </c>
      <c r="B663" s="18" t="s">
        <v>44</v>
      </c>
      <c r="C663" s="18" t="s">
        <v>133</v>
      </c>
      <c r="D663" s="18" t="s">
        <v>1916</v>
      </c>
      <c r="E663" s="18" t="s">
        <v>1917</v>
      </c>
      <c r="F663" s="18" t="s">
        <v>228</v>
      </c>
      <c r="G663" s="18">
        <v>13.88</v>
      </c>
      <c r="H663" s="18" t="s">
        <v>56</v>
      </c>
      <c r="I663" s="19">
        <v>3113.0</v>
      </c>
      <c r="J663" s="19">
        <v>4550.0</v>
      </c>
      <c r="K663" s="19">
        <v>3800.0</v>
      </c>
      <c r="L663" s="18" t="s">
        <v>1918</v>
      </c>
      <c r="M663" s="18" t="s">
        <v>1919</v>
      </c>
      <c r="N663" s="18" t="s">
        <v>403</v>
      </c>
      <c r="O663" s="18" t="s">
        <v>57</v>
      </c>
      <c r="P663" s="18" t="s">
        <v>144</v>
      </c>
      <c r="Q663" s="19">
        <v>4050.0</v>
      </c>
    </row>
    <row r="664">
      <c r="A664" s="18" t="s">
        <v>158</v>
      </c>
      <c r="B664" s="18" t="s">
        <v>44</v>
      </c>
      <c r="C664" s="18" t="s">
        <v>64</v>
      </c>
      <c r="D664" s="18" t="s">
        <v>1920</v>
      </c>
      <c r="E664" s="18" t="s">
        <v>1921</v>
      </c>
      <c r="F664" s="18" t="s">
        <v>228</v>
      </c>
      <c r="G664" s="18">
        <v>18.27</v>
      </c>
      <c r="H664" s="18" t="s">
        <v>120</v>
      </c>
      <c r="I664" s="19">
        <v>5516.0</v>
      </c>
      <c r="J664" s="19">
        <v>5550.0</v>
      </c>
      <c r="K664" s="19">
        <v>6700.0</v>
      </c>
      <c r="L664" s="18" t="s">
        <v>1922</v>
      </c>
      <c r="M664" s="18" t="s">
        <v>1923</v>
      </c>
      <c r="N664" s="18" t="s">
        <v>131</v>
      </c>
      <c r="O664" s="18" t="s">
        <v>161</v>
      </c>
      <c r="P664" s="18" t="s">
        <v>162</v>
      </c>
      <c r="Q664" s="19">
        <v>4450.0</v>
      </c>
    </row>
    <row r="665">
      <c r="A665" s="18" t="s">
        <v>43</v>
      </c>
      <c r="B665" s="18" t="s">
        <v>44</v>
      </c>
      <c r="C665" s="18" t="s">
        <v>37</v>
      </c>
      <c r="D665" s="18" t="s">
        <v>1924</v>
      </c>
      <c r="E665" s="18" t="s">
        <v>1925</v>
      </c>
      <c r="F665" s="18" t="s">
        <v>228</v>
      </c>
      <c r="G665" s="18">
        <v>43.9</v>
      </c>
      <c r="H665" s="18" t="s">
        <v>168</v>
      </c>
      <c r="I665" s="19">
        <v>10800.0</v>
      </c>
      <c r="J665" s="19">
        <v>13000.0</v>
      </c>
      <c r="L665" s="18" t="s">
        <v>1926</v>
      </c>
      <c r="M665" s="18" t="s">
        <v>1259</v>
      </c>
      <c r="N665" s="18" t="s">
        <v>1927</v>
      </c>
      <c r="O665" s="18" t="s">
        <v>83</v>
      </c>
      <c r="P665" s="18" t="s">
        <v>48</v>
      </c>
      <c r="Q665" s="19">
        <v>11000.0</v>
      </c>
    </row>
    <row r="666">
      <c r="A666" s="18" t="s">
        <v>158</v>
      </c>
      <c r="B666" s="18" t="s">
        <v>44</v>
      </c>
      <c r="C666" s="18" t="s">
        <v>53</v>
      </c>
      <c r="D666" s="18" t="s">
        <v>1932</v>
      </c>
      <c r="E666" s="18" t="s">
        <v>1933</v>
      </c>
      <c r="F666" s="18" t="s">
        <v>228</v>
      </c>
      <c r="G666" s="18">
        <v>16.75</v>
      </c>
      <c r="H666" s="18" t="s">
        <v>120</v>
      </c>
      <c r="I666" s="19">
        <v>5091.0</v>
      </c>
      <c r="J666" s="19">
        <v>5100.0</v>
      </c>
      <c r="K666" s="19">
        <v>6150.0</v>
      </c>
      <c r="L666" s="18" t="s">
        <v>1934</v>
      </c>
      <c r="M666" s="18" t="s">
        <v>1935</v>
      </c>
      <c r="N666" s="18" t="s">
        <v>903</v>
      </c>
      <c r="O666" s="18" t="s">
        <v>41</v>
      </c>
      <c r="P666" s="18" t="s">
        <v>162</v>
      </c>
      <c r="Q666" s="19">
        <v>4450.0</v>
      </c>
    </row>
    <row r="667">
      <c r="A667" s="18" t="s">
        <v>132</v>
      </c>
      <c r="B667" s="18" t="s">
        <v>44</v>
      </c>
      <c r="C667" s="18" t="s">
        <v>76</v>
      </c>
      <c r="D667" s="18" t="s">
        <v>1936</v>
      </c>
      <c r="E667" s="18" t="s">
        <v>1937</v>
      </c>
      <c r="F667" s="18" t="s">
        <v>228</v>
      </c>
      <c r="G667" s="18">
        <v>19.38</v>
      </c>
      <c r="H667" s="18" t="s">
        <v>67</v>
      </c>
      <c r="I667" s="19">
        <v>4118.4</v>
      </c>
      <c r="J667" s="19">
        <v>3300.0</v>
      </c>
      <c r="K667" s="19">
        <v>4500.0</v>
      </c>
      <c r="L667" s="18" t="s">
        <v>1938</v>
      </c>
      <c r="M667" s="18" t="s">
        <v>1939</v>
      </c>
      <c r="N667" s="18" t="s">
        <v>403</v>
      </c>
      <c r="O667" s="18" t="s">
        <v>41</v>
      </c>
      <c r="Q667" s="19">
        <v>3300.0</v>
      </c>
    </row>
    <row r="668">
      <c r="A668" s="18" t="s">
        <v>912</v>
      </c>
      <c r="B668" s="18" t="s">
        <v>44</v>
      </c>
      <c r="C668" s="18" t="s">
        <v>53</v>
      </c>
      <c r="D668" s="18" t="s">
        <v>1944</v>
      </c>
      <c r="E668" s="18" t="s">
        <v>1945</v>
      </c>
      <c r="F668" s="18" t="s">
        <v>228</v>
      </c>
      <c r="G668" s="18">
        <v>16.05</v>
      </c>
      <c r="H668" s="18" t="s">
        <v>120</v>
      </c>
      <c r="I668" s="19">
        <v>4900.0</v>
      </c>
      <c r="J668" s="19">
        <v>6150.0</v>
      </c>
      <c r="K668" s="19">
        <v>5700.0</v>
      </c>
      <c r="L668" s="18" t="s">
        <v>1946</v>
      </c>
      <c r="M668" s="18" t="s">
        <v>1947</v>
      </c>
      <c r="N668" s="18" t="s">
        <v>403</v>
      </c>
      <c r="O668" s="18" t="s">
        <v>41</v>
      </c>
      <c r="P668" s="18" t="s">
        <v>917</v>
      </c>
      <c r="Q668" s="19">
        <v>5650.0</v>
      </c>
    </row>
    <row r="669">
      <c r="A669" s="18" t="s">
        <v>148</v>
      </c>
      <c r="B669" s="18" t="s">
        <v>44</v>
      </c>
      <c r="C669" s="18" t="s">
        <v>64</v>
      </c>
      <c r="D669" s="18" t="s">
        <v>1948</v>
      </c>
      <c r="E669" s="18" t="s">
        <v>1949</v>
      </c>
      <c r="F669" s="18" t="s">
        <v>228</v>
      </c>
      <c r="G669" s="18">
        <v>18.1</v>
      </c>
      <c r="H669" s="18" t="s">
        <v>56</v>
      </c>
      <c r="I669" s="19">
        <v>7096.0</v>
      </c>
      <c r="J669" s="19">
        <v>7100.0</v>
      </c>
      <c r="K669" s="19">
        <v>8550.0</v>
      </c>
      <c r="L669" s="18" t="s">
        <v>1950</v>
      </c>
      <c r="M669" s="18" t="s">
        <v>1951</v>
      </c>
      <c r="N669" s="18" t="s">
        <v>903</v>
      </c>
      <c r="O669" s="18" t="s">
        <v>151</v>
      </c>
      <c r="P669" s="18" t="s">
        <v>48</v>
      </c>
      <c r="Q669" s="19">
        <v>6700.0</v>
      </c>
    </row>
    <row r="670">
      <c r="A670" s="18" t="s">
        <v>171</v>
      </c>
      <c r="B670" s="18" t="s">
        <v>45</v>
      </c>
      <c r="C670" s="18" t="s">
        <v>45</v>
      </c>
      <c r="D670" s="18" t="s">
        <v>1952</v>
      </c>
      <c r="E670" s="18" t="s">
        <v>1953</v>
      </c>
      <c r="F670" s="18" t="s">
        <v>228</v>
      </c>
      <c r="G670" s="18">
        <v>13.64</v>
      </c>
      <c r="H670" s="18" t="s">
        <v>45</v>
      </c>
      <c r="I670" s="19">
        <v>1990.0</v>
      </c>
      <c r="J670" s="19">
        <v>2300.0</v>
      </c>
      <c r="K670" s="19">
        <v>2400.0</v>
      </c>
      <c r="L670" s="18" t="s">
        <v>1954</v>
      </c>
      <c r="M670" s="18" t="s">
        <v>1955</v>
      </c>
      <c r="N670" s="18" t="s">
        <v>403</v>
      </c>
      <c r="O670" s="18" t="s">
        <v>198</v>
      </c>
      <c r="Q670" s="19">
        <v>2300.0</v>
      </c>
    </row>
    <row r="671">
      <c r="A671" s="18" t="s">
        <v>154</v>
      </c>
      <c r="B671" s="18" t="s">
        <v>44</v>
      </c>
      <c r="C671" s="18" t="s">
        <v>53</v>
      </c>
      <c r="D671" s="18" t="s">
        <v>2843</v>
      </c>
      <c r="E671" s="18" t="s">
        <v>2844</v>
      </c>
      <c r="F671" s="18" t="s">
        <v>228</v>
      </c>
      <c r="G671" s="18">
        <v>16.0</v>
      </c>
      <c r="H671" s="18" t="s">
        <v>56</v>
      </c>
      <c r="I671" s="19">
        <v>4799.0</v>
      </c>
      <c r="J671" s="19">
        <v>6750.0</v>
      </c>
      <c r="K671" s="19">
        <v>5800.0</v>
      </c>
      <c r="L671" s="18" t="s">
        <v>3631</v>
      </c>
      <c r="M671" s="18" t="s">
        <v>3632</v>
      </c>
      <c r="N671" s="18" t="s">
        <v>1927</v>
      </c>
      <c r="O671" s="18" t="s">
        <v>151</v>
      </c>
      <c r="P671" s="18" t="s">
        <v>157</v>
      </c>
      <c r="Q671" s="19">
        <v>4800.0</v>
      </c>
    </row>
    <row r="672">
      <c r="A672" s="18" t="s">
        <v>210</v>
      </c>
      <c r="B672" s="18" t="s">
        <v>44</v>
      </c>
      <c r="C672" s="18" t="s">
        <v>133</v>
      </c>
      <c r="D672" s="18" t="s">
        <v>1956</v>
      </c>
      <c r="E672" s="18" t="s">
        <v>1957</v>
      </c>
      <c r="F672" s="18" t="s">
        <v>228</v>
      </c>
      <c r="G672" s="18">
        <v>14.91</v>
      </c>
      <c r="H672" s="18" t="s">
        <v>56</v>
      </c>
      <c r="I672" s="19">
        <v>5250.0</v>
      </c>
      <c r="J672" s="19">
        <v>6850.0</v>
      </c>
      <c r="K672" s="19">
        <v>6300.0</v>
      </c>
      <c r="L672" s="18" t="s">
        <v>1958</v>
      </c>
      <c r="M672" s="18" t="s">
        <v>1959</v>
      </c>
      <c r="N672" s="18" t="s">
        <v>903</v>
      </c>
      <c r="O672" s="18" t="s">
        <v>213</v>
      </c>
      <c r="P672" s="18" t="s">
        <v>63</v>
      </c>
      <c r="Q672" s="19">
        <v>6300.0</v>
      </c>
    </row>
    <row r="673">
      <c r="A673" s="18" t="s">
        <v>210</v>
      </c>
      <c r="B673" s="18" t="s">
        <v>45</v>
      </c>
      <c r="C673" s="18" t="s">
        <v>45</v>
      </c>
      <c r="D673" s="18" t="s">
        <v>1960</v>
      </c>
      <c r="E673" s="18" t="s">
        <v>1961</v>
      </c>
      <c r="F673" s="18" t="s">
        <v>228</v>
      </c>
      <c r="G673" s="18">
        <v>11.04</v>
      </c>
      <c r="H673" s="18" t="s">
        <v>40</v>
      </c>
      <c r="I673" s="19">
        <v>3100.0</v>
      </c>
      <c r="J673" s="19">
        <v>4050.0</v>
      </c>
      <c r="K673" s="19">
        <v>3750.0</v>
      </c>
      <c r="L673" s="18" t="s">
        <v>1962</v>
      </c>
      <c r="M673" s="18" t="s">
        <v>1963</v>
      </c>
      <c r="N673" s="18" t="s">
        <v>903</v>
      </c>
      <c r="O673" s="18" t="s">
        <v>213</v>
      </c>
      <c r="P673" s="18" t="s">
        <v>63</v>
      </c>
      <c r="Q673" s="19">
        <v>3750.0</v>
      </c>
    </row>
    <row r="674">
      <c r="A674" s="18" t="s">
        <v>210</v>
      </c>
      <c r="B674" s="18" t="s">
        <v>44</v>
      </c>
      <c r="C674" s="18" t="s">
        <v>133</v>
      </c>
      <c r="D674" s="18" t="s">
        <v>1964</v>
      </c>
      <c r="E674" s="18" t="s">
        <v>1965</v>
      </c>
      <c r="F674" s="18" t="s">
        <v>228</v>
      </c>
      <c r="G674" s="18">
        <v>13.02</v>
      </c>
      <c r="H674" s="18" t="s">
        <v>56</v>
      </c>
      <c r="I674" s="19">
        <v>5250.0</v>
      </c>
      <c r="J674" s="19">
        <v>6850.0</v>
      </c>
      <c r="K674" s="19">
        <v>6300.0</v>
      </c>
      <c r="L674" s="18" t="s">
        <v>1966</v>
      </c>
      <c r="M674" s="18" t="s">
        <v>1967</v>
      </c>
      <c r="N674" s="18" t="s">
        <v>903</v>
      </c>
      <c r="O674" s="18" t="s">
        <v>213</v>
      </c>
      <c r="P674" s="18" t="s">
        <v>63</v>
      </c>
      <c r="Q674" s="19">
        <v>6300.0</v>
      </c>
    </row>
    <row r="675">
      <c r="A675" s="18" t="s">
        <v>125</v>
      </c>
      <c r="B675" s="18" t="s">
        <v>44</v>
      </c>
      <c r="C675" s="18" t="s">
        <v>53</v>
      </c>
      <c r="D675" s="18" t="s">
        <v>2947</v>
      </c>
      <c r="E675" s="18" t="s">
        <v>2948</v>
      </c>
      <c r="F675" s="18" t="s">
        <v>228</v>
      </c>
      <c r="G675" s="18">
        <v>15.66</v>
      </c>
      <c r="H675" s="18" t="s">
        <v>56</v>
      </c>
      <c r="I675" s="19">
        <v>2948.0</v>
      </c>
      <c r="J675" s="19">
        <v>2550.0</v>
      </c>
      <c r="K675" s="19">
        <v>2700.0</v>
      </c>
      <c r="L675" s="18" t="s">
        <v>3633</v>
      </c>
      <c r="M675" s="18" t="s">
        <v>3634</v>
      </c>
      <c r="N675" s="18" t="s">
        <v>143</v>
      </c>
      <c r="O675" s="18" t="s">
        <v>57</v>
      </c>
      <c r="Q675" s="19">
        <v>2550.0</v>
      </c>
    </row>
    <row r="676">
      <c r="A676" s="18" t="s">
        <v>154</v>
      </c>
      <c r="B676" s="18" t="s">
        <v>44</v>
      </c>
      <c r="C676" s="18" t="s">
        <v>180</v>
      </c>
      <c r="D676" s="18" t="s">
        <v>2652</v>
      </c>
      <c r="E676" s="18" t="s">
        <v>2653</v>
      </c>
      <c r="F676" s="18" t="s">
        <v>228</v>
      </c>
      <c r="G676" s="18">
        <v>22.0</v>
      </c>
      <c r="H676" s="18" t="s">
        <v>56</v>
      </c>
      <c r="I676" s="19">
        <v>6090.0</v>
      </c>
      <c r="J676" s="19">
        <v>8550.0</v>
      </c>
      <c r="K676" s="19">
        <v>7350.0</v>
      </c>
      <c r="L676" s="18" t="s">
        <v>3635</v>
      </c>
      <c r="M676" s="18" t="s">
        <v>3636</v>
      </c>
      <c r="N676" s="18" t="s">
        <v>143</v>
      </c>
      <c r="O676" s="18" t="s">
        <v>151</v>
      </c>
      <c r="P676" s="18" t="s">
        <v>157</v>
      </c>
      <c r="Q676" s="19">
        <v>7500.0</v>
      </c>
    </row>
    <row r="677">
      <c r="A677" s="18" t="s">
        <v>35</v>
      </c>
      <c r="B677" s="18" t="s">
        <v>44</v>
      </c>
      <c r="C677" s="18" t="s">
        <v>53</v>
      </c>
      <c r="D677" s="18" t="s">
        <v>1972</v>
      </c>
      <c r="E677" s="18" t="s">
        <v>1973</v>
      </c>
      <c r="F677" s="18" t="s">
        <v>228</v>
      </c>
      <c r="G677" s="18">
        <v>17.91</v>
      </c>
      <c r="H677" s="18" t="s">
        <v>120</v>
      </c>
      <c r="I677" s="19">
        <v>6230.0</v>
      </c>
      <c r="J677" s="19">
        <v>8450.0</v>
      </c>
      <c r="K677" s="19">
        <v>7500.0</v>
      </c>
      <c r="L677" s="18" t="s">
        <v>1974</v>
      </c>
      <c r="M677" s="18" t="s">
        <v>1975</v>
      </c>
      <c r="N677" s="18" t="s">
        <v>240</v>
      </c>
      <c r="O677" s="18" t="s">
        <v>41</v>
      </c>
      <c r="P677" s="18" t="s">
        <v>42</v>
      </c>
      <c r="Q677" s="19">
        <v>9750.0</v>
      </c>
    </row>
    <row r="678">
      <c r="A678" s="18" t="s">
        <v>912</v>
      </c>
      <c r="B678" s="18" t="s">
        <v>44</v>
      </c>
      <c r="C678" s="18" t="s">
        <v>180</v>
      </c>
      <c r="D678" s="18" t="s">
        <v>2837</v>
      </c>
      <c r="E678" s="18" t="s">
        <v>2838</v>
      </c>
      <c r="F678" s="18" t="s">
        <v>228</v>
      </c>
      <c r="G678" s="18">
        <v>19.74</v>
      </c>
      <c r="H678" s="18" t="s">
        <v>168</v>
      </c>
      <c r="I678" s="19">
        <v>5700.0</v>
      </c>
      <c r="J678" s="19">
        <v>7150.0</v>
      </c>
      <c r="K678" s="19">
        <v>6600.0</v>
      </c>
      <c r="L678" s="18" t="s">
        <v>3637</v>
      </c>
      <c r="M678" s="18" t="s">
        <v>3638</v>
      </c>
      <c r="N678" s="18" t="s">
        <v>491</v>
      </c>
      <c r="O678" s="18" t="s">
        <v>57</v>
      </c>
      <c r="P678" s="18" t="s">
        <v>917</v>
      </c>
      <c r="Q678" s="19">
        <v>7050.0</v>
      </c>
    </row>
    <row r="679">
      <c r="A679" s="18" t="s">
        <v>364</v>
      </c>
      <c r="B679" s="18" t="s">
        <v>44</v>
      </c>
      <c r="C679" s="18" t="s">
        <v>151</v>
      </c>
      <c r="D679" s="18" t="s">
        <v>1976</v>
      </c>
      <c r="E679" s="18" t="s">
        <v>1977</v>
      </c>
      <c r="F679" s="18" t="s">
        <v>228</v>
      </c>
      <c r="G679" s="18">
        <v>26.17</v>
      </c>
      <c r="H679" s="18" t="s">
        <v>168</v>
      </c>
      <c r="I679" s="19">
        <v>5850.0</v>
      </c>
      <c r="J679" s="19">
        <v>4700.0</v>
      </c>
      <c r="K679" s="19">
        <v>7050.0</v>
      </c>
      <c r="L679" s="18" t="s">
        <v>1978</v>
      </c>
      <c r="M679" s="18" t="s">
        <v>1979</v>
      </c>
      <c r="N679" s="18" t="s">
        <v>1980</v>
      </c>
      <c r="O679" s="18" t="s">
        <v>41</v>
      </c>
      <c r="P679" s="18" t="s">
        <v>369</v>
      </c>
      <c r="Q679" s="19">
        <v>4850.0</v>
      </c>
    </row>
    <row r="680">
      <c r="A680" s="18" t="s">
        <v>154</v>
      </c>
      <c r="B680" s="18" t="s">
        <v>44</v>
      </c>
      <c r="C680" s="18" t="s">
        <v>64</v>
      </c>
      <c r="D680" s="18" t="s">
        <v>1981</v>
      </c>
      <c r="E680" s="18" t="s">
        <v>1982</v>
      </c>
      <c r="F680" s="18" t="s">
        <v>228</v>
      </c>
      <c r="G680" s="18">
        <v>18.0</v>
      </c>
      <c r="H680" s="18" t="s">
        <v>56</v>
      </c>
      <c r="I680" s="19">
        <v>5731.0</v>
      </c>
      <c r="J680" s="19">
        <v>8050.0</v>
      </c>
      <c r="K680" s="19">
        <v>6900.0</v>
      </c>
      <c r="L680" s="18" t="s">
        <v>1983</v>
      </c>
      <c r="M680" s="18" t="s">
        <v>1984</v>
      </c>
      <c r="N680" s="18" t="s">
        <v>240</v>
      </c>
      <c r="O680" s="18" t="s">
        <v>151</v>
      </c>
      <c r="P680" s="18" t="s">
        <v>157</v>
      </c>
      <c r="Q680" s="19">
        <v>9050.0</v>
      </c>
    </row>
    <row r="681">
      <c r="A681" s="18" t="s">
        <v>1596</v>
      </c>
      <c r="B681" s="18" t="s">
        <v>44</v>
      </c>
      <c r="C681" s="18" t="s">
        <v>76</v>
      </c>
      <c r="D681" s="18" t="s">
        <v>1985</v>
      </c>
      <c r="E681" s="18" t="s">
        <v>1986</v>
      </c>
      <c r="F681" s="18" t="s">
        <v>228</v>
      </c>
      <c r="G681" s="18">
        <v>21.45</v>
      </c>
      <c r="H681" s="18" t="s">
        <v>120</v>
      </c>
      <c r="I681" s="19">
        <v>4576.0</v>
      </c>
      <c r="J681" s="19">
        <v>4850.0</v>
      </c>
      <c r="L681" s="18" t="s">
        <v>1987</v>
      </c>
      <c r="M681" s="18" t="s">
        <v>1988</v>
      </c>
      <c r="N681" s="18" t="s">
        <v>131</v>
      </c>
      <c r="O681" s="18" t="s">
        <v>41</v>
      </c>
      <c r="P681" s="18" t="s">
        <v>162</v>
      </c>
      <c r="Q681" s="19">
        <v>2771.5</v>
      </c>
    </row>
    <row r="682">
      <c r="A682" s="18" t="s">
        <v>1596</v>
      </c>
      <c r="B682" s="18" t="s">
        <v>44</v>
      </c>
      <c r="C682" s="18" t="s">
        <v>151</v>
      </c>
      <c r="D682" s="18" t="s">
        <v>1989</v>
      </c>
      <c r="E682" s="18" t="s">
        <v>1990</v>
      </c>
      <c r="F682" s="18" t="s">
        <v>228</v>
      </c>
      <c r="G682" s="18">
        <v>25.48</v>
      </c>
      <c r="H682" s="18" t="s">
        <v>168</v>
      </c>
      <c r="I682" s="19">
        <v>5096.0</v>
      </c>
      <c r="J682" s="19">
        <v>5400.0</v>
      </c>
      <c r="L682" s="18" t="s">
        <v>1991</v>
      </c>
      <c r="M682" s="18" t="s">
        <v>1992</v>
      </c>
      <c r="N682" s="18" t="s">
        <v>131</v>
      </c>
      <c r="O682" s="18" t="s">
        <v>41</v>
      </c>
      <c r="P682" s="18" t="s">
        <v>162</v>
      </c>
      <c r="Q682" s="19">
        <v>3085.7</v>
      </c>
    </row>
    <row r="683">
      <c r="A683" s="18" t="s">
        <v>1596</v>
      </c>
      <c r="B683" s="18" t="s">
        <v>44</v>
      </c>
      <c r="C683" s="18" t="s">
        <v>423</v>
      </c>
      <c r="D683" s="18" t="s">
        <v>1993</v>
      </c>
      <c r="E683" s="18" t="s">
        <v>1994</v>
      </c>
      <c r="F683" s="18" t="s">
        <v>228</v>
      </c>
      <c r="G683" s="18">
        <v>29.28</v>
      </c>
      <c r="H683" s="18" t="s">
        <v>168</v>
      </c>
      <c r="I683" s="19">
        <v>5408.0</v>
      </c>
      <c r="J683" s="19">
        <v>5700.0</v>
      </c>
      <c r="L683" s="18" t="s">
        <v>1995</v>
      </c>
      <c r="M683" s="18" t="s">
        <v>1996</v>
      </c>
      <c r="N683" s="18" t="s">
        <v>131</v>
      </c>
      <c r="O683" s="18" t="s">
        <v>83</v>
      </c>
      <c r="P683" s="18" t="s">
        <v>162</v>
      </c>
      <c r="Q683" s="19">
        <v>3257.2</v>
      </c>
    </row>
    <row r="684">
      <c r="A684" s="18" t="s">
        <v>1596</v>
      </c>
      <c r="B684" s="18" t="s">
        <v>44</v>
      </c>
      <c r="C684" s="18" t="s">
        <v>76</v>
      </c>
      <c r="D684" s="18" t="s">
        <v>1997</v>
      </c>
      <c r="E684" s="18" t="s">
        <v>1998</v>
      </c>
      <c r="F684" s="18" t="s">
        <v>228</v>
      </c>
      <c r="G684" s="18">
        <v>20.93</v>
      </c>
      <c r="H684" s="18" t="s">
        <v>120</v>
      </c>
      <c r="I684" s="19">
        <v>4576.0</v>
      </c>
      <c r="J684" s="19">
        <v>4850.0</v>
      </c>
      <c r="L684" s="18" t="s">
        <v>1999</v>
      </c>
      <c r="M684" s="18" t="s">
        <v>2000</v>
      </c>
      <c r="N684" s="18" t="s">
        <v>131</v>
      </c>
      <c r="O684" s="18" t="s">
        <v>57</v>
      </c>
      <c r="P684" s="18" t="s">
        <v>162</v>
      </c>
      <c r="Q684" s="19">
        <v>2771.5</v>
      </c>
    </row>
    <row r="685">
      <c r="A685" s="18" t="s">
        <v>1596</v>
      </c>
      <c r="B685" s="18" t="s">
        <v>44</v>
      </c>
      <c r="C685" s="18" t="s">
        <v>1239</v>
      </c>
      <c r="D685" s="18" t="s">
        <v>2001</v>
      </c>
      <c r="E685" s="18" t="s">
        <v>2002</v>
      </c>
      <c r="F685" s="18" t="s">
        <v>228</v>
      </c>
      <c r="G685" s="18">
        <v>42.02</v>
      </c>
      <c r="H685" s="18" t="s">
        <v>168</v>
      </c>
      <c r="I685" s="19">
        <v>6938.0</v>
      </c>
      <c r="J685" s="19">
        <v>7300.0</v>
      </c>
      <c r="L685" s="18" t="s">
        <v>2003</v>
      </c>
      <c r="M685" s="18" t="s">
        <v>2004</v>
      </c>
      <c r="N685" s="18" t="s">
        <v>131</v>
      </c>
      <c r="O685" s="18" t="s">
        <v>83</v>
      </c>
      <c r="P685" s="18" t="s">
        <v>162</v>
      </c>
      <c r="Q685" s="19">
        <v>4171.4</v>
      </c>
    </row>
    <row r="686">
      <c r="A686" s="18" t="s">
        <v>1596</v>
      </c>
      <c r="B686" s="18" t="s">
        <v>44</v>
      </c>
      <c r="C686" s="18" t="s">
        <v>76</v>
      </c>
      <c r="D686" s="18" t="s">
        <v>2005</v>
      </c>
      <c r="E686" s="18" t="s">
        <v>2006</v>
      </c>
      <c r="F686" s="18" t="s">
        <v>228</v>
      </c>
      <c r="G686" s="18">
        <v>20.93</v>
      </c>
      <c r="H686" s="18" t="s">
        <v>120</v>
      </c>
      <c r="I686" s="19">
        <v>4576.0</v>
      </c>
      <c r="J686" s="19">
        <v>4850.0</v>
      </c>
      <c r="L686" s="18" t="s">
        <v>2007</v>
      </c>
      <c r="M686" s="18" t="s">
        <v>2008</v>
      </c>
      <c r="N686" s="18" t="s">
        <v>131</v>
      </c>
      <c r="O686" s="18" t="s">
        <v>41</v>
      </c>
      <c r="P686" s="18" t="s">
        <v>162</v>
      </c>
      <c r="Q686" s="19">
        <v>2771.5</v>
      </c>
    </row>
    <row r="687">
      <c r="A687" s="18" t="s">
        <v>282</v>
      </c>
      <c r="B687" s="18" t="s">
        <v>45</v>
      </c>
      <c r="C687" s="18" t="s">
        <v>45</v>
      </c>
      <c r="D687" s="18" t="s">
        <v>2009</v>
      </c>
      <c r="E687" s="18" t="s">
        <v>2010</v>
      </c>
      <c r="F687" s="18" t="s">
        <v>228</v>
      </c>
      <c r="G687" s="18">
        <v>11.1</v>
      </c>
      <c r="H687" s="18" t="s">
        <v>45</v>
      </c>
      <c r="I687" s="19">
        <v>2838.0</v>
      </c>
      <c r="J687" s="19">
        <v>3450.0</v>
      </c>
      <c r="K687" s="19">
        <v>3450.0</v>
      </c>
      <c r="L687" s="18" t="s">
        <v>2011</v>
      </c>
      <c r="M687" s="18" t="s">
        <v>2012</v>
      </c>
      <c r="N687" s="18" t="s">
        <v>143</v>
      </c>
      <c r="O687" s="18" t="s">
        <v>57</v>
      </c>
      <c r="P687" s="18" t="s">
        <v>63</v>
      </c>
      <c r="Q687" s="19">
        <v>3300.0</v>
      </c>
    </row>
    <row r="688">
      <c r="A688" s="18" t="s">
        <v>216</v>
      </c>
      <c r="B688" s="18" t="s">
        <v>44</v>
      </c>
      <c r="C688" s="18" t="s">
        <v>113</v>
      </c>
      <c r="D688" s="18" t="s">
        <v>2013</v>
      </c>
      <c r="E688" s="18" t="s">
        <v>2014</v>
      </c>
      <c r="F688" s="18" t="s">
        <v>228</v>
      </c>
      <c r="G688" s="18">
        <v>9.94</v>
      </c>
      <c r="H688" s="18" t="s">
        <v>116</v>
      </c>
      <c r="I688" s="19">
        <v>4173.0</v>
      </c>
      <c r="J688" s="19">
        <v>5850.0</v>
      </c>
      <c r="K688" s="19">
        <v>5050.0</v>
      </c>
      <c r="L688" s="18" t="s">
        <v>2015</v>
      </c>
      <c r="M688" s="18" t="s">
        <v>2016</v>
      </c>
      <c r="N688" s="18" t="s">
        <v>363</v>
      </c>
      <c r="O688" s="18" t="s">
        <v>41</v>
      </c>
      <c r="P688" s="18" t="s">
        <v>42</v>
      </c>
      <c r="Q688" s="19">
        <v>5650.0</v>
      </c>
    </row>
    <row r="689">
      <c r="A689" s="18" t="s">
        <v>216</v>
      </c>
      <c r="B689" s="18" t="s">
        <v>44</v>
      </c>
      <c r="C689" s="18" t="s">
        <v>133</v>
      </c>
      <c r="D689" s="18" t="s">
        <v>2017</v>
      </c>
      <c r="E689" s="18" t="s">
        <v>2018</v>
      </c>
      <c r="F689" s="18" t="s">
        <v>228</v>
      </c>
      <c r="G689" s="18">
        <v>11.89</v>
      </c>
      <c r="H689" s="18" t="s">
        <v>56</v>
      </c>
      <c r="I689" s="19">
        <v>4684.0</v>
      </c>
      <c r="J689" s="19">
        <v>6600.0</v>
      </c>
      <c r="K689" s="19">
        <v>5650.0</v>
      </c>
      <c r="L689" s="18" t="s">
        <v>2019</v>
      </c>
      <c r="M689" s="18" t="s">
        <v>2020</v>
      </c>
      <c r="N689" s="18" t="s">
        <v>403</v>
      </c>
      <c r="O689" s="18" t="s">
        <v>57</v>
      </c>
      <c r="P689" s="18" t="s">
        <v>42</v>
      </c>
      <c r="Q689" s="19">
        <v>5350.0</v>
      </c>
    </row>
    <row r="690">
      <c r="A690" s="18" t="s">
        <v>216</v>
      </c>
      <c r="B690" s="18" t="s">
        <v>44</v>
      </c>
      <c r="C690" s="18" t="s">
        <v>133</v>
      </c>
      <c r="D690" s="18" t="s">
        <v>221</v>
      </c>
      <c r="E690" s="18" t="s">
        <v>222</v>
      </c>
      <c r="F690" s="18" t="s">
        <v>228</v>
      </c>
      <c r="G690" s="18">
        <v>11.75</v>
      </c>
      <c r="H690" s="18" t="s">
        <v>56</v>
      </c>
      <c r="I690" s="19">
        <v>4684.0</v>
      </c>
      <c r="J690" s="19">
        <v>6600.0</v>
      </c>
      <c r="K690" s="19">
        <v>5650.0</v>
      </c>
      <c r="L690" s="18" t="s">
        <v>3639</v>
      </c>
      <c r="M690" s="18" t="s">
        <v>3640</v>
      </c>
      <c r="N690" s="18" t="s">
        <v>903</v>
      </c>
      <c r="O690" s="18" t="s">
        <v>41</v>
      </c>
      <c r="P690" s="18" t="s">
        <v>42</v>
      </c>
      <c r="Q690" s="19">
        <v>6350.0</v>
      </c>
    </row>
    <row r="691">
      <c r="A691" s="18" t="s">
        <v>35</v>
      </c>
      <c r="B691" s="18" t="s">
        <v>44</v>
      </c>
      <c r="C691" s="18" t="s">
        <v>64</v>
      </c>
      <c r="D691" s="18" t="s">
        <v>2021</v>
      </c>
      <c r="E691" s="18" t="s">
        <v>2022</v>
      </c>
      <c r="F691" s="18" t="s">
        <v>228</v>
      </c>
      <c r="G691" s="18">
        <v>19.15</v>
      </c>
      <c r="H691" s="18" t="s">
        <v>120</v>
      </c>
      <c r="I691" s="19">
        <v>6648.0</v>
      </c>
      <c r="J691" s="19">
        <v>9000.0</v>
      </c>
      <c r="K691" s="19">
        <v>8000.0</v>
      </c>
      <c r="L691" s="18" t="s">
        <v>2023</v>
      </c>
      <c r="M691" s="18" t="s">
        <v>2024</v>
      </c>
      <c r="N691" s="18" t="s">
        <v>403</v>
      </c>
      <c r="O691" s="18" t="s">
        <v>41</v>
      </c>
      <c r="P691" s="18" t="s">
        <v>42</v>
      </c>
      <c r="Q691" s="19">
        <v>9000.0</v>
      </c>
    </row>
    <row r="692">
      <c r="A692" s="18" t="s">
        <v>148</v>
      </c>
      <c r="B692" s="18" t="s">
        <v>44</v>
      </c>
      <c r="C692" s="18" t="s">
        <v>76</v>
      </c>
      <c r="D692" s="18" t="s">
        <v>2032</v>
      </c>
      <c r="E692" s="18" t="s">
        <v>2033</v>
      </c>
      <c r="F692" s="18" t="s">
        <v>228</v>
      </c>
      <c r="G692" s="18">
        <v>21.6</v>
      </c>
      <c r="H692" s="18" t="s">
        <v>56</v>
      </c>
      <c r="I692" s="19">
        <v>8349.0</v>
      </c>
      <c r="J692" s="19">
        <v>8350.0</v>
      </c>
      <c r="K692" s="19">
        <v>10050.0</v>
      </c>
      <c r="L692" s="18" t="s">
        <v>2034</v>
      </c>
      <c r="M692" s="18" t="s">
        <v>2035</v>
      </c>
      <c r="N692" s="18" t="s">
        <v>403</v>
      </c>
      <c r="O692" s="18" t="s">
        <v>151</v>
      </c>
      <c r="P692" s="18" t="s">
        <v>48</v>
      </c>
      <c r="Q692" s="19">
        <v>7500.0</v>
      </c>
    </row>
    <row r="693">
      <c r="A693" s="18" t="s">
        <v>216</v>
      </c>
      <c r="B693" s="18" t="s">
        <v>44</v>
      </c>
      <c r="C693" s="18" t="s">
        <v>133</v>
      </c>
      <c r="D693" s="18" t="s">
        <v>2036</v>
      </c>
      <c r="E693" s="18" t="s">
        <v>2037</v>
      </c>
      <c r="F693" s="18" t="s">
        <v>228</v>
      </c>
      <c r="G693" s="18">
        <v>11.98</v>
      </c>
      <c r="H693" s="18" t="s">
        <v>56</v>
      </c>
      <c r="I693" s="19">
        <v>4684.0</v>
      </c>
      <c r="J693" s="19">
        <v>6600.0</v>
      </c>
      <c r="K693" s="19">
        <v>5650.0</v>
      </c>
      <c r="L693" s="18" t="s">
        <v>2038</v>
      </c>
      <c r="M693" s="18" t="s">
        <v>2039</v>
      </c>
      <c r="N693" s="18" t="s">
        <v>403</v>
      </c>
      <c r="O693" s="18" t="s">
        <v>57</v>
      </c>
      <c r="P693" s="18" t="s">
        <v>42</v>
      </c>
      <c r="Q693" s="19">
        <v>5350.0</v>
      </c>
    </row>
    <row r="694">
      <c r="A694" s="18" t="s">
        <v>154</v>
      </c>
      <c r="B694" s="18" t="s">
        <v>44</v>
      </c>
      <c r="C694" s="18" t="s">
        <v>53</v>
      </c>
      <c r="D694" s="18" t="s">
        <v>155</v>
      </c>
      <c r="E694" s="18" t="s">
        <v>156</v>
      </c>
      <c r="F694" s="18" t="s">
        <v>228</v>
      </c>
      <c r="G694" s="18">
        <v>16.0</v>
      </c>
      <c r="H694" s="18" t="s">
        <v>56</v>
      </c>
      <c r="I694" s="19">
        <v>4799.0</v>
      </c>
      <c r="J694" s="19">
        <v>6750.0</v>
      </c>
      <c r="K694" s="19">
        <v>5800.0</v>
      </c>
      <c r="L694" s="18" t="s">
        <v>3641</v>
      </c>
      <c r="M694" s="18" t="s">
        <v>3642</v>
      </c>
      <c r="N694" s="18" t="s">
        <v>903</v>
      </c>
      <c r="O694" s="18" t="s">
        <v>151</v>
      </c>
      <c r="P694" s="18" t="s">
        <v>157</v>
      </c>
      <c r="Q694" s="19">
        <v>6150.0</v>
      </c>
    </row>
    <row r="695">
      <c r="A695" s="18" t="s">
        <v>132</v>
      </c>
      <c r="B695" s="18" t="s">
        <v>44</v>
      </c>
      <c r="C695" s="18" t="s">
        <v>180</v>
      </c>
      <c r="D695" s="18" t="s">
        <v>2676</v>
      </c>
      <c r="E695" s="18" t="s">
        <v>2677</v>
      </c>
      <c r="F695" s="18" t="s">
        <v>228</v>
      </c>
      <c r="G695" s="18">
        <v>22.33</v>
      </c>
      <c r="H695" s="18" t="s">
        <v>574</v>
      </c>
      <c r="I695" s="19">
        <v>4348.5</v>
      </c>
      <c r="J695" s="19">
        <v>3500.0</v>
      </c>
      <c r="K695" s="19">
        <v>2200.0</v>
      </c>
      <c r="L695" s="18" t="s">
        <v>3643</v>
      </c>
      <c r="M695" s="18" t="s">
        <v>3644</v>
      </c>
      <c r="N695" s="18" t="s">
        <v>363</v>
      </c>
      <c r="O695" s="18" t="s">
        <v>57</v>
      </c>
      <c r="Q695" s="19">
        <v>3500.0</v>
      </c>
    </row>
    <row r="696">
      <c r="A696" s="18" t="s">
        <v>210</v>
      </c>
      <c r="B696" s="18" t="s">
        <v>44</v>
      </c>
      <c r="C696" s="18" t="s">
        <v>133</v>
      </c>
      <c r="D696" s="18" t="s">
        <v>2043</v>
      </c>
      <c r="E696" s="18" t="s">
        <v>2044</v>
      </c>
      <c r="F696" s="18" t="s">
        <v>228</v>
      </c>
      <c r="G696" s="18">
        <v>13.34</v>
      </c>
      <c r="H696" s="18" t="s">
        <v>56</v>
      </c>
      <c r="I696" s="19">
        <v>5250.0</v>
      </c>
      <c r="J696" s="19">
        <v>6850.0</v>
      </c>
      <c r="K696" s="19">
        <v>6300.0</v>
      </c>
      <c r="L696" s="18" t="s">
        <v>2045</v>
      </c>
      <c r="M696" s="18" t="s">
        <v>2046</v>
      </c>
      <c r="N696" s="18" t="s">
        <v>240</v>
      </c>
      <c r="O696" s="18" t="s">
        <v>57</v>
      </c>
      <c r="P696" s="18" t="s">
        <v>63</v>
      </c>
      <c r="Q696" s="19">
        <v>3100.0</v>
      </c>
    </row>
    <row r="697">
      <c r="A697" s="18" t="s">
        <v>148</v>
      </c>
      <c r="B697" s="18" t="s">
        <v>44</v>
      </c>
      <c r="C697" s="18" t="s">
        <v>64</v>
      </c>
      <c r="D697" s="18" t="s">
        <v>2047</v>
      </c>
      <c r="E697" s="18" t="s">
        <v>2048</v>
      </c>
      <c r="F697" s="18" t="s">
        <v>228</v>
      </c>
      <c r="G697" s="18">
        <v>17.8</v>
      </c>
      <c r="H697" s="18" t="s">
        <v>56</v>
      </c>
      <c r="I697" s="19">
        <v>7096.0</v>
      </c>
      <c r="J697" s="19">
        <v>7100.0</v>
      </c>
      <c r="K697" s="19">
        <v>8550.0</v>
      </c>
      <c r="L697" s="18" t="s">
        <v>2049</v>
      </c>
      <c r="M697" s="18" t="s">
        <v>2050</v>
      </c>
      <c r="N697" s="18" t="s">
        <v>240</v>
      </c>
      <c r="O697" s="18" t="s">
        <v>151</v>
      </c>
      <c r="P697" s="18" t="s">
        <v>48</v>
      </c>
      <c r="Q697" s="19">
        <v>5700.0</v>
      </c>
    </row>
    <row r="698">
      <c r="A698" s="18" t="s">
        <v>1899</v>
      </c>
      <c r="B698" s="18" t="s">
        <v>44</v>
      </c>
      <c r="C698" s="18" t="s">
        <v>76</v>
      </c>
      <c r="D698" s="18" t="s">
        <v>2059</v>
      </c>
      <c r="E698" s="18" t="s">
        <v>2060</v>
      </c>
      <c r="F698" s="18" t="s">
        <v>228</v>
      </c>
      <c r="G698" s="18">
        <v>19.04</v>
      </c>
      <c r="H698" s="18" t="s">
        <v>120</v>
      </c>
      <c r="I698" s="19">
        <v>3799.0</v>
      </c>
      <c r="J698" s="19">
        <v>0.0</v>
      </c>
      <c r="L698" s="18" t="s">
        <v>2061</v>
      </c>
      <c r="M698" s="18" t="s">
        <v>2062</v>
      </c>
      <c r="N698" s="18" t="s">
        <v>363</v>
      </c>
      <c r="O698" s="18" t="s">
        <v>41</v>
      </c>
      <c r="Q698" s="19">
        <v>3799.0</v>
      </c>
    </row>
    <row r="699">
      <c r="A699" s="18" t="s">
        <v>132</v>
      </c>
      <c r="B699" s="18" t="s">
        <v>44</v>
      </c>
      <c r="C699" s="18" t="s">
        <v>133</v>
      </c>
      <c r="D699" s="18" t="s">
        <v>134</v>
      </c>
      <c r="E699" s="18" t="s">
        <v>135</v>
      </c>
      <c r="F699" s="18" t="s">
        <v>228</v>
      </c>
      <c r="G699" s="18">
        <v>14.78</v>
      </c>
      <c r="H699" s="18" t="s">
        <v>62</v>
      </c>
      <c r="I699" s="19">
        <v>2975.44</v>
      </c>
      <c r="J699" s="19">
        <v>2400.0</v>
      </c>
      <c r="K699" s="19">
        <v>3500.0</v>
      </c>
      <c r="L699" s="18" t="s">
        <v>3645</v>
      </c>
      <c r="M699" s="18" t="s">
        <v>3646</v>
      </c>
      <c r="N699" s="18" t="s">
        <v>131</v>
      </c>
      <c r="O699" s="18" t="s">
        <v>41</v>
      </c>
      <c r="Q699" s="19">
        <v>2400.0</v>
      </c>
    </row>
    <row r="700">
      <c r="A700" s="18" t="s">
        <v>1899</v>
      </c>
      <c r="B700" s="18" t="s">
        <v>44</v>
      </c>
      <c r="C700" s="18" t="s">
        <v>53</v>
      </c>
      <c r="D700" s="18" t="s">
        <v>2063</v>
      </c>
      <c r="E700" s="18" t="s">
        <v>2064</v>
      </c>
      <c r="F700" s="18" t="s">
        <v>228</v>
      </c>
      <c r="G700" s="18">
        <v>15.02</v>
      </c>
      <c r="H700" s="18" t="s">
        <v>56</v>
      </c>
      <c r="I700" s="19">
        <v>3049.0</v>
      </c>
      <c r="J700" s="19">
        <v>0.0</v>
      </c>
      <c r="L700" s="18" t="s">
        <v>2065</v>
      </c>
      <c r="M700" s="18" t="s">
        <v>2066</v>
      </c>
      <c r="N700" s="18" t="s">
        <v>363</v>
      </c>
      <c r="O700" s="18" t="s">
        <v>57</v>
      </c>
      <c r="Q700" s="19">
        <v>3049.0</v>
      </c>
    </row>
    <row r="701">
      <c r="A701" s="18" t="s">
        <v>1899</v>
      </c>
      <c r="B701" s="18" t="s">
        <v>44</v>
      </c>
      <c r="C701" s="18" t="s">
        <v>53</v>
      </c>
      <c r="D701" s="18" t="s">
        <v>2067</v>
      </c>
      <c r="E701" s="18" t="s">
        <v>2068</v>
      </c>
      <c r="F701" s="18" t="s">
        <v>228</v>
      </c>
      <c r="G701" s="18">
        <v>15.02</v>
      </c>
      <c r="H701" s="18" t="s">
        <v>56</v>
      </c>
      <c r="I701" s="19">
        <v>3049.0</v>
      </c>
      <c r="J701" s="19">
        <v>0.0</v>
      </c>
      <c r="L701" s="18" t="s">
        <v>2069</v>
      </c>
      <c r="M701" s="18" t="s">
        <v>2070</v>
      </c>
      <c r="N701" s="18" t="s">
        <v>363</v>
      </c>
      <c r="O701" s="18" t="s">
        <v>41</v>
      </c>
      <c r="Q701" s="19">
        <v>3049.0</v>
      </c>
    </row>
    <row r="702">
      <c r="A702" s="18" t="s">
        <v>1899</v>
      </c>
      <c r="B702" s="18" t="s">
        <v>44</v>
      </c>
      <c r="C702" s="18" t="s">
        <v>53</v>
      </c>
      <c r="D702" s="18" t="s">
        <v>2071</v>
      </c>
      <c r="E702" s="18" t="s">
        <v>2072</v>
      </c>
      <c r="F702" s="18" t="s">
        <v>228</v>
      </c>
      <c r="G702" s="18">
        <v>15.29</v>
      </c>
      <c r="H702" s="18" t="s">
        <v>56</v>
      </c>
      <c r="I702" s="19">
        <v>3049.0</v>
      </c>
      <c r="J702" s="19">
        <v>0.0</v>
      </c>
      <c r="L702" s="18" t="s">
        <v>2073</v>
      </c>
      <c r="M702" s="18" t="s">
        <v>2074</v>
      </c>
      <c r="N702" s="18" t="s">
        <v>363</v>
      </c>
      <c r="O702" s="18" t="s">
        <v>41</v>
      </c>
      <c r="Q702" s="19">
        <v>3049.0</v>
      </c>
    </row>
    <row r="703">
      <c r="A703" s="18" t="s">
        <v>1899</v>
      </c>
      <c r="B703" s="18" t="s">
        <v>44</v>
      </c>
      <c r="C703" s="18" t="s">
        <v>1781</v>
      </c>
      <c r="D703" s="18" t="s">
        <v>2075</v>
      </c>
      <c r="E703" s="18" t="s">
        <v>2076</v>
      </c>
      <c r="F703" s="18" t="s">
        <v>228</v>
      </c>
      <c r="G703" s="18">
        <v>35.04</v>
      </c>
      <c r="H703" s="18" t="s">
        <v>168</v>
      </c>
      <c r="I703" s="19">
        <v>4913.0</v>
      </c>
      <c r="J703" s="19">
        <v>0.0</v>
      </c>
      <c r="L703" s="18" t="s">
        <v>2077</v>
      </c>
      <c r="M703" s="18" t="s">
        <v>2078</v>
      </c>
      <c r="N703" s="18" t="s">
        <v>363</v>
      </c>
      <c r="O703" s="18" t="s">
        <v>41</v>
      </c>
      <c r="Q703" s="19">
        <v>4913.0</v>
      </c>
    </row>
    <row r="704">
      <c r="A704" s="18" t="s">
        <v>1899</v>
      </c>
      <c r="B704" s="18" t="s">
        <v>44</v>
      </c>
      <c r="C704" s="18" t="s">
        <v>64</v>
      </c>
      <c r="D704" s="18" t="s">
        <v>2079</v>
      </c>
      <c r="E704" s="18" t="s">
        <v>2080</v>
      </c>
      <c r="F704" s="18" t="s">
        <v>228</v>
      </c>
      <c r="G704" s="18">
        <v>17.06</v>
      </c>
      <c r="H704" s="18" t="s">
        <v>120</v>
      </c>
      <c r="I704" s="19">
        <v>3401.0</v>
      </c>
      <c r="J704" s="19">
        <v>0.0</v>
      </c>
      <c r="L704" s="18" t="s">
        <v>2081</v>
      </c>
      <c r="M704" s="18" t="s">
        <v>2082</v>
      </c>
      <c r="N704" s="18" t="s">
        <v>363</v>
      </c>
      <c r="O704" s="18" t="s">
        <v>41</v>
      </c>
      <c r="Q704" s="19">
        <v>3401.0</v>
      </c>
    </row>
    <row r="705">
      <c r="A705" s="18" t="s">
        <v>1899</v>
      </c>
      <c r="B705" s="18" t="s">
        <v>44</v>
      </c>
      <c r="C705" s="18" t="s">
        <v>1781</v>
      </c>
      <c r="D705" s="18" t="s">
        <v>2083</v>
      </c>
      <c r="E705" s="18" t="s">
        <v>2084</v>
      </c>
      <c r="F705" s="18" t="s">
        <v>228</v>
      </c>
      <c r="G705" s="18">
        <v>35.88</v>
      </c>
      <c r="H705" s="18" t="s">
        <v>168</v>
      </c>
      <c r="I705" s="19">
        <v>4913.0</v>
      </c>
      <c r="J705" s="19">
        <v>0.0</v>
      </c>
      <c r="L705" s="18" t="s">
        <v>2085</v>
      </c>
      <c r="M705" s="18" t="s">
        <v>2086</v>
      </c>
      <c r="N705" s="18" t="s">
        <v>363</v>
      </c>
      <c r="O705" s="18" t="s">
        <v>57</v>
      </c>
      <c r="Q705" s="19">
        <v>4913.0</v>
      </c>
    </row>
    <row r="706">
      <c r="A706" s="18" t="s">
        <v>1899</v>
      </c>
      <c r="B706" s="18" t="s">
        <v>44</v>
      </c>
      <c r="C706" s="18" t="s">
        <v>53</v>
      </c>
      <c r="D706" s="18" t="s">
        <v>2087</v>
      </c>
      <c r="E706" s="18" t="s">
        <v>2088</v>
      </c>
      <c r="F706" s="18" t="s">
        <v>228</v>
      </c>
      <c r="G706" s="18">
        <v>15.01</v>
      </c>
      <c r="H706" s="18" t="s">
        <v>56</v>
      </c>
      <c r="I706" s="19">
        <v>3049.0</v>
      </c>
      <c r="J706" s="19">
        <v>0.0</v>
      </c>
      <c r="L706" s="18" t="s">
        <v>2089</v>
      </c>
      <c r="M706" s="18" t="s">
        <v>2090</v>
      </c>
      <c r="N706" s="18" t="s">
        <v>363</v>
      </c>
      <c r="O706" s="18" t="s">
        <v>57</v>
      </c>
      <c r="Q706" s="19">
        <v>3049.0</v>
      </c>
    </row>
    <row r="707">
      <c r="A707" s="18" t="s">
        <v>1899</v>
      </c>
      <c r="B707" s="18" t="s">
        <v>44</v>
      </c>
      <c r="C707" s="18" t="s">
        <v>53</v>
      </c>
      <c r="D707" s="18" t="s">
        <v>2091</v>
      </c>
      <c r="E707" s="18" t="s">
        <v>2092</v>
      </c>
      <c r="F707" s="18" t="s">
        <v>228</v>
      </c>
      <c r="G707" s="18">
        <v>15.01</v>
      </c>
      <c r="H707" s="18" t="s">
        <v>56</v>
      </c>
      <c r="I707" s="19">
        <v>3049.0</v>
      </c>
      <c r="J707" s="19">
        <v>0.0</v>
      </c>
      <c r="L707" s="18" t="s">
        <v>2093</v>
      </c>
      <c r="M707" s="18" t="s">
        <v>2094</v>
      </c>
      <c r="N707" s="18" t="s">
        <v>363</v>
      </c>
      <c r="O707" s="18" t="s">
        <v>41</v>
      </c>
      <c r="Q707" s="19">
        <v>3049.0</v>
      </c>
    </row>
    <row r="708">
      <c r="A708" s="18" t="s">
        <v>1899</v>
      </c>
      <c r="B708" s="18" t="s">
        <v>44</v>
      </c>
      <c r="C708" s="18" t="s">
        <v>37</v>
      </c>
      <c r="D708" s="18" t="s">
        <v>2095</v>
      </c>
      <c r="E708" s="18" t="s">
        <v>2096</v>
      </c>
      <c r="F708" s="18" t="s">
        <v>228</v>
      </c>
      <c r="G708" s="18">
        <v>48.02</v>
      </c>
      <c r="H708" s="18" t="s">
        <v>168</v>
      </c>
      <c r="I708" s="19">
        <v>6454.0</v>
      </c>
      <c r="J708" s="19">
        <v>0.0</v>
      </c>
      <c r="L708" s="18" t="s">
        <v>2097</v>
      </c>
      <c r="M708" s="18" t="s">
        <v>2098</v>
      </c>
      <c r="N708" s="18" t="s">
        <v>363</v>
      </c>
      <c r="O708" s="18" t="s">
        <v>57</v>
      </c>
      <c r="Q708" s="19">
        <v>6454.0</v>
      </c>
    </row>
    <row r="709">
      <c r="A709" s="18" t="s">
        <v>1899</v>
      </c>
      <c r="B709" s="18" t="s">
        <v>44</v>
      </c>
      <c r="C709" s="18" t="s">
        <v>76</v>
      </c>
      <c r="D709" s="18" t="s">
        <v>2099</v>
      </c>
      <c r="E709" s="18" t="s">
        <v>2100</v>
      </c>
      <c r="F709" s="18" t="s">
        <v>228</v>
      </c>
      <c r="G709" s="18">
        <v>20.18</v>
      </c>
      <c r="H709" s="18" t="s">
        <v>120</v>
      </c>
      <c r="I709" s="19">
        <v>3799.0</v>
      </c>
      <c r="J709" s="19">
        <v>0.0</v>
      </c>
      <c r="L709" s="18" t="s">
        <v>2101</v>
      </c>
      <c r="M709" s="18" t="s">
        <v>2102</v>
      </c>
      <c r="N709" s="18" t="s">
        <v>363</v>
      </c>
      <c r="O709" s="18" t="s">
        <v>57</v>
      </c>
      <c r="Q709" s="19">
        <v>3799.0</v>
      </c>
    </row>
    <row r="710">
      <c r="A710" s="18" t="s">
        <v>1899</v>
      </c>
      <c r="B710" s="18" t="s">
        <v>44</v>
      </c>
      <c r="C710" s="18" t="s">
        <v>53</v>
      </c>
      <c r="D710" s="18" t="s">
        <v>2103</v>
      </c>
      <c r="E710" s="18" t="s">
        <v>2104</v>
      </c>
      <c r="F710" s="18" t="s">
        <v>228</v>
      </c>
      <c r="G710" s="18">
        <v>15.02</v>
      </c>
      <c r="H710" s="18" t="s">
        <v>56</v>
      </c>
      <c r="I710" s="19">
        <v>3049.0</v>
      </c>
      <c r="J710" s="19">
        <v>0.0</v>
      </c>
      <c r="L710" s="18" t="s">
        <v>2105</v>
      </c>
      <c r="M710" s="18" t="s">
        <v>2106</v>
      </c>
      <c r="N710" s="18" t="s">
        <v>363</v>
      </c>
      <c r="O710" s="18" t="s">
        <v>57</v>
      </c>
      <c r="Q710" s="19">
        <v>3049.0</v>
      </c>
    </row>
    <row r="711">
      <c r="A711" s="18" t="s">
        <v>1899</v>
      </c>
      <c r="B711" s="18" t="s">
        <v>44</v>
      </c>
      <c r="C711" s="18" t="s">
        <v>53</v>
      </c>
      <c r="D711" s="18" t="s">
        <v>2107</v>
      </c>
      <c r="E711" s="18" t="s">
        <v>2108</v>
      </c>
      <c r="F711" s="18" t="s">
        <v>228</v>
      </c>
      <c r="G711" s="18">
        <v>15.02</v>
      </c>
      <c r="H711" s="18" t="s">
        <v>56</v>
      </c>
      <c r="I711" s="19">
        <v>3049.0</v>
      </c>
      <c r="J711" s="19">
        <v>0.0</v>
      </c>
      <c r="L711" s="18" t="s">
        <v>2109</v>
      </c>
      <c r="M711" s="18" t="s">
        <v>2110</v>
      </c>
      <c r="N711" s="18" t="s">
        <v>363</v>
      </c>
      <c r="O711" s="18" t="s">
        <v>57</v>
      </c>
      <c r="Q711" s="19">
        <v>3049.0</v>
      </c>
    </row>
    <row r="712">
      <c r="A712" s="18" t="s">
        <v>148</v>
      </c>
      <c r="B712" s="18" t="s">
        <v>45</v>
      </c>
      <c r="C712" s="18" t="s">
        <v>45</v>
      </c>
      <c r="D712" s="18" t="s">
        <v>2111</v>
      </c>
      <c r="E712" s="18" t="s">
        <v>2112</v>
      </c>
      <c r="F712" s="18" t="s">
        <v>228</v>
      </c>
      <c r="G712" s="18">
        <v>8.8</v>
      </c>
      <c r="H712" s="18" t="s">
        <v>45</v>
      </c>
      <c r="I712" s="19">
        <v>4171.0</v>
      </c>
      <c r="J712" s="19">
        <v>4200.0</v>
      </c>
      <c r="K712" s="19">
        <v>5050.0</v>
      </c>
      <c r="L712" s="18" t="s">
        <v>2113</v>
      </c>
      <c r="M712" s="18" t="s">
        <v>2114</v>
      </c>
      <c r="N712" s="18" t="s">
        <v>240</v>
      </c>
      <c r="O712" s="18" t="s">
        <v>57</v>
      </c>
      <c r="P712" s="18" t="s">
        <v>48</v>
      </c>
      <c r="Q712" s="19">
        <v>4200.0</v>
      </c>
    </row>
    <row r="713">
      <c r="A713" s="18" t="s">
        <v>158</v>
      </c>
      <c r="B713" s="18" t="s">
        <v>44</v>
      </c>
      <c r="C713" s="18" t="s">
        <v>64</v>
      </c>
      <c r="D713" s="18" t="s">
        <v>2119</v>
      </c>
      <c r="E713" s="18" t="s">
        <v>2120</v>
      </c>
      <c r="F713" s="18" t="s">
        <v>228</v>
      </c>
      <c r="G713" s="18">
        <v>18.3</v>
      </c>
      <c r="H713" s="18" t="s">
        <v>120</v>
      </c>
      <c r="I713" s="19">
        <v>5516.0</v>
      </c>
      <c r="J713" s="19">
        <v>5550.0</v>
      </c>
      <c r="K713" s="19">
        <v>6700.0</v>
      </c>
      <c r="L713" s="18" t="s">
        <v>2121</v>
      </c>
      <c r="M713" s="18" t="s">
        <v>2122</v>
      </c>
      <c r="N713" s="18" t="s">
        <v>403</v>
      </c>
      <c r="O713" s="18" t="s">
        <v>161</v>
      </c>
      <c r="P713" s="18" t="s">
        <v>162</v>
      </c>
      <c r="Q713" s="19">
        <v>5000.0</v>
      </c>
    </row>
    <row r="714">
      <c r="A714" s="18" t="s">
        <v>364</v>
      </c>
      <c r="B714" s="18" t="s">
        <v>44</v>
      </c>
      <c r="C714" s="18" t="s">
        <v>133</v>
      </c>
      <c r="D714" s="18" t="s">
        <v>2123</v>
      </c>
      <c r="E714" s="18" t="s">
        <v>2124</v>
      </c>
      <c r="F714" s="18" t="s">
        <v>228</v>
      </c>
      <c r="G714" s="18">
        <v>14.54</v>
      </c>
      <c r="H714" s="18" t="s">
        <v>56</v>
      </c>
      <c r="I714" s="19">
        <v>3750.0</v>
      </c>
      <c r="J714" s="19">
        <v>3000.0</v>
      </c>
      <c r="K714" s="19">
        <v>4500.0</v>
      </c>
      <c r="L714" s="18" t="s">
        <v>2125</v>
      </c>
      <c r="M714" s="18" t="s">
        <v>2126</v>
      </c>
      <c r="N714" s="18" t="s">
        <v>1980</v>
      </c>
      <c r="O714" s="18" t="s">
        <v>41</v>
      </c>
      <c r="P714" s="18" t="s">
        <v>369</v>
      </c>
      <c r="Q714" s="19">
        <v>3000.0</v>
      </c>
    </row>
    <row r="715">
      <c r="A715" s="18" t="s">
        <v>210</v>
      </c>
      <c r="B715" s="18" t="s">
        <v>45</v>
      </c>
      <c r="C715" s="18" t="s">
        <v>45</v>
      </c>
      <c r="D715" s="18" t="s">
        <v>2127</v>
      </c>
      <c r="E715" s="18" t="s">
        <v>2128</v>
      </c>
      <c r="F715" s="18" t="s">
        <v>228</v>
      </c>
      <c r="G715" s="18">
        <v>11.47</v>
      </c>
      <c r="H715" s="18" t="s">
        <v>40</v>
      </c>
      <c r="I715" s="19">
        <v>3100.0</v>
      </c>
      <c r="J715" s="19">
        <v>4050.0</v>
      </c>
      <c r="K715" s="19">
        <v>3750.0</v>
      </c>
      <c r="L715" s="18" t="s">
        <v>2129</v>
      </c>
      <c r="M715" s="18" t="s">
        <v>2130</v>
      </c>
      <c r="N715" s="18" t="s">
        <v>143</v>
      </c>
      <c r="O715" s="18" t="s">
        <v>57</v>
      </c>
      <c r="P715" s="18" t="s">
        <v>63</v>
      </c>
      <c r="Q715" s="19">
        <v>4050.0</v>
      </c>
    </row>
    <row r="716">
      <c r="A716" s="18" t="s">
        <v>1029</v>
      </c>
      <c r="B716" s="18" t="s">
        <v>44</v>
      </c>
      <c r="C716" s="18" t="s">
        <v>53</v>
      </c>
      <c r="D716" s="18" t="s">
        <v>2131</v>
      </c>
      <c r="E716" s="18" t="s">
        <v>2132</v>
      </c>
      <c r="F716" s="18" t="s">
        <v>228</v>
      </c>
      <c r="G716" s="18">
        <v>15.36</v>
      </c>
      <c r="H716" s="18" t="s">
        <v>56</v>
      </c>
      <c r="I716" s="19">
        <v>450.0</v>
      </c>
      <c r="J716" s="19">
        <v>360.0</v>
      </c>
      <c r="L716" s="18" t="s">
        <v>2133</v>
      </c>
      <c r="M716" s="18" t="s">
        <v>2134</v>
      </c>
      <c r="N716" s="18" t="s">
        <v>1034</v>
      </c>
      <c r="O716" s="18" t="s">
        <v>83</v>
      </c>
      <c r="Q716" s="19">
        <v>450.0</v>
      </c>
    </row>
    <row r="717">
      <c r="A717" s="18" t="s">
        <v>1029</v>
      </c>
      <c r="B717" s="18" t="s">
        <v>44</v>
      </c>
      <c r="C717" s="18" t="s">
        <v>53</v>
      </c>
      <c r="D717" s="18" t="s">
        <v>2135</v>
      </c>
      <c r="E717" s="18" t="s">
        <v>2136</v>
      </c>
      <c r="F717" s="18" t="s">
        <v>228</v>
      </c>
      <c r="G717" s="18">
        <v>15.88</v>
      </c>
      <c r="H717" s="18" t="s">
        <v>56</v>
      </c>
      <c r="I717" s="19">
        <v>450.0</v>
      </c>
      <c r="J717" s="19">
        <v>360.0</v>
      </c>
      <c r="L717" s="18" t="s">
        <v>2137</v>
      </c>
      <c r="M717" s="18" t="s">
        <v>2138</v>
      </c>
      <c r="N717" s="18" t="s">
        <v>1034</v>
      </c>
      <c r="O717" s="18" t="s">
        <v>83</v>
      </c>
      <c r="Q717" s="19">
        <v>450.0</v>
      </c>
    </row>
    <row r="718">
      <c r="A718" s="18" t="s">
        <v>1029</v>
      </c>
      <c r="B718" s="18" t="s">
        <v>44</v>
      </c>
      <c r="C718" s="18" t="s">
        <v>64</v>
      </c>
      <c r="D718" s="18" t="s">
        <v>2139</v>
      </c>
      <c r="E718" s="18" t="s">
        <v>2140</v>
      </c>
      <c r="F718" s="18" t="s">
        <v>228</v>
      </c>
      <c r="G718" s="18">
        <v>18.21</v>
      </c>
      <c r="H718" s="18" t="s">
        <v>120</v>
      </c>
      <c r="I718" s="19">
        <v>513.0</v>
      </c>
      <c r="J718" s="19">
        <v>415.0</v>
      </c>
      <c r="L718" s="18" t="s">
        <v>2141</v>
      </c>
      <c r="M718" s="18" t="s">
        <v>2142</v>
      </c>
      <c r="N718" s="18" t="s">
        <v>1034</v>
      </c>
      <c r="O718" s="18" t="s">
        <v>83</v>
      </c>
      <c r="Q718" s="19">
        <v>513.0</v>
      </c>
    </row>
    <row r="719">
      <c r="A719" s="18" t="s">
        <v>1029</v>
      </c>
      <c r="B719" s="18" t="s">
        <v>44</v>
      </c>
      <c r="C719" s="18" t="s">
        <v>53</v>
      </c>
      <c r="D719" s="18" t="s">
        <v>2143</v>
      </c>
      <c r="E719" s="18" t="s">
        <v>2144</v>
      </c>
      <c r="F719" s="18" t="s">
        <v>228</v>
      </c>
      <c r="G719" s="18">
        <v>15.35</v>
      </c>
      <c r="H719" s="18" t="s">
        <v>56</v>
      </c>
      <c r="I719" s="19">
        <v>450.0</v>
      </c>
      <c r="J719" s="19">
        <v>360.0</v>
      </c>
      <c r="L719" s="18" t="s">
        <v>2145</v>
      </c>
      <c r="M719" s="18" t="s">
        <v>2146</v>
      </c>
      <c r="N719" s="18" t="s">
        <v>1034</v>
      </c>
      <c r="O719" s="18" t="s">
        <v>83</v>
      </c>
      <c r="Q719" s="19">
        <v>450.0</v>
      </c>
    </row>
    <row r="720">
      <c r="A720" s="18" t="s">
        <v>158</v>
      </c>
      <c r="B720" s="18" t="s">
        <v>44</v>
      </c>
      <c r="C720" s="18" t="s">
        <v>64</v>
      </c>
      <c r="D720" s="18" t="s">
        <v>2151</v>
      </c>
      <c r="E720" s="18" t="s">
        <v>2152</v>
      </c>
      <c r="F720" s="18" t="s">
        <v>228</v>
      </c>
      <c r="G720" s="18">
        <v>18.96</v>
      </c>
      <c r="H720" s="18" t="s">
        <v>120</v>
      </c>
      <c r="I720" s="19">
        <v>5516.0</v>
      </c>
      <c r="J720" s="19">
        <v>5550.0</v>
      </c>
      <c r="K720" s="19">
        <v>6700.0</v>
      </c>
      <c r="L720" s="18" t="s">
        <v>2153</v>
      </c>
      <c r="M720" s="18" t="s">
        <v>2154</v>
      </c>
      <c r="N720" s="18" t="s">
        <v>143</v>
      </c>
      <c r="O720" s="18" t="s">
        <v>161</v>
      </c>
      <c r="P720" s="18" t="s">
        <v>162</v>
      </c>
      <c r="Q720" s="19">
        <v>5550.0</v>
      </c>
    </row>
    <row r="721">
      <c r="A721" s="18" t="s">
        <v>912</v>
      </c>
      <c r="B721" s="18" t="s">
        <v>44</v>
      </c>
      <c r="C721" s="18" t="s">
        <v>53</v>
      </c>
      <c r="D721" s="18" t="s">
        <v>2155</v>
      </c>
      <c r="E721" s="18" t="s">
        <v>2156</v>
      </c>
      <c r="F721" s="18" t="s">
        <v>228</v>
      </c>
      <c r="G721" s="18">
        <v>16.07</v>
      </c>
      <c r="H721" s="18" t="s">
        <v>120</v>
      </c>
      <c r="I721" s="19">
        <v>4900.0</v>
      </c>
      <c r="J721" s="19">
        <v>6150.0</v>
      </c>
      <c r="K721" s="19">
        <v>5700.0</v>
      </c>
      <c r="L721" s="18" t="s">
        <v>2157</v>
      </c>
      <c r="M721" s="18" t="s">
        <v>3647</v>
      </c>
      <c r="N721" s="18" t="s">
        <v>143</v>
      </c>
      <c r="O721" s="18" t="s">
        <v>57</v>
      </c>
      <c r="P721" s="18" t="s">
        <v>917</v>
      </c>
      <c r="Q721" s="19">
        <v>4900.0</v>
      </c>
    </row>
    <row r="722">
      <c r="A722" s="18" t="s">
        <v>158</v>
      </c>
      <c r="B722" s="18" t="s">
        <v>45</v>
      </c>
      <c r="C722" s="18" t="s">
        <v>45</v>
      </c>
      <c r="D722" s="18" t="s">
        <v>2159</v>
      </c>
      <c r="E722" s="18" t="s">
        <v>2160</v>
      </c>
      <c r="F722" s="18" t="s">
        <v>228</v>
      </c>
      <c r="G722" s="18">
        <v>8.0</v>
      </c>
      <c r="H722" s="18" t="s">
        <v>45</v>
      </c>
      <c r="I722" s="19">
        <v>2542.0</v>
      </c>
      <c r="J722" s="19">
        <v>2550.0</v>
      </c>
      <c r="K722" s="19">
        <v>3100.0</v>
      </c>
      <c r="L722" s="18" t="s">
        <v>2161</v>
      </c>
      <c r="M722" s="18" t="s">
        <v>2162</v>
      </c>
      <c r="N722" s="18" t="s">
        <v>1980</v>
      </c>
      <c r="O722" s="18" t="s">
        <v>41</v>
      </c>
      <c r="P722" s="18" t="s">
        <v>162</v>
      </c>
      <c r="Q722" s="19">
        <v>2550.0</v>
      </c>
    </row>
    <row r="723">
      <c r="A723" s="18" t="s">
        <v>125</v>
      </c>
      <c r="B723" s="18" t="s">
        <v>36</v>
      </c>
      <c r="C723" s="18" t="s">
        <v>37</v>
      </c>
      <c r="D723" s="18" t="s">
        <v>2163</v>
      </c>
      <c r="E723" s="18" t="s">
        <v>2164</v>
      </c>
      <c r="F723" s="18" t="s">
        <v>228</v>
      </c>
      <c r="G723" s="18">
        <v>47.05</v>
      </c>
      <c r="H723" s="18" t="s">
        <v>168</v>
      </c>
      <c r="I723" s="19">
        <v>4500.0</v>
      </c>
      <c r="J723" s="19">
        <v>3850.0</v>
      </c>
      <c r="K723" s="19">
        <v>5700.0</v>
      </c>
      <c r="L723" s="18" t="s">
        <v>2165</v>
      </c>
      <c r="M723" s="18" t="s">
        <v>1737</v>
      </c>
      <c r="N723" s="18" t="s">
        <v>240</v>
      </c>
      <c r="O723" s="18" t="s">
        <v>41</v>
      </c>
      <c r="Q723" s="19">
        <v>3850.0</v>
      </c>
    </row>
    <row r="724">
      <c r="A724" s="18" t="s">
        <v>132</v>
      </c>
      <c r="B724" s="18" t="s">
        <v>44</v>
      </c>
      <c r="C724" s="18" t="s">
        <v>53</v>
      </c>
      <c r="D724" s="18" t="s">
        <v>2166</v>
      </c>
      <c r="E724" s="18" t="s">
        <v>2167</v>
      </c>
      <c r="F724" s="18" t="s">
        <v>228</v>
      </c>
      <c r="G724" s="18">
        <v>16.18</v>
      </c>
      <c r="H724" s="18" t="s">
        <v>62</v>
      </c>
      <c r="I724" s="19">
        <v>3888.56</v>
      </c>
      <c r="J724" s="19">
        <v>3150.0</v>
      </c>
      <c r="K724" s="19">
        <v>4500.0</v>
      </c>
      <c r="L724" s="18" t="s">
        <v>2168</v>
      </c>
      <c r="M724" s="18" t="s">
        <v>1619</v>
      </c>
      <c r="N724" s="18" t="s">
        <v>240</v>
      </c>
      <c r="O724" s="18" t="s">
        <v>41</v>
      </c>
      <c r="Q724" s="19">
        <v>3150.0</v>
      </c>
    </row>
    <row r="725">
      <c r="A725" s="18" t="s">
        <v>43</v>
      </c>
      <c r="B725" s="18" t="s">
        <v>44</v>
      </c>
      <c r="C725" s="18" t="s">
        <v>64</v>
      </c>
      <c r="D725" s="18" t="s">
        <v>2169</v>
      </c>
      <c r="E725" s="18" t="s">
        <v>2170</v>
      </c>
      <c r="F725" s="18" t="s">
        <v>228</v>
      </c>
      <c r="G725" s="18">
        <v>17.04</v>
      </c>
      <c r="H725" s="18" t="s">
        <v>120</v>
      </c>
      <c r="I725" s="19">
        <v>6800.0</v>
      </c>
      <c r="J725" s="19">
        <v>8200.0</v>
      </c>
      <c r="L725" s="18" t="s">
        <v>2171</v>
      </c>
      <c r="M725" s="18" t="s">
        <v>2172</v>
      </c>
      <c r="N725" s="18" t="s">
        <v>143</v>
      </c>
      <c r="O725" s="18" t="s">
        <v>57</v>
      </c>
      <c r="P725" s="18" t="s">
        <v>48</v>
      </c>
      <c r="Q725" s="19">
        <v>7700.0</v>
      </c>
    </row>
    <row r="726">
      <c r="A726" s="18" t="s">
        <v>138</v>
      </c>
      <c r="B726" s="18" t="s">
        <v>45</v>
      </c>
      <c r="C726" s="18" t="s">
        <v>45</v>
      </c>
      <c r="D726" s="18" t="s">
        <v>2177</v>
      </c>
      <c r="E726" s="18" t="s">
        <v>2178</v>
      </c>
      <c r="F726" s="18" t="s">
        <v>228</v>
      </c>
      <c r="G726" s="18">
        <v>10.21</v>
      </c>
      <c r="H726" s="18" t="s">
        <v>45</v>
      </c>
      <c r="I726" s="19">
        <v>1652.0</v>
      </c>
      <c r="J726" s="19">
        <v>2400.0</v>
      </c>
      <c r="K726" s="19">
        <v>2050.0</v>
      </c>
      <c r="L726" s="18" t="s">
        <v>2179</v>
      </c>
      <c r="M726" s="18" t="s">
        <v>2180</v>
      </c>
      <c r="N726" s="18" t="s">
        <v>363</v>
      </c>
      <c r="O726" s="18" t="s">
        <v>83</v>
      </c>
      <c r="P726" s="18" t="s">
        <v>144</v>
      </c>
      <c r="Q726" s="19">
        <v>2400.0</v>
      </c>
    </row>
    <row r="727">
      <c r="A727" s="18" t="s">
        <v>1029</v>
      </c>
      <c r="B727" s="18" t="s">
        <v>44</v>
      </c>
      <c r="C727" s="18" t="s">
        <v>53</v>
      </c>
      <c r="D727" s="18" t="s">
        <v>2181</v>
      </c>
      <c r="E727" s="18" t="s">
        <v>2182</v>
      </c>
      <c r="F727" s="18" t="s">
        <v>228</v>
      </c>
      <c r="G727" s="18">
        <v>15.65</v>
      </c>
      <c r="H727" s="18" t="s">
        <v>56</v>
      </c>
      <c r="I727" s="19">
        <v>450.0</v>
      </c>
      <c r="J727" s="19">
        <v>360.0</v>
      </c>
      <c r="L727" s="18" t="s">
        <v>2183</v>
      </c>
      <c r="M727" s="18" t="s">
        <v>2184</v>
      </c>
      <c r="N727" s="18" t="s">
        <v>1034</v>
      </c>
      <c r="O727" s="18" t="s">
        <v>83</v>
      </c>
      <c r="Q727" s="19">
        <v>450.0</v>
      </c>
    </row>
    <row r="728">
      <c r="A728" s="18" t="s">
        <v>1029</v>
      </c>
      <c r="B728" s="18" t="s">
        <v>44</v>
      </c>
      <c r="C728" s="18" t="s">
        <v>133</v>
      </c>
      <c r="D728" s="18" t="s">
        <v>2185</v>
      </c>
      <c r="E728" s="18" t="s">
        <v>2186</v>
      </c>
      <c r="F728" s="18" t="s">
        <v>228</v>
      </c>
      <c r="G728" s="18">
        <v>14.73</v>
      </c>
      <c r="H728" s="18" t="s">
        <v>56</v>
      </c>
      <c r="I728" s="19">
        <v>433.0</v>
      </c>
      <c r="J728" s="19">
        <v>350.0</v>
      </c>
      <c r="L728" s="18" t="s">
        <v>2187</v>
      </c>
      <c r="M728" s="18" t="s">
        <v>2188</v>
      </c>
      <c r="N728" s="18" t="s">
        <v>1034</v>
      </c>
      <c r="O728" s="18" t="s">
        <v>83</v>
      </c>
      <c r="Q728" s="19">
        <v>450.0</v>
      </c>
    </row>
    <row r="729">
      <c r="A729" s="18" t="s">
        <v>148</v>
      </c>
      <c r="B729" s="18" t="s">
        <v>44</v>
      </c>
      <c r="C729" s="18" t="s">
        <v>133</v>
      </c>
      <c r="D729" s="18" t="s">
        <v>2189</v>
      </c>
      <c r="E729" s="18" t="s">
        <v>2190</v>
      </c>
      <c r="F729" s="18" t="s">
        <v>228</v>
      </c>
      <c r="G729" s="18">
        <v>14.5</v>
      </c>
      <c r="H729" s="18" t="s">
        <v>56</v>
      </c>
      <c r="I729" s="19">
        <v>6678.0</v>
      </c>
      <c r="J729" s="19">
        <v>6700.0</v>
      </c>
      <c r="K729" s="19">
        <v>8050.0</v>
      </c>
      <c r="L729" s="18" t="s">
        <v>2191</v>
      </c>
      <c r="M729" s="18" t="s">
        <v>2192</v>
      </c>
      <c r="N729" s="18" t="s">
        <v>240</v>
      </c>
      <c r="O729" s="18" t="s">
        <v>57</v>
      </c>
      <c r="P729" s="18" t="s">
        <v>48</v>
      </c>
      <c r="Q729" s="19">
        <v>6700.0</v>
      </c>
    </row>
    <row r="730">
      <c r="A730" s="18" t="s">
        <v>1029</v>
      </c>
      <c r="B730" s="18" t="s">
        <v>44</v>
      </c>
      <c r="C730" s="18" t="s">
        <v>53</v>
      </c>
      <c r="D730" s="18" t="s">
        <v>2193</v>
      </c>
      <c r="E730" s="18" t="s">
        <v>2194</v>
      </c>
      <c r="F730" s="18" t="s">
        <v>228</v>
      </c>
      <c r="G730" s="18">
        <v>15.66</v>
      </c>
      <c r="H730" s="18" t="s">
        <v>56</v>
      </c>
      <c r="I730" s="19">
        <v>450.0</v>
      </c>
      <c r="J730" s="19">
        <v>360.0</v>
      </c>
      <c r="L730" s="18" t="s">
        <v>2195</v>
      </c>
      <c r="M730" s="18" t="s">
        <v>2196</v>
      </c>
      <c r="N730" s="18" t="s">
        <v>1034</v>
      </c>
      <c r="O730" s="18" t="s">
        <v>83</v>
      </c>
      <c r="Q730" s="19">
        <v>450.0</v>
      </c>
    </row>
    <row r="731">
      <c r="A731" s="18" t="s">
        <v>1029</v>
      </c>
      <c r="B731" s="18" t="s">
        <v>44</v>
      </c>
      <c r="C731" s="18" t="s">
        <v>133</v>
      </c>
      <c r="D731" s="18" t="s">
        <v>2197</v>
      </c>
      <c r="E731" s="18" t="s">
        <v>2198</v>
      </c>
      <c r="F731" s="18" t="s">
        <v>228</v>
      </c>
      <c r="G731" s="18">
        <v>14.73</v>
      </c>
      <c r="H731" s="18" t="s">
        <v>56</v>
      </c>
      <c r="I731" s="19">
        <v>433.0</v>
      </c>
      <c r="J731" s="19">
        <v>350.0</v>
      </c>
      <c r="L731" s="18" t="s">
        <v>2199</v>
      </c>
      <c r="M731" s="18" t="s">
        <v>2200</v>
      </c>
      <c r="N731" s="18" t="s">
        <v>1034</v>
      </c>
      <c r="O731" s="18" t="s">
        <v>83</v>
      </c>
      <c r="Q731" s="19">
        <v>450.0</v>
      </c>
    </row>
    <row r="732">
      <c r="A732" s="18" t="s">
        <v>145</v>
      </c>
      <c r="B732" s="18" t="s">
        <v>44</v>
      </c>
      <c r="C732" s="18" t="s">
        <v>53</v>
      </c>
      <c r="D732" s="18" t="s">
        <v>2216</v>
      </c>
      <c r="E732" s="18" t="s">
        <v>2217</v>
      </c>
      <c r="F732" s="18" t="s">
        <v>228</v>
      </c>
      <c r="G732" s="18">
        <v>16.0</v>
      </c>
      <c r="H732" s="18" t="s">
        <v>56</v>
      </c>
      <c r="I732" s="19">
        <v>8592.0</v>
      </c>
      <c r="J732" s="19">
        <v>9500.0</v>
      </c>
      <c r="K732" s="19">
        <v>10350.0</v>
      </c>
      <c r="L732" s="18" t="s">
        <v>2218</v>
      </c>
      <c r="M732" s="18" t="s">
        <v>2219</v>
      </c>
      <c r="N732" s="18" t="s">
        <v>240</v>
      </c>
      <c r="O732" s="18" t="s">
        <v>57</v>
      </c>
      <c r="P732" s="18" t="s">
        <v>63</v>
      </c>
      <c r="Q732" s="19">
        <v>9050.0</v>
      </c>
    </row>
    <row r="733">
      <c r="A733" s="18" t="s">
        <v>158</v>
      </c>
      <c r="B733" s="18" t="s">
        <v>44</v>
      </c>
      <c r="C733" s="18" t="s">
        <v>133</v>
      </c>
      <c r="D733" s="18" t="s">
        <v>159</v>
      </c>
      <c r="E733" s="18" t="s">
        <v>160</v>
      </c>
      <c r="F733" s="18" t="s">
        <v>228</v>
      </c>
      <c r="G733" s="18">
        <v>14.54</v>
      </c>
      <c r="H733" s="18" t="s">
        <v>56</v>
      </c>
      <c r="I733" s="19">
        <v>4666.0</v>
      </c>
      <c r="J733" s="19">
        <v>4700.0</v>
      </c>
      <c r="K733" s="19">
        <v>5650.0</v>
      </c>
      <c r="L733" s="18" t="s">
        <v>3648</v>
      </c>
      <c r="M733" s="18" t="s">
        <v>3649</v>
      </c>
      <c r="N733" s="18" t="s">
        <v>403</v>
      </c>
      <c r="O733" s="18" t="s">
        <v>161</v>
      </c>
      <c r="P733" s="18" t="s">
        <v>162</v>
      </c>
      <c r="Q733" s="19">
        <v>4700.0</v>
      </c>
    </row>
    <row r="734">
      <c r="A734" s="18" t="s">
        <v>154</v>
      </c>
      <c r="B734" s="18" t="s">
        <v>44</v>
      </c>
      <c r="C734" s="18" t="s">
        <v>53</v>
      </c>
      <c r="D734" s="18" t="s">
        <v>178</v>
      </c>
      <c r="E734" s="18" t="s">
        <v>179</v>
      </c>
      <c r="F734" s="18" t="s">
        <v>228</v>
      </c>
      <c r="G734" s="18">
        <v>16.0</v>
      </c>
      <c r="H734" s="18" t="s">
        <v>56</v>
      </c>
      <c r="I734" s="19">
        <v>4799.0</v>
      </c>
      <c r="J734" s="19">
        <v>6750.0</v>
      </c>
      <c r="K734" s="19">
        <v>5800.0</v>
      </c>
      <c r="L734" s="18" t="s">
        <v>3650</v>
      </c>
      <c r="M734" s="18" t="s">
        <v>3651</v>
      </c>
      <c r="N734" s="18" t="s">
        <v>403</v>
      </c>
      <c r="O734" s="18" t="s">
        <v>151</v>
      </c>
      <c r="P734" s="18" t="s">
        <v>157</v>
      </c>
      <c r="Q734" s="19">
        <v>5900.0</v>
      </c>
    </row>
    <row r="735">
      <c r="A735" s="18" t="s">
        <v>138</v>
      </c>
      <c r="B735" s="18" t="s">
        <v>44</v>
      </c>
      <c r="C735" s="18" t="s">
        <v>113</v>
      </c>
      <c r="D735" s="18" t="s">
        <v>139</v>
      </c>
      <c r="E735" s="18" t="s">
        <v>140</v>
      </c>
      <c r="F735" s="18" t="s">
        <v>228</v>
      </c>
      <c r="G735" s="18">
        <v>11.97</v>
      </c>
      <c r="H735" s="18" t="s">
        <v>116</v>
      </c>
      <c r="I735" s="19">
        <v>2482.0</v>
      </c>
      <c r="J735" s="19">
        <v>3600.0</v>
      </c>
      <c r="K735" s="19">
        <v>3000.0</v>
      </c>
      <c r="L735" s="18" t="s">
        <v>3652</v>
      </c>
      <c r="M735" s="18" t="s">
        <v>3653</v>
      </c>
      <c r="N735" s="18" t="s">
        <v>403</v>
      </c>
      <c r="O735" s="18" t="s">
        <v>57</v>
      </c>
      <c r="P735" s="18" t="s">
        <v>144</v>
      </c>
      <c r="Q735" s="19">
        <v>3600.0</v>
      </c>
    </row>
    <row r="736">
      <c r="A736" s="18" t="s">
        <v>158</v>
      </c>
      <c r="B736" s="18" t="s">
        <v>45</v>
      </c>
      <c r="C736" s="18" t="s">
        <v>45</v>
      </c>
      <c r="D736" s="18" t="s">
        <v>2610</v>
      </c>
      <c r="E736" s="18" t="s">
        <v>2611</v>
      </c>
      <c r="F736" s="18" t="s">
        <v>228</v>
      </c>
      <c r="G736" s="18">
        <v>6.5</v>
      </c>
      <c r="H736" s="18" t="s">
        <v>45</v>
      </c>
      <c r="I736" s="19">
        <v>2542.0</v>
      </c>
      <c r="J736" s="19">
        <v>2550.0</v>
      </c>
      <c r="K736" s="19">
        <v>3100.0</v>
      </c>
      <c r="L736" s="18" t="s">
        <v>3654</v>
      </c>
      <c r="M736" s="18" t="s">
        <v>3655</v>
      </c>
      <c r="N736" s="18" t="s">
        <v>806</v>
      </c>
      <c r="O736" s="18" t="s">
        <v>41</v>
      </c>
      <c r="P736" s="18" t="s">
        <v>162</v>
      </c>
      <c r="Q736" s="19">
        <v>2550.0</v>
      </c>
    </row>
    <row r="737">
      <c r="A737" s="18" t="s">
        <v>158</v>
      </c>
      <c r="B737" s="18" t="s">
        <v>44</v>
      </c>
      <c r="C737" s="18" t="s">
        <v>113</v>
      </c>
      <c r="D737" s="18" t="s">
        <v>2656</v>
      </c>
      <c r="E737" s="18" t="s">
        <v>2657</v>
      </c>
      <c r="F737" s="18" t="s">
        <v>228</v>
      </c>
      <c r="G737" s="18">
        <v>12.9</v>
      </c>
      <c r="H737" s="18" t="s">
        <v>56</v>
      </c>
      <c r="I737" s="19">
        <v>4242.0</v>
      </c>
      <c r="J737" s="19">
        <v>4250.0</v>
      </c>
      <c r="K737" s="19">
        <v>5100.0</v>
      </c>
      <c r="L737" s="18" t="s">
        <v>3656</v>
      </c>
      <c r="M737" s="18" t="s">
        <v>3657</v>
      </c>
      <c r="N737" s="18" t="s">
        <v>806</v>
      </c>
      <c r="O737" s="18" t="s">
        <v>161</v>
      </c>
      <c r="P737" s="18" t="s">
        <v>162</v>
      </c>
      <c r="Q737" s="19">
        <v>4250.0</v>
      </c>
    </row>
    <row r="738">
      <c r="A738" s="18" t="s">
        <v>158</v>
      </c>
      <c r="B738" s="18" t="s">
        <v>44</v>
      </c>
      <c r="C738" s="18" t="s">
        <v>133</v>
      </c>
      <c r="D738" s="18" t="s">
        <v>2666</v>
      </c>
      <c r="E738" s="18" t="s">
        <v>2667</v>
      </c>
      <c r="F738" s="18" t="s">
        <v>228</v>
      </c>
      <c r="G738" s="18">
        <v>13.75</v>
      </c>
      <c r="H738" s="18" t="s">
        <v>56</v>
      </c>
      <c r="I738" s="19">
        <v>4242.0</v>
      </c>
      <c r="J738" s="19">
        <v>4250.0</v>
      </c>
      <c r="K738" s="19">
        <v>5100.0</v>
      </c>
      <c r="L738" s="18" t="s">
        <v>3658</v>
      </c>
      <c r="M738" s="18" t="s">
        <v>3659</v>
      </c>
      <c r="N738" s="18" t="s">
        <v>806</v>
      </c>
      <c r="O738" s="18" t="s">
        <v>161</v>
      </c>
      <c r="P738" s="18" t="s">
        <v>162</v>
      </c>
      <c r="Q738" s="19">
        <v>4250.0</v>
      </c>
    </row>
    <row r="739">
      <c r="A739" s="18" t="s">
        <v>1238</v>
      </c>
      <c r="B739" s="18" t="s">
        <v>44</v>
      </c>
      <c r="C739" s="18" t="s">
        <v>53</v>
      </c>
      <c r="D739" s="18" t="s">
        <v>2375</v>
      </c>
      <c r="E739" s="18" t="s">
        <v>2376</v>
      </c>
      <c r="F739" s="18" t="s">
        <v>2377</v>
      </c>
      <c r="G739" s="18">
        <v>15.83</v>
      </c>
      <c r="H739" s="18" t="s">
        <v>1242</v>
      </c>
      <c r="I739" s="19">
        <v>3600.0</v>
      </c>
      <c r="J739" s="19">
        <v>4700.0</v>
      </c>
      <c r="L739" s="18" t="s">
        <v>2378</v>
      </c>
      <c r="M739" s="18" t="s">
        <v>2379</v>
      </c>
      <c r="N739" s="18" t="s">
        <v>131</v>
      </c>
      <c r="O739" s="18" t="s">
        <v>57</v>
      </c>
      <c r="P739" s="18" t="s">
        <v>144</v>
      </c>
      <c r="Q739" s="19">
        <v>4000.0</v>
      </c>
    </row>
    <row r="740">
      <c r="A740" s="18" t="s">
        <v>1238</v>
      </c>
      <c r="B740" s="18" t="s">
        <v>44</v>
      </c>
      <c r="C740" s="18" t="s">
        <v>1239</v>
      </c>
      <c r="D740" s="18" t="s">
        <v>2380</v>
      </c>
      <c r="E740" s="18" t="s">
        <v>2381</v>
      </c>
      <c r="F740" s="18" t="s">
        <v>2377</v>
      </c>
      <c r="G740" s="18">
        <v>49.0</v>
      </c>
      <c r="H740" s="18" t="s">
        <v>471</v>
      </c>
      <c r="I740" s="19">
        <v>6949.0</v>
      </c>
      <c r="J740" s="19">
        <v>9050.0</v>
      </c>
      <c r="L740" s="18" t="s">
        <v>2382</v>
      </c>
      <c r="M740" s="18" t="s">
        <v>2383</v>
      </c>
      <c r="N740" s="18" t="s">
        <v>131</v>
      </c>
      <c r="O740" s="18" t="s">
        <v>57</v>
      </c>
      <c r="P740" s="18" t="s">
        <v>144</v>
      </c>
      <c r="Q740" s="19">
        <v>7650.0</v>
      </c>
    </row>
    <row r="741">
      <c r="A741" s="18" t="s">
        <v>1238</v>
      </c>
      <c r="B741" s="18" t="s">
        <v>44</v>
      </c>
      <c r="C741" s="18" t="s">
        <v>1239</v>
      </c>
      <c r="D741" s="18" t="s">
        <v>2384</v>
      </c>
      <c r="E741" s="18" t="s">
        <v>2385</v>
      </c>
      <c r="F741" s="18" t="s">
        <v>2377</v>
      </c>
      <c r="G741" s="18">
        <v>49.2</v>
      </c>
      <c r="H741" s="18" t="s">
        <v>471</v>
      </c>
      <c r="I741" s="19">
        <v>6949.0</v>
      </c>
      <c r="J741" s="19">
        <v>9050.0</v>
      </c>
      <c r="L741" s="18" t="s">
        <v>2386</v>
      </c>
      <c r="M741" s="18" t="s">
        <v>2387</v>
      </c>
      <c r="N741" s="18" t="s">
        <v>131</v>
      </c>
      <c r="O741" s="18" t="s">
        <v>57</v>
      </c>
      <c r="P741" s="18" t="s">
        <v>144</v>
      </c>
      <c r="Q741" s="19">
        <v>7650.0</v>
      </c>
    </row>
    <row r="742">
      <c r="A742" s="18" t="s">
        <v>1238</v>
      </c>
      <c r="B742" s="18" t="s">
        <v>44</v>
      </c>
      <c r="C742" s="18" t="s">
        <v>1239</v>
      </c>
      <c r="D742" s="18" t="s">
        <v>2388</v>
      </c>
      <c r="E742" s="18" t="s">
        <v>2389</v>
      </c>
      <c r="F742" s="18" t="s">
        <v>2377</v>
      </c>
      <c r="G742" s="18">
        <v>45.73</v>
      </c>
      <c r="H742" s="18" t="s">
        <v>471</v>
      </c>
      <c r="I742" s="19">
        <v>6949.0</v>
      </c>
      <c r="J742" s="19">
        <v>9050.0</v>
      </c>
      <c r="L742" s="18" t="s">
        <v>2390</v>
      </c>
      <c r="M742" s="18" t="s">
        <v>2391</v>
      </c>
      <c r="N742" s="18" t="s">
        <v>131</v>
      </c>
      <c r="O742" s="18" t="s">
        <v>57</v>
      </c>
      <c r="P742" s="18" t="s">
        <v>144</v>
      </c>
      <c r="Q742" s="19">
        <v>7650.0</v>
      </c>
    </row>
    <row r="743">
      <c r="A743" s="18" t="s">
        <v>1238</v>
      </c>
      <c r="B743" s="18" t="s">
        <v>44</v>
      </c>
      <c r="C743" s="18" t="s">
        <v>53</v>
      </c>
      <c r="D743" s="18" t="s">
        <v>2392</v>
      </c>
      <c r="E743" s="18" t="s">
        <v>2393</v>
      </c>
      <c r="F743" s="18" t="s">
        <v>2377</v>
      </c>
      <c r="G743" s="18">
        <v>16.09</v>
      </c>
      <c r="H743" s="18" t="s">
        <v>1242</v>
      </c>
      <c r="I743" s="19">
        <v>3600.0</v>
      </c>
      <c r="J743" s="19">
        <v>4700.0</v>
      </c>
      <c r="L743" s="18" t="s">
        <v>2394</v>
      </c>
      <c r="M743" s="18" t="s">
        <v>2395</v>
      </c>
      <c r="N743" s="18" t="s">
        <v>131</v>
      </c>
      <c r="O743" s="18" t="s">
        <v>57</v>
      </c>
      <c r="P743" s="18" t="s">
        <v>144</v>
      </c>
      <c r="Q743" s="19">
        <v>4000.0</v>
      </c>
    </row>
    <row r="744">
      <c r="A744" s="18" t="s">
        <v>191</v>
      </c>
      <c r="B744" s="18" t="s">
        <v>44</v>
      </c>
      <c r="C744" s="18" t="s">
        <v>64</v>
      </c>
      <c r="D744" s="18" t="s">
        <v>1745</v>
      </c>
      <c r="E744" s="18" t="s">
        <v>1746</v>
      </c>
      <c r="F744" s="18" t="s">
        <v>2377</v>
      </c>
      <c r="G744" s="18">
        <v>18.79</v>
      </c>
      <c r="H744" s="18" t="s">
        <v>120</v>
      </c>
      <c r="I744" s="19">
        <v>6200.0</v>
      </c>
      <c r="J744" s="19">
        <v>8100.0</v>
      </c>
      <c r="L744" s="18" t="s">
        <v>1747</v>
      </c>
      <c r="M744" s="18" t="s">
        <v>1748</v>
      </c>
      <c r="N744" s="18" t="s">
        <v>143</v>
      </c>
      <c r="O744" s="18" t="s">
        <v>57</v>
      </c>
      <c r="P744" s="18" t="s">
        <v>48</v>
      </c>
      <c r="Q744" s="19">
        <v>7750.0</v>
      </c>
    </row>
    <row r="745">
      <c r="A745" s="18" t="s">
        <v>1238</v>
      </c>
      <c r="B745" s="18" t="s">
        <v>44</v>
      </c>
      <c r="C745" s="18" t="s">
        <v>76</v>
      </c>
      <c r="D745" s="18" t="s">
        <v>1765</v>
      </c>
      <c r="E745" s="18" t="s">
        <v>1766</v>
      </c>
      <c r="F745" s="18" t="s">
        <v>2377</v>
      </c>
      <c r="G745" s="18">
        <v>19.77</v>
      </c>
      <c r="H745" s="18" t="s">
        <v>1495</v>
      </c>
      <c r="I745" s="19">
        <v>4489.0</v>
      </c>
      <c r="J745" s="19">
        <v>5850.0</v>
      </c>
      <c r="L745" s="18" t="s">
        <v>1767</v>
      </c>
      <c r="M745" s="18" t="s">
        <v>1768</v>
      </c>
      <c r="N745" s="18" t="s">
        <v>131</v>
      </c>
      <c r="O745" s="18" t="s">
        <v>41</v>
      </c>
      <c r="P745" s="18" t="s">
        <v>144</v>
      </c>
      <c r="Q745" s="19">
        <v>5400.0</v>
      </c>
    </row>
    <row r="746">
      <c r="A746" s="18" t="s">
        <v>225</v>
      </c>
      <c r="B746" s="18" t="s">
        <v>45</v>
      </c>
      <c r="C746" s="18" t="s">
        <v>45</v>
      </c>
      <c r="D746" s="18" t="s">
        <v>1773</v>
      </c>
      <c r="E746" s="18" t="s">
        <v>1774</v>
      </c>
      <c r="F746" s="18" t="s">
        <v>2377</v>
      </c>
      <c r="G746" s="18">
        <v>9.0</v>
      </c>
      <c r="H746" s="18" t="s">
        <v>45</v>
      </c>
      <c r="I746" s="19">
        <v>3100.0</v>
      </c>
      <c r="J746" s="19">
        <v>4050.0</v>
      </c>
      <c r="K746" s="19">
        <v>3600.0</v>
      </c>
      <c r="L746" s="18" t="s">
        <v>1775</v>
      </c>
      <c r="M746" s="18" t="s">
        <v>1776</v>
      </c>
      <c r="N746" s="18" t="s">
        <v>363</v>
      </c>
      <c r="O746" s="18" t="s">
        <v>161</v>
      </c>
      <c r="P746" s="18" t="s">
        <v>162</v>
      </c>
      <c r="Q746" s="19">
        <v>3600.0</v>
      </c>
    </row>
    <row r="747">
      <c r="A747" s="18" t="s">
        <v>112</v>
      </c>
      <c r="B747" s="18" t="s">
        <v>44</v>
      </c>
      <c r="C747" s="18" t="s">
        <v>133</v>
      </c>
      <c r="D747" s="18" t="s">
        <v>1777</v>
      </c>
      <c r="E747" s="18" t="s">
        <v>1778</v>
      </c>
      <c r="F747" s="18" t="s">
        <v>2377</v>
      </c>
      <c r="G747" s="18">
        <v>14.5</v>
      </c>
      <c r="H747" s="18" t="s">
        <v>56</v>
      </c>
      <c r="I747" s="19">
        <v>5578.0</v>
      </c>
      <c r="J747" s="19">
        <v>7850.0</v>
      </c>
      <c r="K747" s="19">
        <v>6750.0</v>
      </c>
      <c r="L747" s="18" t="s">
        <v>1779</v>
      </c>
      <c r="M747" s="18" t="s">
        <v>1780</v>
      </c>
      <c r="N747" s="18" t="s">
        <v>363</v>
      </c>
      <c r="O747" s="18" t="s">
        <v>117</v>
      </c>
      <c r="P747" s="18" t="s">
        <v>42</v>
      </c>
      <c r="Q747" s="19">
        <v>3000.0</v>
      </c>
    </row>
    <row r="748">
      <c r="A748" s="18" t="s">
        <v>1822</v>
      </c>
      <c r="B748" s="18" t="s">
        <v>44</v>
      </c>
      <c r="C748" s="18" t="s">
        <v>53</v>
      </c>
      <c r="D748" s="18" t="s">
        <v>1823</v>
      </c>
      <c r="E748" s="18" t="s">
        <v>1824</v>
      </c>
      <c r="F748" s="18" t="s">
        <v>2377</v>
      </c>
      <c r="G748" s="18">
        <v>15.07</v>
      </c>
      <c r="H748" s="18" t="s">
        <v>56</v>
      </c>
      <c r="I748" s="19">
        <v>3700.0</v>
      </c>
      <c r="J748" s="19">
        <v>4100.0</v>
      </c>
      <c r="L748" s="18" t="s">
        <v>1825</v>
      </c>
      <c r="M748" s="18" t="s">
        <v>1826</v>
      </c>
      <c r="N748" s="18" t="s">
        <v>363</v>
      </c>
      <c r="O748" s="18" t="s">
        <v>57</v>
      </c>
      <c r="Q748" s="19">
        <v>3850.0</v>
      </c>
    </row>
    <row r="749">
      <c r="A749" s="18" t="s">
        <v>158</v>
      </c>
      <c r="B749" s="18" t="s">
        <v>44</v>
      </c>
      <c r="C749" s="18" t="s">
        <v>64</v>
      </c>
      <c r="D749" s="18" t="s">
        <v>2664</v>
      </c>
      <c r="E749" s="18" t="s">
        <v>2665</v>
      </c>
      <c r="F749" s="18" t="s">
        <v>2377</v>
      </c>
      <c r="G749" s="18">
        <v>18.12</v>
      </c>
      <c r="H749" s="18" t="s">
        <v>120</v>
      </c>
      <c r="I749" s="19">
        <v>5516.0</v>
      </c>
      <c r="J749" s="19">
        <v>5550.0</v>
      </c>
      <c r="K749" s="19">
        <v>6700.0</v>
      </c>
      <c r="L749" s="18" t="s">
        <v>3660</v>
      </c>
      <c r="M749" s="18" t="s">
        <v>3661</v>
      </c>
      <c r="N749" s="18" t="s">
        <v>903</v>
      </c>
      <c r="O749" s="18" t="s">
        <v>161</v>
      </c>
      <c r="P749" s="18" t="s">
        <v>162</v>
      </c>
      <c r="Q749" s="19">
        <v>4450.0</v>
      </c>
    </row>
    <row r="750">
      <c r="A750" s="18" t="s">
        <v>1238</v>
      </c>
      <c r="B750" s="18" t="s">
        <v>44</v>
      </c>
      <c r="C750" s="18" t="s">
        <v>133</v>
      </c>
      <c r="D750" s="18" t="s">
        <v>1847</v>
      </c>
      <c r="E750" s="18" t="s">
        <v>1848</v>
      </c>
      <c r="F750" s="18" t="s">
        <v>2377</v>
      </c>
      <c r="G750" s="18">
        <v>14.58</v>
      </c>
      <c r="H750" s="18" t="s">
        <v>1242</v>
      </c>
      <c r="I750" s="19">
        <v>3199.0</v>
      </c>
      <c r="J750" s="19">
        <v>4200.0</v>
      </c>
      <c r="L750" s="18" t="s">
        <v>1849</v>
      </c>
      <c r="M750" s="18" t="s">
        <v>1850</v>
      </c>
      <c r="N750" s="18" t="s">
        <v>143</v>
      </c>
      <c r="O750" s="18" t="s">
        <v>41</v>
      </c>
      <c r="P750" s="18" t="s">
        <v>144</v>
      </c>
      <c r="Q750" s="19">
        <v>3550.0</v>
      </c>
    </row>
    <row r="751">
      <c r="A751" s="18" t="s">
        <v>1238</v>
      </c>
      <c r="B751" s="18" t="s">
        <v>44</v>
      </c>
      <c r="C751" s="18" t="s">
        <v>64</v>
      </c>
      <c r="D751" s="18" t="s">
        <v>1879</v>
      </c>
      <c r="E751" s="18" t="s">
        <v>1880</v>
      </c>
      <c r="F751" s="18" t="s">
        <v>2377</v>
      </c>
      <c r="G751" s="18">
        <v>17.05</v>
      </c>
      <c r="H751" s="18" t="s">
        <v>1495</v>
      </c>
      <c r="I751" s="19">
        <v>4125.0</v>
      </c>
      <c r="J751" s="19">
        <v>5400.0</v>
      </c>
      <c r="L751" s="18" t="s">
        <v>1881</v>
      </c>
      <c r="M751" s="18" t="s">
        <v>1182</v>
      </c>
      <c r="N751" s="18" t="s">
        <v>240</v>
      </c>
      <c r="O751" s="18" t="s">
        <v>41</v>
      </c>
      <c r="P751" s="18" t="s">
        <v>144</v>
      </c>
      <c r="Q751" s="19">
        <v>5000.0</v>
      </c>
    </row>
    <row r="752">
      <c r="A752" s="18" t="s">
        <v>1822</v>
      </c>
      <c r="B752" s="18" t="s">
        <v>44</v>
      </c>
      <c r="C752" s="18" t="s">
        <v>53</v>
      </c>
      <c r="D752" s="18" t="s">
        <v>2715</v>
      </c>
      <c r="E752" s="18" t="s">
        <v>2716</v>
      </c>
      <c r="F752" s="18" t="s">
        <v>2377</v>
      </c>
      <c r="G752" s="18">
        <v>15.01</v>
      </c>
      <c r="H752" s="18" t="s">
        <v>56</v>
      </c>
      <c r="I752" s="19">
        <v>3700.0</v>
      </c>
      <c r="J752" s="19">
        <v>4100.0</v>
      </c>
      <c r="L752" s="18" t="s">
        <v>3662</v>
      </c>
      <c r="M752" s="18" t="s">
        <v>3663</v>
      </c>
      <c r="N752" s="18" t="s">
        <v>363</v>
      </c>
      <c r="O752" s="18" t="s">
        <v>57</v>
      </c>
      <c r="Q752" s="19">
        <v>4100.0</v>
      </c>
    </row>
    <row r="753">
      <c r="A753" s="18" t="s">
        <v>1822</v>
      </c>
      <c r="B753" s="18" t="s">
        <v>44</v>
      </c>
      <c r="C753" s="18" t="s">
        <v>76</v>
      </c>
      <c r="D753" s="18" t="s">
        <v>2514</v>
      </c>
      <c r="E753" s="18" t="s">
        <v>2515</v>
      </c>
      <c r="F753" s="18" t="s">
        <v>2377</v>
      </c>
      <c r="G753" s="18">
        <v>21.2</v>
      </c>
      <c r="H753" s="18" t="s">
        <v>120</v>
      </c>
      <c r="I753" s="19">
        <v>4200.0</v>
      </c>
      <c r="J753" s="19">
        <v>4650.0</v>
      </c>
      <c r="L753" s="18" t="s">
        <v>3664</v>
      </c>
      <c r="M753" s="18" t="s">
        <v>3665</v>
      </c>
      <c r="N753" s="18" t="s">
        <v>903</v>
      </c>
      <c r="O753" s="18" t="s">
        <v>57</v>
      </c>
      <c r="Q753" s="19">
        <v>4650.0</v>
      </c>
    </row>
    <row r="754">
      <c r="A754" s="18" t="s">
        <v>216</v>
      </c>
      <c r="B754" s="18" t="s">
        <v>44</v>
      </c>
      <c r="C754" s="18" t="s">
        <v>53</v>
      </c>
      <c r="D754" s="18" t="s">
        <v>2025</v>
      </c>
      <c r="E754" s="18" t="s">
        <v>2026</v>
      </c>
      <c r="F754" s="18" t="s">
        <v>2377</v>
      </c>
      <c r="G754" s="18">
        <v>16.07</v>
      </c>
      <c r="H754" s="18" t="s">
        <v>120</v>
      </c>
      <c r="I754" s="19">
        <v>5494.0</v>
      </c>
      <c r="J754" s="19">
        <v>7700.0</v>
      </c>
      <c r="K754" s="19">
        <v>6600.0</v>
      </c>
      <c r="L754" s="18" t="s">
        <v>2027</v>
      </c>
      <c r="M754" s="18" t="s">
        <v>1182</v>
      </c>
      <c r="N754" s="18" t="s">
        <v>240</v>
      </c>
      <c r="O754" s="18" t="s">
        <v>57</v>
      </c>
      <c r="P754" s="18" t="s">
        <v>42</v>
      </c>
      <c r="Q754" s="19">
        <v>9300.0</v>
      </c>
    </row>
    <row r="755">
      <c r="A755" s="18" t="s">
        <v>148</v>
      </c>
      <c r="B755" s="18" t="s">
        <v>44</v>
      </c>
      <c r="C755" s="18" t="s">
        <v>53</v>
      </c>
      <c r="D755" s="18" t="s">
        <v>2028</v>
      </c>
      <c r="E755" s="18" t="s">
        <v>2029</v>
      </c>
      <c r="F755" s="18" t="s">
        <v>2377</v>
      </c>
      <c r="G755" s="18">
        <v>16.2</v>
      </c>
      <c r="H755" s="18" t="s">
        <v>56</v>
      </c>
      <c r="I755" s="19">
        <v>6678.0</v>
      </c>
      <c r="J755" s="19">
        <v>6700.0</v>
      </c>
      <c r="K755" s="19">
        <v>8050.0</v>
      </c>
      <c r="L755" s="18" t="s">
        <v>2030</v>
      </c>
      <c r="M755" s="18" t="s">
        <v>2031</v>
      </c>
      <c r="N755" s="18" t="s">
        <v>403</v>
      </c>
      <c r="O755" s="18" t="s">
        <v>151</v>
      </c>
      <c r="P755" s="18" t="s">
        <v>48</v>
      </c>
      <c r="Q755" s="19">
        <v>7050.0</v>
      </c>
    </row>
    <row r="756">
      <c r="A756" s="18" t="s">
        <v>282</v>
      </c>
      <c r="B756" s="18" t="s">
        <v>44</v>
      </c>
      <c r="C756" s="18" t="s">
        <v>113</v>
      </c>
      <c r="D756" s="18" t="s">
        <v>2927</v>
      </c>
      <c r="E756" s="18" t="s">
        <v>2928</v>
      </c>
      <c r="F756" s="18" t="s">
        <v>2377</v>
      </c>
      <c r="G756" s="18">
        <v>12.3</v>
      </c>
      <c r="H756" s="18" t="s">
        <v>56</v>
      </c>
      <c r="I756" s="19">
        <v>4188.0</v>
      </c>
      <c r="J756" s="19">
        <v>5050.0</v>
      </c>
      <c r="K756" s="19">
        <v>5050.0</v>
      </c>
      <c r="L756" s="18" t="s">
        <v>3666</v>
      </c>
      <c r="M756" s="18" t="s">
        <v>3667</v>
      </c>
      <c r="N756" s="18" t="s">
        <v>2262</v>
      </c>
      <c r="O756" s="18" t="s">
        <v>41</v>
      </c>
      <c r="P756" s="18" t="s">
        <v>63</v>
      </c>
      <c r="Q756" s="19">
        <v>4850.0</v>
      </c>
    </row>
    <row r="757">
      <c r="A757" s="18" t="s">
        <v>138</v>
      </c>
      <c r="B757" s="18" t="s">
        <v>44</v>
      </c>
      <c r="C757" s="18" t="s">
        <v>133</v>
      </c>
      <c r="D757" s="18" t="s">
        <v>2040</v>
      </c>
      <c r="E757" s="18" t="s">
        <v>2041</v>
      </c>
      <c r="F757" s="18" t="s">
        <v>2377</v>
      </c>
      <c r="G757" s="18">
        <v>14.85</v>
      </c>
      <c r="H757" s="18" t="s">
        <v>56</v>
      </c>
      <c r="I757" s="19">
        <v>3113.0</v>
      </c>
      <c r="J757" s="19">
        <v>4550.0</v>
      </c>
      <c r="K757" s="19">
        <v>3800.0</v>
      </c>
      <c r="L757" s="18" t="s">
        <v>2042</v>
      </c>
      <c r="M757" s="18" t="s">
        <v>2031</v>
      </c>
      <c r="N757" s="18" t="s">
        <v>403</v>
      </c>
      <c r="O757" s="18" t="s">
        <v>57</v>
      </c>
      <c r="P757" s="18" t="s">
        <v>144</v>
      </c>
      <c r="Q757" s="19">
        <v>4450.0</v>
      </c>
    </row>
    <row r="758">
      <c r="A758" s="18" t="s">
        <v>148</v>
      </c>
      <c r="B758" s="18" t="s">
        <v>44</v>
      </c>
      <c r="C758" s="18" t="s">
        <v>64</v>
      </c>
      <c r="D758" s="18" t="s">
        <v>149</v>
      </c>
      <c r="E758" s="18" t="s">
        <v>150</v>
      </c>
      <c r="F758" s="18" t="s">
        <v>2377</v>
      </c>
      <c r="G758" s="18">
        <v>18.1</v>
      </c>
      <c r="H758" s="18" t="s">
        <v>56</v>
      </c>
      <c r="I758" s="19">
        <v>7096.0</v>
      </c>
      <c r="J758" s="19">
        <v>7100.0</v>
      </c>
      <c r="K758" s="19">
        <v>8550.0</v>
      </c>
      <c r="L758" s="18" t="s">
        <v>3668</v>
      </c>
      <c r="M758" s="18" t="s">
        <v>3669</v>
      </c>
      <c r="N758" s="18" t="s">
        <v>363</v>
      </c>
      <c r="O758" s="18" t="s">
        <v>151</v>
      </c>
      <c r="P758" s="18" t="s">
        <v>48</v>
      </c>
      <c r="Q758" s="19">
        <v>7100.0</v>
      </c>
    </row>
    <row r="759">
      <c r="A759" s="18" t="s">
        <v>43</v>
      </c>
      <c r="B759" s="18" t="s">
        <v>44</v>
      </c>
      <c r="C759" s="18" t="s">
        <v>64</v>
      </c>
      <c r="D759" s="18" t="s">
        <v>2847</v>
      </c>
      <c r="E759" s="18" t="s">
        <v>2848</v>
      </c>
      <c r="F759" s="18" t="s">
        <v>2377</v>
      </c>
      <c r="G759" s="18">
        <v>17.4</v>
      </c>
      <c r="H759" s="18" t="s">
        <v>120</v>
      </c>
      <c r="I759" s="19">
        <v>6800.0</v>
      </c>
      <c r="J759" s="19">
        <v>8200.0</v>
      </c>
      <c r="L759" s="18" t="s">
        <v>3670</v>
      </c>
      <c r="M759" s="18" t="s">
        <v>2031</v>
      </c>
      <c r="N759" s="18" t="s">
        <v>403</v>
      </c>
      <c r="O759" s="18" t="s">
        <v>41</v>
      </c>
      <c r="P759" s="18" t="s">
        <v>48</v>
      </c>
      <c r="Q759" s="19">
        <v>8200.0</v>
      </c>
    </row>
    <row r="760">
      <c r="A760" s="18" t="s">
        <v>35</v>
      </c>
      <c r="B760" s="18" t="s">
        <v>44</v>
      </c>
      <c r="C760" s="18" t="s">
        <v>64</v>
      </c>
      <c r="D760" s="18" t="s">
        <v>2173</v>
      </c>
      <c r="E760" s="18" t="s">
        <v>2174</v>
      </c>
      <c r="F760" s="18" t="s">
        <v>2377</v>
      </c>
      <c r="G760" s="18">
        <v>19.39</v>
      </c>
      <c r="H760" s="18" t="s">
        <v>168</v>
      </c>
      <c r="I760" s="19">
        <v>6648.0</v>
      </c>
      <c r="J760" s="19">
        <v>9000.0</v>
      </c>
      <c r="K760" s="19">
        <v>8000.0</v>
      </c>
      <c r="L760" s="18" t="s">
        <v>2175</v>
      </c>
      <c r="M760" s="18" t="s">
        <v>2176</v>
      </c>
      <c r="N760" s="18" t="s">
        <v>403</v>
      </c>
      <c r="O760" s="18" t="s">
        <v>57</v>
      </c>
      <c r="P760" s="18" t="s">
        <v>42</v>
      </c>
      <c r="Q760" s="19">
        <v>7800.0</v>
      </c>
    </row>
    <row r="761">
      <c r="A761" s="18" t="s">
        <v>1029</v>
      </c>
      <c r="B761" s="18" t="s">
        <v>44</v>
      </c>
      <c r="C761" s="18" t="s">
        <v>133</v>
      </c>
      <c r="D761" s="18" t="s">
        <v>2201</v>
      </c>
      <c r="E761" s="18" t="s">
        <v>2202</v>
      </c>
      <c r="F761" s="18" t="s">
        <v>2377</v>
      </c>
      <c r="G761" s="18">
        <v>14.73</v>
      </c>
      <c r="H761" s="18" t="s">
        <v>56</v>
      </c>
      <c r="I761" s="19">
        <v>433.0</v>
      </c>
      <c r="J761" s="19">
        <v>350.0</v>
      </c>
      <c r="L761" s="18" t="s">
        <v>2203</v>
      </c>
      <c r="M761" s="18" t="s">
        <v>2204</v>
      </c>
      <c r="N761" s="18" t="s">
        <v>363</v>
      </c>
      <c r="O761" s="18" t="s">
        <v>57</v>
      </c>
      <c r="Q761" s="19">
        <v>350.0</v>
      </c>
    </row>
    <row r="762">
      <c r="A762" s="18" t="s">
        <v>2208</v>
      </c>
      <c r="B762" s="18" t="s">
        <v>44</v>
      </c>
      <c r="C762" s="18" t="s">
        <v>76</v>
      </c>
      <c r="D762" s="18" t="s">
        <v>2209</v>
      </c>
      <c r="E762" s="18" t="s">
        <v>2210</v>
      </c>
      <c r="F762" s="18" t="s">
        <v>2377</v>
      </c>
      <c r="G762" s="18">
        <v>19.08</v>
      </c>
      <c r="H762" s="18" t="s">
        <v>120</v>
      </c>
      <c r="I762" s="19">
        <v>7900.0</v>
      </c>
      <c r="J762" s="19">
        <v>0.0</v>
      </c>
      <c r="L762" s="18" t="s">
        <v>2211</v>
      </c>
      <c r="M762" s="18" t="s">
        <v>2212</v>
      </c>
      <c r="N762" s="18" t="s">
        <v>403</v>
      </c>
      <c r="O762" s="18" t="s">
        <v>57</v>
      </c>
      <c r="Q762" s="19">
        <v>8300.0</v>
      </c>
    </row>
    <row r="763">
      <c r="A763" s="18" t="s">
        <v>2208</v>
      </c>
      <c r="B763" s="18" t="s">
        <v>44</v>
      </c>
      <c r="C763" s="18" t="s">
        <v>76</v>
      </c>
      <c r="D763" s="18" t="s">
        <v>2213</v>
      </c>
      <c r="E763" s="18" t="s">
        <v>2214</v>
      </c>
      <c r="F763" s="18" t="s">
        <v>2377</v>
      </c>
      <c r="G763" s="18">
        <v>19.38</v>
      </c>
      <c r="H763" s="18" t="s">
        <v>120</v>
      </c>
      <c r="I763" s="19">
        <v>7900.0</v>
      </c>
      <c r="J763" s="19">
        <v>0.0</v>
      </c>
      <c r="L763" s="18" t="s">
        <v>2215</v>
      </c>
      <c r="M763" s="18" t="s">
        <v>1000</v>
      </c>
      <c r="N763" s="18" t="s">
        <v>403</v>
      </c>
      <c r="O763" s="18" t="s">
        <v>57</v>
      </c>
      <c r="Q763" s="19">
        <v>8300.0</v>
      </c>
    </row>
    <row r="764">
      <c r="A764" s="18" t="s">
        <v>282</v>
      </c>
      <c r="B764" s="18" t="s">
        <v>44</v>
      </c>
      <c r="C764" s="18" t="s">
        <v>113</v>
      </c>
      <c r="D764" s="18" t="s">
        <v>2220</v>
      </c>
      <c r="E764" s="18" t="s">
        <v>2221</v>
      </c>
      <c r="F764" s="18" t="s">
        <v>2377</v>
      </c>
      <c r="G764" s="18">
        <v>11.92</v>
      </c>
      <c r="H764" s="18" t="s">
        <v>116</v>
      </c>
      <c r="I764" s="19">
        <v>4188.0</v>
      </c>
      <c r="J764" s="19">
        <v>5050.0</v>
      </c>
      <c r="K764" s="19">
        <v>5050.0</v>
      </c>
      <c r="L764" s="18" t="s">
        <v>2222</v>
      </c>
      <c r="M764" s="18" t="s">
        <v>2223</v>
      </c>
      <c r="N764" s="18" t="s">
        <v>403</v>
      </c>
      <c r="O764" s="18" t="s">
        <v>41</v>
      </c>
      <c r="P764" s="18" t="s">
        <v>63</v>
      </c>
      <c r="Q764" s="19">
        <v>5050.0</v>
      </c>
    </row>
    <row r="765">
      <c r="A765" s="18" t="s">
        <v>201</v>
      </c>
      <c r="B765" s="18" t="s">
        <v>44</v>
      </c>
      <c r="C765" s="18" t="s">
        <v>180</v>
      </c>
      <c r="D765" s="18" t="s">
        <v>2224</v>
      </c>
      <c r="E765" s="18" t="s">
        <v>2225</v>
      </c>
      <c r="F765" s="18" t="s">
        <v>2377</v>
      </c>
      <c r="G765" s="18">
        <v>22.76</v>
      </c>
      <c r="H765" s="18" t="s">
        <v>168</v>
      </c>
      <c r="I765" s="19">
        <v>4150.0</v>
      </c>
      <c r="J765" s="19">
        <v>5000.0</v>
      </c>
      <c r="K765" s="19">
        <v>4800.0</v>
      </c>
      <c r="L765" s="18" t="s">
        <v>2226</v>
      </c>
      <c r="M765" s="18" t="s">
        <v>2227</v>
      </c>
      <c r="N765" s="18" t="s">
        <v>1927</v>
      </c>
      <c r="O765" s="18" t="s">
        <v>57</v>
      </c>
      <c r="Q765" s="19">
        <v>5000.0</v>
      </c>
    </row>
    <row r="766">
      <c r="A766" s="18" t="s">
        <v>912</v>
      </c>
      <c r="B766" s="18" t="s">
        <v>44</v>
      </c>
      <c r="C766" s="18" t="s">
        <v>53</v>
      </c>
      <c r="D766" s="18" t="s">
        <v>2232</v>
      </c>
      <c r="E766" s="18" t="s">
        <v>2233</v>
      </c>
      <c r="F766" s="18" t="s">
        <v>2377</v>
      </c>
      <c r="G766" s="18">
        <v>16.03</v>
      </c>
      <c r="H766" s="18" t="s">
        <v>120</v>
      </c>
      <c r="I766" s="19">
        <v>4900.0</v>
      </c>
      <c r="J766" s="19">
        <v>6150.0</v>
      </c>
      <c r="K766" s="19">
        <v>5700.0</v>
      </c>
      <c r="L766" s="18" t="s">
        <v>2234</v>
      </c>
      <c r="M766" s="18" t="s">
        <v>2235</v>
      </c>
      <c r="N766" s="18" t="s">
        <v>131</v>
      </c>
      <c r="O766" s="18" t="s">
        <v>41</v>
      </c>
      <c r="P766" s="18" t="s">
        <v>917</v>
      </c>
      <c r="Q766" s="19">
        <v>5850.0</v>
      </c>
    </row>
    <row r="767">
      <c r="A767" s="18" t="s">
        <v>148</v>
      </c>
      <c r="B767" s="18" t="s">
        <v>44</v>
      </c>
      <c r="C767" s="18" t="s">
        <v>76</v>
      </c>
      <c r="D767" s="18" t="s">
        <v>2240</v>
      </c>
      <c r="E767" s="18" t="s">
        <v>2241</v>
      </c>
      <c r="F767" s="18" t="s">
        <v>2377</v>
      </c>
      <c r="G767" s="18">
        <v>21.7</v>
      </c>
      <c r="H767" s="18" t="s">
        <v>56</v>
      </c>
      <c r="I767" s="19">
        <v>8349.0</v>
      </c>
      <c r="J767" s="19">
        <v>8350.0</v>
      </c>
      <c r="K767" s="19">
        <v>10050.0</v>
      </c>
      <c r="L767" s="18" t="s">
        <v>2242</v>
      </c>
      <c r="M767" s="18" t="s">
        <v>2035</v>
      </c>
      <c r="N767" s="18" t="s">
        <v>403</v>
      </c>
      <c r="O767" s="18" t="s">
        <v>151</v>
      </c>
      <c r="P767" s="18" t="s">
        <v>48</v>
      </c>
      <c r="Q767" s="19">
        <v>7500.0</v>
      </c>
    </row>
    <row r="768">
      <c r="A768" s="18" t="s">
        <v>1029</v>
      </c>
      <c r="B768" s="18" t="s">
        <v>45</v>
      </c>
      <c r="C768" s="18" t="s">
        <v>45</v>
      </c>
      <c r="D768" s="18" t="s">
        <v>2485</v>
      </c>
      <c r="E768" s="18" t="s">
        <v>2486</v>
      </c>
      <c r="F768" s="18" t="s">
        <v>2487</v>
      </c>
      <c r="G768" s="18">
        <v>15.66</v>
      </c>
      <c r="I768" s="19">
        <v>245.0</v>
      </c>
      <c r="J768" s="19">
        <v>200.0</v>
      </c>
      <c r="L768" s="18" t="s">
        <v>2488</v>
      </c>
      <c r="M768" s="18" t="s">
        <v>2489</v>
      </c>
      <c r="N768" s="18" t="s">
        <v>1034</v>
      </c>
      <c r="O768" s="18" t="s">
        <v>213</v>
      </c>
      <c r="Q768" s="19">
        <v>200.0</v>
      </c>
    </row>
    <row r="769">
      <c r="A769" s="18" t="s">
        <v>201</v>
      </c>
      <c r="B769" s="18" t="s">
        <v>44</v>
      </c>
      <c r="C769" s="18" t="s">
        <v>113</v>
      </c>
      <c r="D769" s="18" t="s">
        <v>1741</v>
      </c>
      <c r="E769" s="18" t="s">
        <v>1742</v>
      </c>
      <c r="F769" s="18" t="s">
        <v>2487</v>
      </c>
      <c r="G769" s="18">
        <v>10.23</v>
      </c>
      <c r="H769" s="18" t="s">
        <v>116</v>
      </c>
      <c r="I769" s="19">
        <v>2600.0</v>
      </c>
      <c r="J769" s="19">
        <v>3150.0</v>
      </c>
      <c r="K769" s="19">
        <v>3000.0</v>
      </c>
      <c r="L769" s="18" t="s">
        <v>1743</v>
      </c>
      <c r="M769" s="18" t="s">
        <v>1744</v>
      </c>
      <c r="N769" s="18" t="s">
        <v>363</v>
      </c>
      <c r="O769" s="18" t="s">
        <v>57</v>
      </c>
    </row>
    <row r="770">
      <c r="A770" s="18" t="s">
        <v>282</v>
      </c>
      <c r="B770" s="18" t="s">
        <v>44</v>
      </c>
      <c r="C770" s="18" t="s">
        <v>53</v>
      </c>
      <c r="D770" s="18" t="s">
        <v>2935</v>
      </c>
      <c r="E770" s="18" t="s">
        <v>2936</v>
      </c>
      <c r="F770" s="18" t="s">
        <v>2487</v>
      </c>
      <c r="G770" s="18">
        <v>15.96</v>
      </c>
      <c r="H770" s="18" t="s">
        <v>56</v>
      </c>
      <c r="I770" s="19">
        <v>4851.0</v>
      </c>
      <c r="J770" s="19">
        <v>5850.0</v>
      </c>
      <c r="K770" s="19">
        <v>5900.0</v>
      </c>
      <c r="L770" s="18" t="s">
        <v>3671</v>
      </c>
      <c r="M770" s="18" t="s">
        <v>3672</v>
      </c>
      <c r="N770" s="18" t="s">
        <v>903</v>
      </c>
      <c r="O770" s="18" t="s">
        <v>57</v>
      </c>
      <c r="P770" s="18" t="s">
        <v>63</v>
      </c>
      <c r="Q770" s="19">
        <v>5600.0</v>
      </c>
    </row>
    <row r="771">
      <c r="A771" s="18" t="s">
        <v>1029</v>
      </c>
      <c r="B771" s="18" t="s">
        <v>44</v>
      </c>
      <c r="C771" s="18" t="s">
        <v>64</v>
      </c>
      <c r="D771" s="18" t="s">
        <v>1855</v>
      </c>
      <c r="E771" s="18" t="s">
        <v>1856</v>
      </c>
      <c r="F771" s="18" t="s">
        <v>2487</v>
      </c>
      <c r="G771" s="18">
        <v>18.21</v>
      </c>
      <c r="H771" s="18" t="s">
        <v>120</v>
      </c>
      <c r="I771" s="19">
        <v>513.0</v>
      </c>
      <c r="J771" s="19">
        <v>415.0</v>
      </c>
      <c r="L771" s="18" t="s">
        <v>1857</v>
      </c>
      <c r="M771" s="18" t="s">
        <v>1858</v>
      </c>
      <c r="N771" s="18" t="s">
        <v>1034</v>
      </c>
      <c r="O771" s="18" t="s">
        <v>57</v>
      </c>
    </row>
    <row r="772">
      <c r="A772" s="18" t="s">
        <v>282</v>
      </c>
      <c r="B772" s="18" t="s">
        <v>44</v>
      </c>
      <c r="C772" s="18" t="s">
        <v>180</v>
      </c>
      <c r="D772" s="18" t="s">
        <v>1863</v>
      </c>
      <c r="E772" s="18" t="s">
        <v>1864</v>
      </c>
      <c r="F772" s="18" t="s">
        <v>2487</v>
      </c>
      <c r="G772" s="18">
        <v>23.65</v>
      </c>
      <c r="H772" s="18" t="s">
        <v>168</v>
      </c>
      <c r="I772" s="19">
        <v>6499.0</v>
      </c>
      <c r="J772" s="19">
        <v>7800.0</v>
      </c>
      <c r="K772" s="19">
        <v>7800.0</v>
      </c>
      <c r="L772" s="18" t="s">
        <v>1865</v>
      </c>
      <c r="M772" s="18" t="s">
        <v>1866</v>
      </c>
      <c r="N772" s="18" t="s">
        <v>143</v>
      </c>
      <c r="O772" s="18" t="s">
        <v>57</v>
      </c>
      <c r="P772" s="18" t="s">
        <v>63</v>
      </c>
      <c r="Q772" s="19">
        <v>7500.0</v>
      </c>
    </row>
    <row r="773">
      <c r="A773" s="18" t="s">
        <v>2208</v>
      </c>
      <c r="B773" s="18" t="s">
        <v>45</v>
      </c>
      <c r="C773" s="18" t="s">
        <v>45</v>
      </c>
      <c r="D773" s="18" t="s">
        <v>2490</v>
      </c>
      <c r="E773" s="18" t="s">
        <v>2491</v>
      </c>
      <c r="F773" s="18" t="s">
        <v>2487</v>
      </c>
      <c r="G773" s="18">
        <v>10.65</v>
      </c>
      <c r="H773" s="18" t="s">
        <v>45</v>
      </c>
      <c r="I773" s="19">
        <v>4700.0</v>
      </c>
      <c r="J773" s="19">
        <v>0.0</v>
      </c>
      <c r="L773" s="18" t="s">
        <v>2492</v>
      </c>
      <c r="M773" s="18" t="s">
        <v>2493</v>
      </c>
      <c r="N773" s="18" t="s">
        <v>131</v>
      </c>
      <c r="O773" s="18" t="s">
        <v>41</v>
      </c>
      <c r="Q773" s="19">
        <v>4700.0</v>
      </c>
    </row>
    <row r="774">
      <c r="A774" s="18" t="s">
        <v>1029</v>
      </c>
      <c r="B774" s="18" t="s">
        <v>44</v>
      </c>
      <c r="C774" s="18" t="s">
        <v>53</v>
      </c>
      <c r="D774" s="18" t="s">
        <v>1875</v>
      </c>
      <c r="E774" s="18" t="s">
        <v>1876</v>
      </c>
      <c r="F774" s="18" t="s">
        <v>2487</v>
      </c>
      <c r="G774" s="18">
        <v>15.65</v>
      </c>
      <c r="H774" s="18" t="s">
        <v>56</v>
      </c>
      <c r="I774" s="19">
        <v>450.0</v>
      </c>
      <c r="J774" s="19">
        <v>360.0</v>
      </c>
      <c r="L774" s="18" t="s">
        <v>1877</v>
      </c>
      <c r="M774" s="18" t="s">
        <v>1878</v>
      </c>
      <c r="N774" s="18" t="s">
        <v>1034</v>
      </c>
      <c r="O774" s="18" t="s">
        <v>57</v>
      </c>
    </row>
    <row r="775">
      <c r="A775" s="18" t="s">
        <v>1029</v>
      </c>
      <c r="B775" s="18" t="s">
        <v>44</v>
      </c>
      <c r="C775" s="18" t="s">
        <v>133</v>
      </c>
      <c r="D775" s="18" t="s">
        <v>1928</v>
      </c>
      <c r="E775" s="18" t="s">
        <v>1929</v>
      </c>
      <c r="F775" s="18" t="s">
        <v>2487</v>
      </c>
      <c r="G775" s="18">
        <v>14.74</v>
      </c>
      <c r="H775" s="18" t="s">
        <v>56</v>
      </c>
      <c r="I775" s="19">
        <v>433.0</v>
      </c>
      <c r="J775" s="19">
        <v>350.0</v>
      </c>
      <c r="L775" s="18" t="s">
        <v>1930</v>
      </c>
      <c r="M775" s="18" t="s">
        <v>1931</v>
      </c>
      <c r="N775" s="18" t="s">
        <v>1034</v>
      </c>
      <c r="O775" s="18" t="s">
        <v>57</v>
      </c>
      <c r="Q775" s="19">
        <v>360.0</v>
      </c>
    </row>
    <row r="776">
      <c r="A776" s="18" t="s">
        <v>225</v>
      </c>
      <c r="B776" s="18" t="s">
        <v>44</v>
      </c>
      <c r="C776" s="18" t="s">
        <v>53</v>
      </c>
      <c r="D776" s="18" t="s">
        <v>1968</v>
      </c>
      <c r="E776" s="18" t="s">
        <v>1969</v>
      </c>
      <c r="F776" s="18" t="s">
        <v>2487</v>
      </c>
      <c r="G776" s="18">
        <v>16.6</v>
      </c>
      <c r="H776" s="18" t="s">
        <v>120</v>
      </c>
      <c r="I776" s="19">
        <v>5700.0</v>
      </c>
      <c r="J776" s="19">
        <v>7450.0</v>
      </c>
      <c r="K776" s="19">
        <v>6600.0</v>
      </c>
      <c r="L776" s="18" t="s">
        <v>1970</v>
      </c>
      <c r="M776" s="18" t="s">
        <v>1971</v>
      </c>
      <c r="N776" s="18" t="s">
        <v>903</v>
      </c>
      <c r="O776" s="18" t="s">
        <v>161</v>
      </c>
      <c r="P776" s="18" t="s">
        <v>162</v>
      </c>
      <c r="Q776" s="19">
        <v>7150.0</v>
      </c>
    </row>
    <row r="777">
      <c r="A777" s="18" t="s">
        <v>282</v>
      </c>
      <c r="B777" s="18" t="s">
        <v>44</v>
      </c>
      <c r="C777" s="18" t="s">
        <v>64</v>
      </c>
      <c r="D777" s="18" t="s">
        <v>2494</v>
      </c>
      <c r="E777" s="18" t="s">
        <v>2495</v>
      </c>
      <c r="F777" s="18" t="s">
        <v>2487</v>
      </c>
      <c r="G777" s="18">
        <v>18.11</v>
      </c>
      <c r="H777" s="18" t="s">
        <v>120</v>
      </c>
      <c r="I777" s="19">
        <v>5767.0</v>
      </c>
      <c r="J777" s="19">
        <v>6950.0</v>
      </c>
      <c r="K777" s="19">
        <v>7000.0</v>
      </c>
      <c r="L777" s="18" t="s">
        <v>2496</v>
      </c>
      <c r="M777" s="18" t="s">
        <v>2497</v>
      </c>
      <c r="N777" s="18" t="s">
        <v>363</v>
      </c>
      <c r="O777" s="18" t="s">
        <v>41</v>
      </c>
      <c r="P777" s="18" t="s">
        <v>63</v>
      </c>
    </row>
    <row r="778">
      <c r="A778" s="18" t="s">
        <v>138</v>
      </c>
      <c r="B778" s="18" t="s">
        <v>45</v>
      </c>
      <c r="C778" s="18" t="s">
        <v>45</v>
      </c>
      <c r="D778" s="18" t="s">
        <v>2051</v>
      </c>
      <c r="E778" s="18" t="s">
        <v>2052</v>
      </c>
      <c r="F778" s="18" t="s">
        <v>2487</v>
      </c>
      <c r="G778" s="18">
        <v>10.4</v>
      </c>
      <c r="H778" s="18" t="s">
        <v>45</v>
      </c>
      <c r="I778" s="19">
        <v>1652.0</v>
      </c>
      <c r="J778" s="19">
        <v>2400.0</v>
      </c>
      <c r="K778" s="19">
        <v>2050.0</v>
      </c>
      <c r="L778" s="18" t="s">
        <v>2053</v>
      </c>
      <c r="M778" s="18" t="s">
        <v>2054</v>
      </c>
      <c r="N778" s="18" t="s">
        <v>143</v>
      </c>
      <c r="O778" s="18" t="s">
        <v>41</v>
      </c>
      <c r="P778" s="18" t="s">
        <v>144</v>
      </c>
      <c r="Q778" s="19">
        <v>2150.0</v>
      </c>
    </row>
    <row r="779">
      <c r="A779" s="18" t="s">
        <v>201</v>
      </c>
      <c r="B779" s="18" t="s">
        <v>44</v>
      </c>
      <c r="C779" s="18" t="s">
        <v>53</v>
      </c>
      <c r="D779" s="18" t="s">
        <v>2055</v>
      </c>
      <c r="E779" s="18" t="s">
        <v>2056</v>
      </c>
      <c r="F779" s="18" t="s">
        <v>2487</v>
      </c>
      <c r="G779" s="18">
        <v>15.57</v>
      </c>
      <c r="H779" s="18" t="s">
        <v>56</v>
      </c>
      <c r="I779" s="19">
        <v>3050.0</v>
      </c>
      <c r="J779" s="19">
        <v>3700.0</v>
      </c>
      <c r="K779" s="19">
        <v>3700.0</v>
      </c>
      <c r="L779" s="18" t="s">
        <v>2057</v>
      </c>
      <c r="M779" s="18" t="s">
        <v>2058</v>
      </c>
      <c r="N779" s="18" t="s">
        <v>1980</v>
      </c>
      <c r="O779" s="18" t="s">
        <v>57</v>
      </c>
      <c r="Q779" s="19">
        <v>3500.0</v>
      </c>
    </row>
    <row r="780">
      <c r="A780" s="18" t="s">
        <v>132</v>
      </c>
      <c r="B780" s="18" t="s">
        <v>44</v>
      </c>
      <c r="C780" s="18" t="s">
        <v>133</v>
      </c>
      <c r="D780" s="18" t="s">
        <v>2115</v>
      </c>
      <c r="E780" s="18" t="s">
        <v>2116</v>
      </c>
      <c r="F780" s="18" t="s">
        <v>2487</v>
      </c>
      <c r="G780" s="18">
        <v>14.68</v>
      </c>
      <c r="H780" s="18" t="s">
        <v>62</v>
      </c>
      <c r="I780" s="19">
        <v>2975.44</v>
      </c>
      <c r="J780" s="19">
        <v>2400.0</v>
      </c>
      <c r="K780" s="19">
        <v>4500.0</v>
      </c>
      <c r="L780" s="18" t="s">
        <v>2117</v>
      </c>
      <c r="M780" s="18" t="s">
        <v>2118</v>
      </c>
      <c r="N780" s="18" t="s">
        <v>363</v>
      </c>
      <c r="O780" s="18" t="s">
        <v>57</v>
      </c>
    </row>
    <row r="781">
      <c r="A781" s="18" t="s">
        <v>125</v>
      </c>
      <c r="B781" s="18" t="s">
        <v>44</v>
      </c>
      <c r="C781" s="18" t="s">
        <v>113</v>
      </c>
      <c r="D781" s="18" t="s">
        <v>2949</v>
      </c>
      <c r="E781" s="18" t="s">
        <v>2950</v>
      </c>
      <c r="F781" s="18" t="s">
        <v>2487</v>
      </c>
      <c r="G781" s="18">
        <v>12.28</v>
      </c>
      <c r="H781" s="18" t="s">
        <v>116</v>
      </c>
      <c r="I781" s="19">
        <v>2376.0</v>
      </c>
      <c r="J781" s="19">
        <v>2050.0</v>
      </c>
      <c r="K781" s="19">
        <v>4200.0</v>
      </c>
      <c r="L781" s="18" t="s">
        <v>3673</v>
      </c>
      <c r="M781" s="18" t="s">
        <v>3674</v>
      </c>
      <c r="N781" s="18" t="s">
        <v>131</v>
      </c>
      <c r="O781" s="18" t="s">
        <v>57</v>
      </c>
      <c r="Q781" s="19">
        <v>2050.0</v>
      </c>
    </row>
    <row r="782">
      <c r="A782" s="18" t="s">
        <v>138</v>
      </c>
      <c r="B782" s="18" t="s">
        <v>45</v>
      </c>
      <c r="C782" s="18" t="s">
        <v>45</v>
      </c>
      <c r="D782" s="18" t="s">
        <v>1769</v>
      </c>
      <c r="E782" s="18" t="s">
        <v>1770</v>
      </c>
      <c r="F782" s="18" t="s">
        <v>2487</v>
      </c>
      <c r="G782" s="18">
        <v>8.65</v>
      </c>
      <c r="H782" s="18" t="s">
        <v>45</v>
      </c>
      <c r="I782" s="19">
        <v>1652.0</v>
      </c>
      <c r="J782" s="19">
        <v>2400.0</v>
      </c>
      <c r="K782" s="19">
        <v>2050.0</v>
      </c>
      <c r="L782" s="18" t="s">
        <v>3675</v>
      </c>
      <c r="M782" s="18" t="s">
        <v>3676</v>
      </c>
      <c r="N782" s="18" t="s">
        <v>903</v>
      </c>
      <c r="O782" s="18" t="s">
        <v>83</v>
      </c>
      <c r="P782" s="18" t="s">
        <v>144</v>
      </c>
      <c r="Q782" s="19">
        <v>1900.0</v>
      </c>
    </row>
    <row r="783">
      <c r="A783" s="18" t="s">
        <v>1029</v>
      </c>
      <c r="B783" s="18" t="s">
        <v>44</v>
      </c>
      <c r="C783" s="18" t="s">
        <v>76</v>
      </c>
      <c r="D783" s="18" t="s">
        <v>2147</v>
      </c>
      <c r="E783" s="18" t="s">
        <v>2148</v>
      </c>
      <c r="F783" s="18" t="s">
        <v>2487</v>
      </c>
      <c r="G783" s="18">
        <v>19.71</v>
      </c>
      <c r="H783" s="18" t="s">
        <v>120</v>
      </c>
      <c r="I783" s="19">
        <v>550.0</v>
      </c>
      <c r="J783" s="19">
        <v>440.0</v>
      </c>
      <c r="L783" s="18" t="s">
        <v>2149</v>
      </c>
      <c r="M783" s="18" t="s">
        <v>2150</v>
      </c>
      <c r="N783" s="18" t="s">
        <v>1034</v>
      </c>
      <c r="O783" s="18" t="s">
        <v>41</v>
      </c>
    </row>
    <row r="784">
      <c r="A784" s="18" t="s">
        <v>282</v>
      </c>
      <c r="B784" s="18" t="s">
        <v>44</v>
      </c>
      <c r="C784" s="18" t="s">
        <v>113</v>
      </c>
      <c r="D784" s="18" t="s">
        <v>2939</v>
      </c>
      <c r="E784" s="18" t="s">
        <v>2940</v>
      </c>
      <c r="F784" s="18" t="s">
        <v>2487</v>
      </c>
      <c r="G784" s="18">
        <v>12.39</v>
      </c>
      <c r="H784" s="18" t="s">
        <v>56</v>
      </c>
      <c r="I784" s="19">
        <v>4188.0</v>
      </c>
      <c r="J784" s="19">
        <v>5050.0</v>
      </c>
      <c r="K784" s="19">
        <v>5050.0</v>
      </c>
      <c r="L784" s="18" t="s">
        <v>3677</v>
      </c>
      <c r="M784" s="18" t="s">
        <v>3622</v>
      </c>
      <c r="N784" s="18" t="s">
        <v>143</v>
      </c>
      <c r="O784" s="18" t="s">
        <v>41</v>
      </c>
      <c r="P784" s="18" t="s">
        <v>63</v>
      </c>
      <c r="Q784" s="19">
        <v>4600.0</v>
      </c>
    </row>
    <row r="785">
      <c r="A785" s="18" t="s">
        <v>3678</v>
      </c>
      <c r="B785" s="18" t="s">
        <v>44</v>
      </c>
      <c r="C785" s="18" t="s">
        <v>64</v>
      </c>
      <c r="D785" s="18" t="s">
        <v>3679</v>
      </c>
      <c r="E785" s="18" t="s">
        <v>3680</v>
      </c>
      <c r="F785" s="18" t="s">
        <v>2487</v>
      </c>
      <c r="G785" s="18">
        <v>26.97</v>
      </c>
      <c r="H785" s="18" t="s">
        <v>168</v>
      </c>
      <c r="I785" s="19">
        <v>5500.0</v>
      </c>
      <c r="J785" s="19">
        <v>5500.0</v>
      </c>
      <c r="K785" s="19">
        <v>7100.0</v>
      </c>
      <c r="L785" s="18" t="s">
        <v>3681</v>
      </c>
      <c r="M785" s="18" t="s">
        <v>3682</v>
      </c>
      <c r="N785" s="18" t="s">
        <v>131</v>
      </c>
      <c r="O785" s="18" t="s">
        <v>41</v>
      </c>
      <c r="Q785" s="19">
        <v>4506.25</v>
      </c>
    </row>
    <row r="786">
      <c r="A786" s="18" t="s">
        <v>3678</v>
      </c>
      <c r="B786" s="18" t="s">
        <v>44</v>
      </c>
      <c r="C786" s="18" t="s">
        <v>64</v>
      </c>
      <c r="D786" s="18" t="s">
        <v>3683</v>
      </c>
      <c r="E786" s="18" t="s">
        <v>3684</v>
      </c>
      <c r="F786" s="18" t="s">
        <v>2487</v>
      </c>
      <c r="G786" s="18">
        <v>25.86</v>
      </c>
      <c r="H786" s="18" t="s">
        <v>168</v>
      </c>
      <c r="I786" s="19">
        <v>5500.0</v>
      </c>
      <c r="J786" s="19">
        <v>5500.0</v>
      </c>
      <c r="K786" s="19">
        <v>2750.0</v>
      </c>
      <c r="L786" s="18" t="s">
        <v>3685</v>
      </c>
      <c r="M786" s="18" t="s">
        <v>3686</v>
      </c>
      <c r="N786" s="18" t="s">
        <v>131</v>
      </c>
      <c r="O786" s="18" t="s">
        <v>41</v>
      </c>
      <c r="Q786" s="19">
        <v>4506.25</v>
      </c>
    </row>
    <row r="787">
      <c r="A787" s="18" t="s">
        <v>3678</v>
      </c>
      <c r="B787" s="18" t="s">
        <v>44</v>
      </c>
      <c r="C787" s="18" t="s">
        <v>64</v>
      </c>
      <c r="D787" s="18" t="s">
        <v>3687</v>
      </c>
      <c r="E787" s="18" t="s">
        <v>3688</v>
      </c>
      <c r="F787" s="18" t="s">
        <v>2487</v>
      </c>
      <c r="G787" s="18">
        <v>25.91</v>
      </c>
      <c r="H787" s="18" t="s">
        <v>168</v>
      </c>
      <c r="I787" s="19">
        <v>5500.0</v>
      </c>
      <c r="J787" s="19">
        <v>5500.0</v>
      </c>
      <c r="K787" s="19">
        <v>6300.0</v>
      </c>
      <c r="L787" s="18" t="s">
        <v>3689</v>
      </c>
      <c r="M787" s="18" t="s">
        <v>3690</v>
      </c>
      <c r="N787" s="18" t="s">
        <v>131</v>
      </c>
      <c r="O787" s="18" t="s">
        <v>41</v>
      </c>
      <c r="Q787" s="19">
        <v>4506.25</v>
      </c>
    </row>
    <row r="788">
      <c r="A788" s="18" t="s">
        <v>3678</v>
      </c>
      <c r="B788" s="18" t="s">
        <v>44</v>
      </c>
      <c r="C788" s="18" t="s">
        <v>133</v>
      </c>
      <c r="D788" s="18" t="s">
        <v>3691</v>
      </c>
      <c r="E788" s="18" t="s">
        <v>3692</v>
      </c>
      <c r="F788" s="18" t="s">
        <v>2487</v>
      </c>
      <c r="G788" s="18">
        <v>22.66</v>
      </c>
      <c r="H788" s="18" t="s">
        <v>120</v>
      </c>
      <c r="I788" s="19">
        <v>4250.0</v>
      </c>
      <c r="J788" s="19">
        <v>4250.0</v>
      </c>
      <c r="K788" s="19">
        <v>2750.0</v>
      </c>
      <c r="L788" s="18" t="s">
        <v>3693</v>
      </c>
      <c r="M788" s="18" t="s">
        <v>3694</v>
      </c>
      <c r="N788" s="18" t="s">
        <v>131</v>
      </c>
      <c r="O788" s="18" t="s">
        <v>41</v>
      </c>
      <c r="Q788" s="19">
        <v>3547.77</v>
      </c>
    </row>
    <row r="789">
      <c r="A789" s="18" t="s">
        <v>3678</v>
      </c>
      <c r="B789" s="18" t="s">
        <v>44</v>
      </c>
      <c r="C789" s="18" t="s">
        <v>53</v>
      </c>
      <c r="D789" s="18" t="s">
        <v>3695</v>
      </c>
      <c r="E789" s="18" t="s">
        <v>3696</v>
      </c>
      <c r="F789" s="18" t="s">
        <v>2487</v>
      </c>
      <c r="G789" s="18">
        <v>23.55</v>
      </c>
      <c r="H789" s="18" t="s">
        <v>168</v>
      </c>
      <c r="I789" s="19">
        <v>4800.0</v>
      </c>
      <c r="J789" s="19">
        <v>4800.0</v>
      </c>
      <c r="K789" s="19">
        <v>2750.0</v>
      </c>
      <c r="L789" s="18" t="s">
        <v>3697</v>
      </c>
      <c r="M789" s="18" t="s">
        <v>3698</v>
      </c>
      <c r="N789" s="18" t="s">
        <v>131</v>
      </c>
      <c r="O789" s="18" t="s">
        <v>41</v>
      </c>
      <c r="Q789" s="19">
        <v>3776.67</v>
      </c>
    </row>
    <row r="790">
      <c r="A790" s="18" t="s">
        <v>3678</v>
      </c>
      <c r="B790" s="18" t="s">
        <v>44</v>
      </c>
      <c r="C790" s="18" t="s">
        <v>133</v>
      </c>
      <c r="D790" s="18" t="s">
        <v>3699</v>
      </c>
      <c r="E790" s="18" t="s">
        <v>3700</v>
      </c>
      <c r="F790" s="18" t="s">
        <v>2487</v>
      </c>
      <c r="G790" s="18">
        <v>20.87</v>
      </c>
      <c r="H790" s="18" t="s">
        <v>120</v>
      </c>
      <c r="I790" s="19">
        <v>4250.0</v>
      </c>
      <c r="J790" s="19">
        <v>4250.0</v>
      </c>
      <c r="K790" s="19">
        <v>4400.0</v>
      </c>
      <c r="L790" s="18" t="s">
        <v>3701</v>
      </c>
      <c r="M790" s="18" t="s">
        <v>3702</v>
      </c>
      <c r="N790" s="18" t="s">
        <v>131</v>
      </c>
      <c r="O790" s="18" t="s">
        <v>41</v>
      </c>
      <c r="Q790" s="19">
        <v>3547.77</v>
      </c>
    </row>
    <row r="791">
      <c r="A791" s="18" t="s">
        <v>3678</v>
      </c>
      <c r="B791" s="18" t="s">
        <v>44</v>
      </c>
      <c r="C791" s="18" t="s">
        <v>133</v>
      </c>
      <c r="D791" s="18" t="s">
        <v>3703</v>
      </c>
      <c r="E791" s="18" t="s">
        <v>3704</v>
      </c>
      <c r="F791" s="18" t="s">
        <v>2487</v>
      </c>
      <c r="G791" s="18">
        <v>20.77</v>
      </c>
      <c r="H791" s="18" t="s">
        <v>120</v>
      </c>
      <c r="I791" s="19">
        <v>4250.0</v>
      </c>
      <c r="J791" s="19">
        <v>4250.0</v>
      </c>
      <c r="K791" s="19">
        <v>7100.0</v>
      </c>
      <c r="L791" s="18" t="s">
        <v>3705</v>
      </c>
      <c r="M791" s="18" t="s">
        <v>3706</v>
      </c>
      <c r="N791" s="18" t="s">
        <v>131</v>
      </c>
      <c r="O791" s="18" t="s">
        <v>41</v>
      </c>
      <c r="Q791" s="19">
        <v>3547.77</v>
      </c>
    </row>
    <row r="792">
      <c r="A792" s="18" t="s">
        <v>3678</v>
      </c>
      <c r="B792" s="18" t="s">
        <v>44</v>
      </c>
      <c r="C792" s="18" t="s">
        <v>113</v>
      </c>
      <c r="D792" s="18" t="s">
        <v>3707</v>
      </c>
      <c r="E792" s="18" t="s">
        <v>3708</v>
      </c>
      <c r="F792" s="18" t="s">
        <v>2487</v>
      </c>
      <c r="G792" s="18">
        <v>18.02</v>
      </c>
      <c r="H792" s="18" t="s">
        <v>56</v>
      </c>
      <c r="I792" s="19">
        <v>3800.0</v>
      </c>
      <c r="J792" s="19">
        <v>3800.0</v>
      </c>
      <c r="K792" s="19">
        <v>5450.0</v>
      </c>
      <c r="L792" s="18" t="s">
        <v>3709</v>
      </c>
      <c r="M792" s="18" t="s">
        <v>3710</v>
      </c>
      <c r="N792" s="18" t="s">
        <v>131</v>
      </c>
      <c r="O792" s="18" t="s">
        <v>41</v>
      </c>
      <c r="Q792" s="19">
        <v>3090.0</v>
      </c>
    </row>
    <row r="793">
      <c r="A793" s="18" t="s">
        <v>3678</v>
      </c>
      <c r="B793" s="18" t="s">
        <v>45</v>
      </c>
      <c r="C793" s="18" t="s">
        <v>45</v>
      </c>
      <c r="D793" s="18" t="s">
        <v>3711</v>
      </c>
      <c r="E793" s="18" t="s">
        <v>3712</v>
      </c>
      <c r="F793" s="18" t="s">
        <v>2487</v>
      </c>
      <c r="G793" s="18">
        <v>15.09</v>
      </c>
      <c r="H793" s="18" t="s">
        <v>400</v>
      </c>
      <c r="I793" s="19">
        <v>2600.0</v>
      </c>
      <c r="J793" s="19">
        <v>2600.0</v>
      </c>
      <c r="K793" s="19">
        <v>5450.0</v>
      </c>
      <c r="L793" s="18" t="s">
        <v>3713</v>
      </c>
      <c r="M793" s="18" t="s">
        <v>3714</v>
      </c>
      <c r="N793" s="18" t="s">
        <v>131</v>
      </c>
      <c r="O793" s="18" t="s">
        <v>41</v>
      </c>
      <c r="Q793" s="19">
        <v>2145.83</v>
      </c>
    </row>
    <row r="794">
      <c r="A794" s="18" t="s">
        <v>3678</v>
      </c>
      <c r="B794" s="18" t="s">
        <v>45</v>
      </c>
      <c r="C794" s="18" t="s">
        <v>45</v>
      </c>
      <c r="D794" s="18" t="s">
        <v>3715</v>
      </c>
      <c r="E794" s="18" t="s">
        <v>3716</v>
      </c>
      <c r="F794" s="18" t="s">
        <v>2487</v>
      </c>
      <c r="G794" s="18">
        <v>15.34</v>
      </c>
      <c r="H794" s="18" t="s">
        <v>400</v>
      </c>
      <c r="I794" s="19">
        <v>2600.0</v>
      </c>
      <c r="J794" s="19">
        <v>2600.0</v>
      </c>
      <c r="K794" s="19">
        <v>5450.0</v>
      </c>
      <c r="L794" s="18" t="s">
        <v>3717</v>
      </c>
      <c r="M794" s="18" t="s">
        <v>3718</v>
      </c>
      <c r="N794" s="18" t="s">
        <v>131</v>
      </c>
      <c r="O794" s="18" t="s">
        <v>41</v>
      </c>
      <c r="Q794" s="19">
        <v>2145.83</v>
      </c>
    </row>
    <row r="795">
      <c r="A795" s="18" t="s">
        <v>132</v>
      </c>
      <c r="B795" s="18" t="s">
        <v>44</v>
      </c>
      <c r="C795" s="18" t="s">
        <v>133</v>
      </c>
      <c r="D795" s="18" t="s">
        <v>2228</v>
      </c>
      <c r="E795" s="18" t="s">
        <v>2229</v>
      </c>
      <c r="F795" s="18" t="s">
        <v>2487</v>
      </c>
      <c r="G795" s="18">
        <v>13.19</v>
      </c>
      <c r="H795" s="18" t="s">
        <v>62</v>
      </c>
      <c r="I795" s="19">
        <v>2975.44</v>
      </c>
      <c r="J795" s="19">
        <v>2400.0</v>
      </c>
      <c r="K795" s="19">
        <v>3500.0</v>
      </c>
      <c r="L795" s="18" t="s">
        <v>2230</v>
      </c>
      <c r="M795" s="18" t="s">
        <v>2231</v>
      </c>
      <c r="N795" s="18" t="s">
        <v>1980</v>
      </c>
      <c r="O795" s="18" t="s">
        <v>41</v>
      </c>
      <c r="Q795" s="19">
        <v>2400.0</v>
      </c>
    </row>
    <row r="796">
      <c r="A796" s="18" t="s">
        <v>3678</v>
      </c>
      <c r="B796" s="18" t="s">
        <v>44</v>
      </c>
      <c r="C796" s="18" t="s">
        <v>113</v>
      </c>
      <c r="D796" s="18" t="s">
        <v>3719</v>
      </c>
      <c r="E796" s="18" t="s">
        <v>3720</v>
      </c>
      <c r="F796" s="18" t="s">
        <v>2487</v>
      </c>
      <c r="G796" s="18">
        <v>18.97</v>
      </c>
      <c r="H796" s="18" t="s">
        <v>56</v>
      </c>
      <c r="I796" s="19">
        <v>3800.0</v>
      </c>
      <c r="J796" s="19">
        <v>3800.0</v>
      </c>
      <c r="K796" s="19">
        <v>6300.0</v>
      </c>
      <c r="L796" s="18" t="s">
        <v>3721</v>
      </c>
      <c r="M796" s="18" t="s">
        <v>3722</v>
      </c>
      <c r="N796" s="18" t="s">
        <v>131</v>
      </c>
      <c r="O796" s="18" t="s">
        <v>41</v>
      </c>
      <c r="Q796" s="19">
        <v>3090.0</v>
      </c>
    </row>
    <row r="797">
      <c r="A797" s="18" t="s">
        <v>3678</v>
      </c>
      <c r="B797" s="18" t="s">
        <v>44</v>
      </c>
      <c r="C797" s="18" t="s">
        <v>64</v>
      </c>
      <c r="D797" s="18" t="s">
        <v>3723</v>
      </c>
      <c r="E797" s="18" t="s">
        <v>3724</v>
      </c>
      <c r="F797" s="18" t="s">
        <v>2487</v>
      </c>
      <c r="G797" s="18">
        <v>27.25</v>
      </c>
      <c r="H797" s="18" t="s">
        <v>168</v>
      </c>
      <c r="I797" s="19">
        <v>5500.0</v>
      </c>
      <c r="J797" s="19">
        <v>5500.0</v>
      </c>
      <c r="K797" s="19">
        <v>4400.0</v>
      </c>
      <c r="L797" s="18" t="s">
        <v>3725</v>
      </c>
      <c r="M797" s="18" t="s">
        <v>3726</v>
      </c>
      <c r="N797" s="18" t="s">
        <v>131</v>
      </c>
      <c r="O797" s="18" t="s">
        <v>41</v>
      </c>
      <c r="Q797" s="19">
        <v>4506.25</v>
      </c>
    </row>
    <row r="798">
      <c r="A798" s="18" t="s">
        <v>2208</v>
      </c>
      <c r="B798" s="18" t="s">
        <v>44</v>
      </c>
      <c r="C798" s="18" t="s">
        <v>76</v>
      </c>
      <c r="D798" s="18" t="s">
        <v>2522</v>
      </c>
      <c r="E798" s="18" t="s">
        <v>2523</v>
      </c>
      <c r="F798" s="18" t="s">
        <v>2487</v>
      </c>
      <c r="G798" s="18">
        <v>21.25</v>
      </c>
      <c r="H798" s="18" t="s">
        <v>120</v>
      </c>
      <c r="I798" s="19">
        <v>7900.0</v>
      </c>
      <c r="J798" s="19">
        <v>0.0</v>
      </c>
      <c r="L798" s="18" t="s">
        <v>2524</v>
      </c>
      <c r="M798" s="18" t="s">
        <v>2525</v>
      </c>
      <c r="N798" s="18" t="s">
        <v>806</v>
      </c>
      <c r="O798" s="18" t="s">
        <v>57</v>
      </c>
    </row>
    <row r="799">
      <c r="A799" s="18" t="s">
        <v>2526</v>
      </c>
      <c r="B799" s="18" t="s">
        <v>44</v>
      </c>
      <c r="C799" s="18" t="s">
        <v>180</v>
      </c>
      <c r="D799" s="18" t="s">
        <v>2527</v>
      </c>
      <c r="E799" s="18" t="s">
        <v>2528</v>
      </c>
      <c r="F799" s="18" t="s">
        <v>2487</v>
      </c>
      <c r="G799" s="18">
        <v>22.07</v>
      </c>
      <c r="H799" s="18" t="s">
        <v>168</v>
      </c>
      <c r="I799" s="19">
        <v>9500.0</v>
      </c>
      <c r="J799" s="19">
        <v>10450.0</v>
      </c>
      <c r="L799" s="18" t="s">
        <v>2529</v>
      </c>
      <c r="M799" s="18" t="s">
        <v>2530</v>
      </c>
      <c r="N799" s="18" t="s">
        <v>806</v>
      </c>
      <c r="O799" s="18" t="s">
        <v>2531</v>
      </c>
      <c r="P799" s="18" t="s">
        <v>42</v>
      </c>
    </row>
    <row r="800">
      <c r="A800" s="18" t="s">
        <v>145</v>
      </c>
      <c r="B800" s="18" t="s">
        <v>44</v>
      </c>
      <c r="C800" s="18" t="s">
        <v>64</v>
      </c>
      <c r="D800" s="18" t="s">
        <v>2592</v>
      </c>
      <c r="E800" s="18" t="s">
        <v>2593</v>
      </c>
      <c r="F800" s="18" t="s">
        <v>2487</v>
      </c>
      <c r="G800" s="18">
        <v>17.3</v>
      </c>
      <c r="H800" s="18" t="s">
        <v>56</v>
      </c>
      <c r="I800" s="19">
        <v>9022.0</v>
      </c>
      <c r="J800" s="19">
        <v>9950.0</v>
      </c>
      <c r="K800" s="19">
        <v>10900.0</v>
      </c>
      <c r="O800" s="18" t="s">
        <v>151</v>
      </c>
      <c r="P800" s="18" t="s">
        <v>63</v>
      </c>
    </row>
    <row r="801">
      <c r="A801" s="18" t="s">
        <v>145</v>
      </c>
      <c r="B801" s="18" t="s">
        <v>44</v>
      </c>
      <c r="C801" s="18" t="s">
        <v>53</v>
      </c>
      <c r="D801" s="18" t="s">
        <v>2594</v>
      </c>
      <c r="E801" s="18" t="s">
        <v>2595</v>
      </c>
      <c r="F801" s="18" t="s">
        <v>2487</v>
      </c>
      <c r="G801" s="18">
        <v>15.9</v>
      </c>
      <c r="H801" s="18" t="s">
        <v>56</v>
      </c>
      <c r="I801" s="19">
        <v>8592.0</v>
      </c>
      <c r="J801" s="19">
        <v>9500.0</v>
      </c>
      <c r="K801" s="19">
        <v>10350.0</v>
      </c>
      <c r="O801" s="18" t="s">
        <v>57</v>
      </c>
      <c r="P801" s="18" t="s">
        <v>63</v>
      </c>
    </row>
    <row r="802">
      <c r="A802" s="18" t="s">
        <v>2526</v>
      </c>
      <c r="B802" s="18" t="s">
        <v>44</v>
      </c>
      <c r="C802" s="18" t="s">
        <v>76</v>
      </c>
      <c r="D802" s="18" t="s">
        <v>2600</v>
      </c>
      <c r="E802" s="18" t="s">
        <v>2601</v>
      </c>
      <c r="F802" s="18" t="s">
        <v>2487</v>
      </c>
      <c r="G802" s="18">
        <v>19.38</v>
      </c>
      <c r="H802" s="18" t="s">
        <v>120</v>
      </c>
      <c r="I802" s="19">
        <v>9000.0</v>
      </c>
      <c r="J802" s="19">
        <v>9900.0</v>
      </c>
      <c r="O802" s="18" t="s">
        <v>41</v>
      </c>
      <c r="P802" s="18" t="s">
        <v>42</v>
      </c>
    </row>
    <row r="803">
      <c r="A803" s="18" t="s">
        <v>145</v>
      </c>
      <c r="B803" s="18" t="s">
        <v>44</v>
      </c>
      <c r="C803" s="18" t="s">
        <v>64</v>
      </c>
      <c r="D803" s="18" t="s">
        <v>2602</v>
      </c>
      <c r="E803" s="18" t="s">
        <v>2603</v>
      </c>
      <c r="F803" s="18" t="s">
        <v>2487</v>
      </c>
      <c r="G803" s="18">
        <v>17.0</v>
      </c>
      <c r="H803" s="18" t="s">
        <v>56</v>
      </c>
      <c r="I803" s="19">
        <v>9022.0</v>
      </c>
      <c r="J803" s="19">
        <v>9950.0</v>
      </c>
      <c r="K803" s="19">
        <v>10900.0</v>
      </c>
      <c r="O803" s="18" t="s">
        <v>151</v>
      </c>
      <c r="P803" s="18" t="s">
        <v>63</v>
      </c>
    </row>
    <row r="804">
      <c r="A804" s="18" t="s">
        <v>145</v>
      </c>
      <c r="B804" s="18" t="s">
        <v>44</v>
      </c>
      <c r="C804" s="18" t="s">
        <v>53</v>
      </c>
      <c r="D804" s="18" t="s">
        <v>2604</v>
      </c>
      <c r="E804" s="18" t="s">
        <v>2605</v>
      </c>
      <c r="F804" s="18" t="s">
        <v>2487</v>
      </c>
      <c r="G804" s="18">
        <v>16.5</v>
      </c>
      <c r="H804" s="18" t="s">
        <v>56</v>
      </c>
      <c r="I804" s="19">
        <v>8592.0</v>
      </c>
      <c r="J804" s="19">
        <v>9500.0</v>
      </c>
      <c r="K804" s="19">
        <v>10350.0</v>
      </c>
      <c r="O804" s="18" t="s">
        <v>57</v>
      </c>
      <c r="P804" s="18" t="s">
        <v>63</v>
      </c>
    </row>
    <row r="805">
      <c r="A805" s="18" t="s">
        <v>145</v>
      </c>
      <c r="B805" s="18" t="s">
        <v>44</v>
      </c>
      <c r="C805" s="18" t="s">
        <v>53</v>
      </c>
      <c r="D805" s="18" t="s">
        <v>2612</v>
      </c>
      <c r="E805" s="18" t="s">
        <v>2613</v>
      </c>
      <c r="F805" s="18" t="s">
        <v>2487</v>
      </c>
      <c r="G805" s="18">
        <v>16.0</v>
      </c>
      <c r="H805" s="18" t="s">
        <v>56</v>
      </c>
      <c r="I805" s="19">
        <v>8592.0</v>
      </c>
      <c r="J805" s="19">
        <v>9500.0</v>
      </c>
      <c r="K805" s="19">
        <v>10350.0</v>
      </c>
      <c r="O805" s="18" t="s">
        <v>57</v>
      </c>
      <c r="P805" s="18" t="s">
        <v>63</v>
      </c>
    </row>
    <row r="806">
      <c r="A806" s="18" t="s">
        <v>145</v>
      </c>
      <c r="B806" s="18" t="s">
        <v>45</v>
      </c>
      <c r="C806" s="18" t="s">
        <v>45</v>
      </c>
      <c r="D806" s="18" t="s">
        <v>2614</v>
      </c>
      <c r="E806" s="18" t="s">
        <v>2615</v>
      </c>
      <c r="F806" s="18" t="s">
        <v>2487</v>
      </c>
      <c r="G806" s="18">
        <v>7.2</v>
      </c>
      <c r="H806" s="18" t="s">
        <v>45</v>
      </c>
      <c r="I806" s="19">
        <v>4215.0</v>
      </c>
      <c r="J806" s="19">
        <v>4650.0</v>
      </c>
      <c r="K806" s="19">
        <v>5100.0</v>
      </c>
      <c r="O806" s="18" t="s">
        <v>57</v>
      </c>
      <c r="P806" s="18" t="s">
        <v>63</v>
      </c>
    </row>
    <row r="807">
      <c r="A807" s="18" t="s">
        <v>225</v>
      </c>
      <c r="B807" s="18" t="s">
        <v>44</v>
      </c>
      <c r="C807" s="18" t="s">
        <v>133</v>
      </c>
      <c r="D807" s="18" t="s">
        <v>2616</v>
      </c>
      <c r="E807" s="18" t="s">
        <v>2617</v>
      </c>
      <c r="F807" s="18" t="s">
        <v>2487</v>
      </c>
      <c r="G807" s="18">
        <v>14.0</v>
      </c>
      <c r="H807" s="18" t="s">
        <v>56</v>
      </c>
      <c r="I807" s="19">
        <v>4650.0</v>
      </c>
      <c r="J807" s="19">
        <v>6050.0</v>
      </c>
      <c r="K807" s="19">
        <v>5400.0</v>
      </c>
      <c r="O807" s="18" t="s">
        <v>41</v>
      </c>
      <c r="P807" s="18" t="s">
        <v>162</v>
      </c>
    </row>
    <row r="808">
      <c r="A808" s="18" t="s">
        <v>145</v>
      </c>
      <c r="B808" s="18" t="s">
        <v>44</v>
      </c>
      <c r="C808" s="18" t="s">
        <v>53</v>
      </c>
      <c r="D808" s="18" t="s">
        <v>2618</v>
      </c>
      <c r="E808" s="18" t="s">
        <v>2619</v>
      </c>
      <c r="F808" s="18" t="s">
        <v>2487</v>
      </c>
      <c r="G808" s="18">
        <v>15.5</v>
      </c>
      <c r="H808" s="18" t="s">
        <v>56</v>
      </c>
      <c r="I808" s="19">
        <v>8592.0</v>
      </c>
      <c r="J808" s="19">
        <v>9500.0</v>
      </c>
      <c r="K808" s="19">
        <v>10350.0</v>
      </c>
      <c r="O808" s="18" t="s">
        <v>57</v>
      </c>
      <c r="P808" s="18" t="s">
        <v>63</v>
      </c>
    </row>
    <row r="809">
      <c r="A809" s="18" t="s">
        <v>148</v>
      </c>
      <c r="B809" s="18" t="s">
        <v>44</v>
      </c>
      <c r="C809" s="18" t="s">
        <v>76</v>
      </c>
      <c r="D809" s="18" t="s">
        <v>2620</v>
      </c>
      <c r="E809" s="18" t="s">
        <v>2621</v>
      </c>
      <c r="F809" s="18" t="s">
        <v>2487</v>
      </c>
      <c r="G809" s="18">
        <v>21.0</v>
      </c>
      <c r="H809" s="18" t="s">
        <v>56</v>
      </c>
      <c r="I809" s="19">
        <v>8349.0</v>
      </c>
      <c r="J809" s="19">
        <v>8350.0</v>
      </c>
      <c r="K809" s="19">
        <v>10050.0</v>
      </c>
      <c r="O809" s="18" t="s">
        <v>151</v>
      </c>
      <c r="P809" s="18" t="s">
        <v>48</v>
      </c>
    </row>
    <row r="810">
      <c r="A810" s="18" t="s">
        <v>148</v>
      </c>
      <c r="B810" s="18" t="s">
        <v>44</v>
      </c>
      <c r="C810" s="18" t="s">
        <v>76</v>
      </c>
      <c r="D810" s="18" t="s">
        <v>2622</v>
      </c>
      <c r="E810" s="18" t="s">
        <v>2623</v>
      </c>
      <c r="F810" s="18" t="s">
        <v>2487</v>
      </c>
      <c r="G810" s="18">
        <v>21.0</v>
      </c>
      <c r="H810" s="18" t="s">
        <v>56</v>
      </c>
      <c r="I810" s="19">
        <v>8349.0</v>
      </c>
      <c r="J810" s="19">
        <v>8350.0</v>
      </c>
      <c r="K810" s="19">
        <v>10050.0</v>
      </c>
      <c r="O810" s="18" t="s">
        <v>151</v>
      </c>
      <c r="P810" s="18" t="s">
        <v>48</v>
      </c>
    </row>
    <row r="811">
      <c r="A811" s="18" t="s">
        <v>148</v>
      </c>
      <c r="B811" s="18" t="s">
        <v>44</v>
      </c>
      <c r="C811" s="18" t="s">
        <v>64</v>
      </c>
      <c r="D811" s="18" t="s">
        <v>2367</v>
      </c>
      <c r="E811" s="18" t="s">
        <v>2368</v>
      </c>
      <c r="F811" s="18" t="s">
        <v>2487</v>
      </c>
      <c r="G811" s="18">
        <v>17.0</v>
      </c>
      <c r="H811" s="18" t="s">
        <v>56</v>
      </c>
      <c r="I811" s="19">
        <v>7096.0</v>
      </c>
      <c r="J811" s="19">
        <v>7100.0</v>
      </c>
      <c r="K811" s="19">
        <v>8550.0</v>
      </c>
      <c r="O811" s="18" t="s">
        <v>151</v>
      </c>
      <c r="P811" s="18" t="s">
        <v>48</v>
      </c>
    </row>
    <row r="812">
      <c r="A812" s="18" t="s">
        <v>148</v>
      </c>
      <c r="B812" s="18" t="s">
        <v>44</v>
      </c>
      <c r="C812" s="18" t="s">
        <v>76</v>
      </c>
      <c r="D812" s="18" t="s">
        <v>2299</v>
      </c>
      <c r="E812" s="18" t="s">
        <v>2300</v>
      </c>
      <c r="F812" s="18" t="s">
        <v>2487</v>
      </c>
      <c r="G812" s="18">
        <v>21.9</v>
      </c>
      <c r="H812" s="18" t="s">
        <v>56</v>
      </c>
      <c r="I812" s="19">
        <v>8349.0</v>
      </c>
      <c r="J812" s="19">
        <v>8350.0</v>
      </c>
      <c r="K812" s="19">
        <v>10050.0</v>
      </c>
      <c r="O812" s="18" t="s">
        <v>151</v>
      </c>
      <c r="P812" s="18" t="s">
        <v>48</v>
      </c>
    </row>
    <row r="813">
      <c r="A813" s="18" t="s">
        <v>148</v>
      </c>
      <c r="B813" s="18" t="s">
        <v>44</v>
      </c>
      <c r="C813" s="18" t="s">
        <v>64</v>
      </c>
      <c r="D813" s="18" t="s">
        <v>2250</v>
      </c>
      <c r="E813" s="18" t="s">
        <v>2251</v>
      </c>
      <c r="F813" s="18" t="s">
        <v>2487</v>
      </c>
      <c r="G813" s="18">
        <v>17.7</v>
      </c>
      <c r="H813" s="18" t="s">
        <v>56</v>
      </c>
      <c r="I813" s="19">
        <v>7096.0</v>
      </c>
      <c r="J813" s="19">
        <v>7100.0</v>
      </c>
      <c r="K813" s="19">
        <v>8550.0</v>
      </c>
      <c r="O813" s="18" t="s">
        <v>151</v>
      </c>
      <c r="P813" s="18" t="s">
        <v>48</v>
      </c>
    </row>
    <row r="814">
      <c r="A814" s="18" t="s">
        <v>148</v>
      </c>
      <c r="B814" s="18" t="s">
        <v>44</v>
      </c>
      <c r="C814" s="18" t="s">
        <v>64</v>
      </c>
      <c r="D814" s="18" t="s">
        <v>2626</v>
      </c>
      <c r="E814" s="18" t="s">
        <v>2627</v>
      </c>
      <c r="F814" s="18" t="s">
        <v>2487</v>
      </c>
      <c r="G814" s="18">
        <v>17.0</v>
      </c>
      <c r="H814" s="18" t="s">
        <v>56</v>
      </c>
      <c r="I814" s="19">
        <v>7096.0</v>
      </c>
      <c r="J814" s="19">
        <v>7100.0</v>
      </c>
      <c r="K814" s="19">
        <v>8550.0</v>
      </c>
      <c r="O814" s="18" t="s">
        <v>57</v>
      </c>
      <c r="P814" s="18" t="s">
        <v>48</v>
      </c>
    </row>
    <row r="815">
      <c r="A815" s="18" t="s">
        <v>148</v>
      </c>
      <c r="B815" s="18" t="s">
        <v>44</v>
      </c>
      <c r="C815" s="18" t="s">
        <v>53</v>
      </c>
      <c r="D815" s="18" t="s">
        <v>2628</v>
      </c>
      <c r="E815" s="18" t="s">
        <v>2629</v>
      </c>
      <c r="F815" s="18" t="s">
        <v>2487</v>
      </c>
      <c r="G815" s="18">
        <v>16.0</v>
      </c>
      <c r="H815" s="18" t="s">
        <v>56</v>
      </c>
      <c r="I815" s="19">
        <v>6678.0</v>
      </c>
      <c r="J815" s="19">
        <v>6700.0</v>
      </c>
      <c r="K815" s="19">
        <v>8050.0</v>
      </c>
      <c r="O815" s="18" t="s">
        <v>57</v>
      </c>
      <c r="P815" s="18" t="s">
        <v>48</v>
      </c>
    </row>
    <row r="816">
      <c r="A816" s="18" t="s">
        <v>148</v>
      </c>
      <c r="B816" s="18" t="s">
        <v>44</v>
      </c>
      <c r="C816" s="18" t="s">
        <v>76</v>
      </c>
      <c r="D816" s="18" t="s">
        <v>2630</v>
      </c>
      <c r="E816" s="18" t="s">
        <v>2631</v>
      </c>
      <c r="F816" s="18" t="s">
        <v>2487</v>
      </c>
      <c r="G816" s="18">
        <v>19.4</v>
      </c>
      <c r="H816" s="18" t="s">
        <v>56</v>
      </c>
      <c r="I816" s="19">
        <v>7514.0</v>
      </c>
      <c r="J816" s="19">
        <v>7550.0</v>
      </c>
      <c r="K816" s="19">
        <v>9100.0</v>
      </c>
      <c r="O816" s="18" t="s">
        <v>57</v>
      </c>
      <c r="P816" s="18" t="s">
        <v>48</v>
      </c>
    </row>
    <row r="817">
      <c r="A817" s="18" t="s">
        <v>148</v>
      </c>
      <c r="B817" s="18" t="s">
        <v>44</v>
      </c>
      <c r="C817" s="18" t="s">
        <v>76</v>
      </c>
      <c r="D817" s="18" t="s">
        <v>2632</v>
      </c>
      <c r="E817" s="18" t="s">
        <v>2633</v>
      </c>
      <c r="F817" s="18" t="s">
        <v>2487</v>
      </c>
      <c r="G817" s="18">
        <v>20.0</v>
      </c>
      <c r="H817" s="18" t="s">
        <v>56</v>
      </c>
      <c r="I817" s="19">
        <v>7514.0</v>
      </c>
      <c r="J817" s="19">
        <v>7550.0</v>
      </c>
      <c r="K817" s="19">
        <v>9100.0</v>
      </c>
      <c r="O817" s="18" t="s">
        <v>57</v>
      </c>
      <c r="P817" s="18" t="s">
        <v>48</v>
      </c>
    </row>
    <row r="818">
      <c r="A818" s="18" t="s">
        <v>154</v>
      </c>
      <c r="B818" s="18" t="s">
        <v>44</v>
      </c>
      <c r="C818" s="18" t="s">
        <v>76</v>
      </c>
      <c r="D818" s="18" t="s">
        <v>2638</v>
      </c>
      <c r="E818" s="18" t="s">
        <v>2639</v>
      </c>
      <c r="F818" s="18" t="s">
        <v>2487</v>
      </c>
      <c r="G818" s="18">
        <v>20.0</v>
      </c>
      <c r="H818" s="18" t="s">
        <v>56</v>
      </c>
      <c r="I818" s="19">
        <v>6090.0</v>
      </c>
      <c r="J818" s="19">
        <v>8550.0</v>
      </c>
      <c r="K818" s="19">
        <v>7350.0</v>
      </c>
      <c r="O818" s="18" t="s">
        <v>151</v>
      </c>
      <c r="P818" s="18" t="s">
        <v>157</v>
      </c>
    </row>
    <row r="819">
      <c r="A819" s="18" t="s">
        <v>148</v>
      </c>
      <c r="B819" s="18" t="s">
        <v>44</v>
      </c>
      <c r="C819" s="18" t="s">
        <v>76</v>
      </c>
      <c r="D819" s="18" t="s">
        <v>2640</v>
      </c>
      <c r="E819" s="18" t="s">
        <v>2641</v>
      </c>
      <c r="F819" s="18" t="s">
        <v>2487</v>
      </c>
      <c r="G819" s="18">
        <v>20.0</v>
      </c>
      <c r="H819" s="18" t="s">
        <v>56</v>
      </c>
      <c r="I819" s="19">
        <v>7514.0</v>
      </c>
      <c r="J819" s="19">
        <v>7550.0</v>
      </c>
      <c r="K819" s="19">
        <v>9100.0</v>
      </c>
      <c r="O819" s="18" t="s">
        <v>57</v>
      </c>
      <c r="P819" s="18" t="s">
        <v>48</v>
      </c>
    </row>
    <row r="820">
      <c r="A820" s="18" t="s">
        <v>148</v>
      </c>
      <c r="B820" s="18" t="s">
        <v>44</v>
      </c>
      <c r="C820" s="18" t="s">
        <v>76</v>
      </c>
      <c r="D820" s="18" t="s">
        <v>2642</v>
      </c>
      <c r="E820" s="18" t="s">
        <v>2643</v>
      </c>
      <c r="F820" s="18" t="s">
        <v>2487</v>
      </c>
      <c r="G820" s="18">
        <v>19.5</v>
      </c>
      <c r="H820" s="18" t="s">
        <v>56</v>
      </c>
      <c r="I820" s="19">
        <v>7514.0</v>
      </c>
      <c r="J820" s="19">
        <v>7550.0</v>
      </c>
      <c r="K820" s="19">
        <v>9100.0</v>
      </c>
      <c r="O820" s="18" t="s">
        <v>57</v>
      </c>
      <c r="P820" s="18" t="s">
        <v>48</v>
      </c>
    </row>
    <row r="821">
      <c r="A821" s="18" t="s">
        <v>148</v>
      </c>
      <c r="B821" s="18" t="s">
        <v>44</v>
      </c>
      <c r="C821" s="18" t="s">
        <v>76</v>
      </c>
      <c r="D821" s="18" t="s">
        <v>2646</v>
      </c>
      <c r="E821" s="18" t="s">
        <v>2647</v>
      </c>
      <c r="F821" s="18" t="s">
        <v>2487</v>
      </c>
      <c r="G821" s="18">
        <v>19.7</v>
      </c>
      <c r="H821" s="18" t="s">
        <v>56</v>
      </c>
      <c r="I821" s="19">
        <v>7514.0</v>
      </c>
      <c r="J821" s="19">
        <v>7550.0</v>
      </c>
      <c r="K821" s="19">
        <v>9100.0</v>
      </c>
      <c r="O821" s="18" t="s">
        <v>57</v>
      </c>
      <c r="P821" s="18" t="s">
        <v>48</v>
      </c>
    </row>
    <row r="822">
      <c r="A822" s="18" t="s">
        <v>148</v>
      </c>
      <c r="B822" s="18" t="s">
        <v>44</v>
      </c>
      <c r="C822" s="18" t="s">
        <v>76</v>
      </c>
      <c r="D822" s="18" t="s">
        <v>2648</v>
      </c>
      <c r="E822" s="18" t="s">
        <v>2649</v>
      </c>
      <c r="F822" s="18" t="s">
        <v>2487</v>
      </c>
      <c r="G822" s="18">
        <v>20.0</v>
      </c>
      <c r="H822" s="18" t="s">
        <v>56</v>
      </c>
      <c r="I822" s="19">
        <v>7514.0</v>
      </c>
      <c r="J822" s="19">
        <v>7550.0</v>
      </c>
      <c r="K822" s="19">
        <v>9100.0</v>
      </c>
      <c r="O822" s="18" t="s">
        <v>57</v>
      </c>
      <c r="P822" s="18" t="s">
        <v>48</v>
      </c>
    </row>
    <row r="823">
      <c r="A823" s="18" t="s">
        <v>154</v>
      </c>
      <c r="B823" s="18" t="s">
        <v>44</v>
      </c>
      <c r="C823" s="18" t="s">
        <v>53</v>
      </c>
      <c r="D823" s="18" t="s">
        <v>2650</v>
      </c>
      <c r="E823" s="18" t="s">
        <v>2651</v>
      </c>
      <c r="F823" s="18" t="s">
        <v>2487</v>
      </c>
      <c r="G823" s="18">
        <v>16.0</v>
      </c>
      <c r="H823" s="18" t="s">
        <v>56</v>
      </c>
      <c r="I823" s="19">
        <v>4799.0</v>
      </c>
      <c r="J823" s="19">
        <v>6750.0</v>
      </c>
      <c r="K823" s="19">
        <v>5800.0</v>
      </c>
      <c r="O823" s="18" t="s">
        <v>151</v>
      </c>
      <c r="P823" s="18" t="s">
        <v>157</v>
      </c>
    </row>
    <row r="824">
      <c r="A824" s="18" t="s">
        <v>225</v>
      </c>
      <c r="B824" s="18" t="s">
        <v>44</v>
      </c>
      <c r="C824" s="18" t="s">
        <v>53</v>
      </c>
      <c r="D824" s="18" t="s">
        <v>2331</v>
      </c>
      <c r="E824" s="18" t="s">
        <v>2332</v>
      </c>
      <c r="F824" s="18" t="s">
        <v>2487</v>
      </c>
      <c r="G824" s="18">
        <v>15.0</v>
      </c>
      <c r="H824" s="18" t="s">
        <v>120</v>
      </c>
      <c r="I824" s="19">
        <v>5150.0</v>
      </c>
      <c r="J824" s="19">
        <v>6700.0</v>
      </c>
      <c r="K824" s="19">
        <v>6000.0</v>
      </c>
      <c r="O824" s="18" t="s">
        <v>161</v>
      </c>
      <c r="P824" s="18" t="s">
        <v>162</v>
      </c>
    </row>
    <row r="825">
      <c r="A825" s="18" t="s">
        <v>225</v>
      </c>
      <c r="B825" s="18" t="s">
        <v>44</v>
      </c>
      <c r="C825" s="18" t="s">
        <v>53</v>
      </c>
      <c r="D825" s="18" t="s">
        <v>2327</v>
      </c>
      <c r="E825" s="18" t="s">
        <v>2328</v>
      </c>
      <c r="F825" s="18" t="s">
        <v>2487</v>
      </c>
      <c r="G825" s="18">
        <v>15.36</v>
      </c>
      <c r="H825" s="18" t="s">
        <v>120</v>
      </c>
      <c r="I825" s="19">
        <v>5700.0</v>
      </c>
      <c r="J825" s="19">
        <v>7450.0</v>
      </c>
      <c r="K825" s="19">
        <v>6600.0</v>
      </c>
      <c r="O825" s="18" t="s">
        <v>41</v>
      </c>
      <c r="P825" s="18" t="s">
        <v>162</v>
      </c>
    </row>
    <row r="826">
      <c r="A826" s="18" t="s">
        <v>158</v>
      </c>
      <c r="B826" s="18" t="s">
        <v>44</v>
      </c>
      <c r="C826" s="18" t="s">
        <v>133</v>
      </c>
      <c r="D826" s="18" t="s">
        <v>2654</v>
      </c>
      <c r="E826" s="18" t="s">
        <v>2655</v>
      </c>
      <c r="F826" s="18" t="s">
        <v>2487</v>
      </c>
      <c r="G826" s="18">
        <v>14.0</v>
      </c>
      <c r="H826" s="18" t="s">
        <v>56</v>
      </c>
      <c r="I826" s="19">
        <v>4666.0</v>
      </c>
      <c r="J826" s="19">
        <v>4700.0</v>
      </c>
      <c r="K826" s="19">
        <v>5650.0</v>
      </c>
      <c r="O826" s="18" t="s">
        <v>41</v>
      </c>
      <c r="P826" s="18" t="s">
        <v>162</v>
      </c>
    </row>
    <row r="827">
      <c r="A827" s="18" t="s">
        <v>158</v>
      </c>
      <c r="B827" s="18" t="s">
        <v>44</v>
      </c>
      <c r="C827" s="18" t="s">
        <v>133</v>
      </c>
      <c r="D827" s="18" t="s">
        <v>2457</v>
      </c>
      <c r="E827" s="18" t="s">
        <v>2458</v>
      </c>
      <c r="F827" s="18" t="s">
        <v>2487</v>
      </c>
      <c r="G827" s="18">
        <v>14.49</v>
      </c>
      <c r="H827" s="18" t="s">
        <v>56</v>
      </c>
      <c r="I827" s="19">
        <v>4666.0</v>
      </c>
      <c r="J827" s="19">
        <v>4700.0</v>
      </c>
      <c r="K827" s="19">
        <v>5650.0</v>
      </c>
      <c r="O827" s="18" t="s">
        <v>41</v>
      </c>
      <c r="P827" s="18" t="s">
        <v>162</v>
      </c>
    </row>
    <row r="828">
      <c r="A828" s="18" t="s">
        <v>158</v>
      </c>
      <c r="B828" s="18" t="s">
        <v>45</v>
      </c>
      <c r="C828" s="18" t="s">
        <v>45</v>
      </c>
      <c r="D828" s="18" t="s">
        <v>2355</v>
      </c>
      <c r="E828" s="18" t="s">
        <v>2356</v>
      </c>
      <c r="F828" s="18" t="s">
        <v>2487</v>
      </c>
      <c r="G828" s="18">
        <v>7.4</v>
      </c>
      <c r="H828" s="18" t="s">
        <v>45</v>
      </c>
      <c r="I828" s="19">
        <v>2542.0</v>
      </c>
      <c r="J828" s="19">
        <v>2550.0</v>
      </c>
      <c r="K828" s="19">
        <v>3100.0</v>
      </c>
      <c r="O828" s="18" t="s">
        <v>41</v>
      </c>
      <c r="P828" s="18" t="s">
        <v>162</v>
      </c>
    </row>
    <row r="829">
      <c r="A829" s="18" t="s">
        <v>148</v>
      </c>
      <c r="B829" s="18" t="s">
        <v>44</v>
      </c>
      <c r="C829" s="18" t="s">
        <v>64</v>
      </c>
      <c r="D829" s="18" t="s">
        <v>2534</v>
      </c>
      <c r="E829" s="18" t="s">
        <v>2535</v>
      </c>
      <c r="F829" s="18" t="s">
        <v>2487</v>
      </c>
      <c r="G829" s="18">
        <v>17.5</v>
      </c>
      <c r="H829" s="18" t="s">
        <v>56</v>
      </c>
      <c r="I829" s="19">
        <v>7096.0</v>
      </c>
      <c r="J829" s="19">
        <v>7100.0</v>
      </c>
      <c r="K829" s="19">
        <v>8550.0</v>
      </c>
      <c r="O829" s="18" t="s">
        <v>151</v>
      </c>
      <c r="P829" s="18" t="s">
        <v>48</v>
      </c>
    </row>
    <row r="830">
      <c r="A830" s="18" t="s">
        <v>158</v>
      </c>
      <c r="B830" s="18" t="s">
        <v>45</v>
      </c>
      <c r="C830" s="18" t="s">
        <v>45</v>
      </c>
      <c r="D830" s="18" t="s">
        <v>2275</v>
      </c>
      <c r="E830" s="18" t="s">
        <v>2276</v>
      </c>
      <c r="F830" s="18" t="s">
        <v>2487</v>
      </c>
      <c r="G830" s="18">
        <v>8.0</v>
      </c>
      <c r="H830" s="18" t="s">
        <v>45</v>
      </c>
      <c r="I830" s="19">
        <v>2542.0</v>
      </c>
      <c r="J830" s="19">
        <v>2550.0</v>
      </c>
      <c r="K830" s="19">
        <v>3100.0</v>
      </c>
      <c r="O830" s="18" t="s">
        <v>41</v>
      </c>
      <c r="P830" s="18" t="s">
        <v>162</v>
      </c>
    </row>
    <row r="831">
      <c r="A831" s="18" t="s">
        <v>132</v>
      </c>
      <c r="B831" s="18" t="s">
        <v>44</v>
      </c>
      <c r="C831" s="18" t="s">
        <v>53</v>
      </c>
      <c r="D831" s="18" t="s">
        <v>2668</v>
      </c>
      <c r="E831" s="18" t="s">
        <v>2669</v>
      </c>
      <c r="F831" s="18" t="s">
        <v>2487</v>
      </c>
      <c r="G831" s="18">
        <v>16.35</v>
      </c>
      <c r="H831" s="18" t="s">
        <v>62</v>
      </c>
      <c r="I831" s="19">
        <v>3888.56</v>
      </c>
      <c r="J831" s="19">
        <v>3150.0</v>
      </c>
      <c r="K831" s="19">
        <v>4800.0</v>
      </c>
      <c r="O831" s="18" t="s">
        <v>57</v>
      </c>
    </row>
    <row r="832">
      <c r="A832" s="18" t="s">
        <v>132</v>
      </c>
      <c r="B832" s="18" t="s">
        <v>44</v>
      </c>
      <c r="C832" s="18" t="s">
        <v>53</v>
      </c>
      <c r="D832" s="18" t="s">
        <v>2670</v>
      </c>
      <c r="E832" s="18" t="s">
        <v>2671</v>
      </c>
      <c r="F832" s="18" t="s">
        <v>2487</v>
      </c>
      <c r="G832" s="18">
        <v>16.21</v>
      </c>
      <c r="H832" s="18" t="s">
        <v>62</v>
      </c>
      <c r="I832" s="19">
        <v>3888.56</v>
      </c>
      <c r="J832" s="19">
        <v>3150.0</v>
      </c>
      <c r="K832" s="19">
        <v>4500.0</v>
      </c>
      <c r="O832" s="18" t="s">
        <v>57</v>
      </c>
    </row>
    <row r="833">
      <c r="A833" s="18" t="s">
        <v>132</v>
      </c>
      <c r="B833" s="18" t="s">
        <v>44</v>
      </c>
      <c r="C833" s="18" t="s">
        <v>133</v>
      </c>
      <c r="D833" s="18" t="s">
        <v>2672</v>
      </c>
      <c r="E833" s="18" t="s">
        <v>2673</v>
      </c>
      <c r="F833" s="18" t="s">
        <v>2487</v>
      </c>
      <c r="G833" s="18">
        <v>14.82</v>
      </c>
      <c r="H833" s="18" t="s">
        <v>62</v>
      </c>
      <c r="I833" s="19">
        <v>2975.44</v>
      </c>
      <c r="J833" s="19">
        <v>2400.0</v>
      </c>
      <c r="K833" s="19">
        <v>4800.0</v>
      </c>
      <c r="O833" s="18" t="s">
        <v>57</v>
      </c>
    </row>
    <row r="834">
      <c r="A834" s="18" t="s">
        <v>132</v>
      </c>
      <c r="B834" s="18" t="s">
        <v>44</v>
      </c>
      <c r="C834" s="18" t="s">
        <v>76</v>
      </c>
      <c r="D834" s="18" t="s">
        <v>2674</v>
      </c>
      <c r="E834" s="18" t="s">
        <v>2675</v>
      </c>
      <c r="F834" s="18" t="s">
        <v>2487</v>
      </c>
      <c r="G834" s="18">
        <v>21.21</v>
      </c>
      <c r="H834" s="18" t="s">
        <v>67</v>
      </c>
      <c r="I834" s="19">
        <v>4118.4</v>
      </c>
      <c r="J834" s="19">
        <v>3300.0</v>
      </c>
      <c r="K834" s="19">
        <v>4800.0</v>
      </c>
      <c r="O834" s="18" t="s">
        <v>57</v>
      </c>
    </row>
    <row r="835">
      <c r="A835" s="18" t="s">
        <v>132</v>
      </c>
      <c r="B835" s="18" t="s">
        <v>44</v>
      </c>
      <c r="C835" s="18" t="s">
        <v>53</v>
      </c>
      <c r="D835" s="18" t="s">
        <v>2678</v>
      </c>
      <c r="E835" s="18" t="s">
        <v>2679</v>
      </c>
      <c r="F835" s="18" t="s">
        <v>2487</v>
      </c>
      <c r="G835" s="18">
        <v>15.88</v>
      </c>
      <c r="H835" s="18" t="s">
        <v>62</v>
      </c>
      <c r="I835" s="19">
        <v>3888.56</v>
      </c>
      <c r="J835" s="19">
        <v>3150.0</v>
      </c>
      <c r="K835" s="19">
        <v>4800.0</v>
      </c>
      <c r="O835" s="18" t="s">
        <v>41</v>
      </c>
    </row>
    <row r="836">
      <c r="A836" s="18" t="s">
        <v>2526</v>
      </c>
      <c r="B836" s="18" t="s">
        <v>44</v>
      </c>
      <c r="C836" s="18" t="s">
        <v>53</v>
      </c>
      <c r="D836" s="18" t="s">
        <v>2680</v>
      </c>
      <c r="E836" s="18" t="s">
        <v>2681</v>
      </c>
      <c r="F836" s="18" t="s">
        <v>2487</v>
      </c>
      <c r="G836" s="18">
        <v>15.04</v>
      </c>
      <c r="H836" s="18" t="s">
        <v>56</v>
      </c>
      <c r="I836" s="19">
        <v>7900.0</v>
      </c>
      <c r="J836" s="19">
        <v>8700.0</v>
      </c>
      <c r="O836" s="18" t="s">
        <v>2531</v>
      </c>
      <c r="P836" s="18" t="s">
        <v>42</v>
      </c>
    </row>
    <row r="837">
      <c r="A837" s="18" t="s">
        <v>2526</v>
      </c>
      <c r="B837" s="18" t="s">
        <v>44</v>
      </c>
      <c r="C837" s="18" t="s">
        <v>64</v>
      </c>
      <c r="D837" s="18" t="s">
        <v>2682</v>
      </c>
      <c r="E837" s="18" t="s">
        <v>2683</v>
      </c>
      <c r="F837" s="18" t="s">
        <v>2487</v>
      </c>
      <c r="G837" s="18">
        <v>17.05</v>
      </c>
      <c r="H837" s="18" t="s">
        <v>120</v>
      </c>
      <c r="I837" s="19">
        <v>8400.0</v>
      </c>
      <c r="J837" s="19">
        <v>9250.0</v>
      </c>
      <c r="O837" s="18" t="s">
        <v>2531</v>
      </c>
      <c r="P837" s="18" t="s">
        <v>42</v>
      </c>
    </row>
    <row r="838">
      <c r="A838" s="18" t="s">
        <v>2526</v>
      </c>
      <c r="B838" s="18" t="s">
        <v>44</v>
      </c>
      <c r="C838" s="18" t="s">
        <v>53</v>
      </c>
      <c r="D838" s="18" t="s">
        <v>2684</v>
      </c>
      <c r="E838" s="18" t="s">
        <v>2685</v>
      </c>
      <c r="F838" s="18" t="s">
        <v>2487</v>
      </c>
      <c r="G838" s="18">
        <v>15.01</v>
      </c>
      <c r="H838" s="18" t="s">
        <v>56</v>
      </c>
      <c r="I838" s="19">
        <v>7900.0</v>
      </c>
      <c r="J838" s="19">
        <v>8700.0</v>
      </c>
      <c r="O838" s="18" t="s">
        <v>2531</v>
      </c>
      <c r="P838" s="18" t="s">
        <v>42</v>
      </c>
    </row>
    <row r="839">
      <c r="A839" s="18" t="s">
        <v>2526</v>
      </c>
      <c r="B839" s="18" t="s">
        <v>44</v>
      </c>
      <c r="C839" s="18" t="s">
        <v>64</v>
      </c>
      <c r="D839" s="18" t="s">
        <v>2686</v>
      </c>
      <c r="E839" s="18" t="s">
        <v>2687</v>
      </c>
      <c r="F839" s="18" t="s">
        <v>2487</v>
      </c>
      <c r="G839" s="18">
        <v>17.22</v>
      </c>
      <c r="H839" s="18" t="s">
        <v>120</v>
      </c>
      <c r="I839" s="19">
        <v>8400.0</v>
      </c>
      <c r="J839" s="19">
        <v>9250.0</v>
      </c>
      <c r="O839" s="18" t="s">
        <v>2688</v>
      </c>
      <c r="P839" s="18" t="s">
        <v>42</v>
      </c>
    </row>
    <row r="840">
      <c r="A840" s="18" t="s">
        <v>2526</v>
      </c>
      <c r="B840" s="18" t="s">
        <v>44</v>
      </c>
      <c r="C840" s="18" t="s">
        <v>76</v>
      </c>
      <c r="D840" s="18" t="s">
        <v>2689</v>
      </c>
      <c r="E840" s="18" t="s">
        <v>2690</v>
      </c>
      <c r="F840" s="18" t="s">
        <v>2487</v>
      </c>
      <c r="G840" s="18">
        <v>19.71</v>
      </c>
      <c r="H840" s="18" t="s">
        <v>120</v>
      </c>
      <c r="I840" s="19">
        <v>9000.0</v>
      </c>
      <c r="J840" s="19">
        <v>9900.0</v>
      </c>
      <c r="O840" s="18" t="s">
        <v>2688</v>
      </c>
      <c r="P840" s="18" t="s">
        <v>42</v>
      </c>
    </row>
    <row r="841">
      <c r="A841" s="18" t="s">
        <v>132</v>
      </c>
      <c r="B841" s="18" t="s">
        <v>44</v>
      </c>
      <c r="C841" s="18" t="s">
        <v>37</v>
      </c>
      <c r="D841" s="18" t="s">
        <v>2691</v>
      </c>
      <c r="E841" s="18" t="s">
        <v>2692</v>
      </c>
      <c r="F841" s="18" t="s">
        <v>2487</v>
      </c>
      <c r="G841" s="18">
        <v>60.33</v>
      </c>
      <c r="H841" s="18" t="s">
        <v>574</v>
      </c>
      <c r="I841" s="19">
        <v>5765.76</v>
      </c>
      <c r="J841" s="19">
        <v>4650.0</v>
      </c>
      <c r="O841" s="18" t="s">
        <v>57</v>
      </c>
    </row>
    <row r="842">
      <c r="A842" s="18" t="s">
        <v>2526</v>
      </c>
      <c r="B842" s="18" t="s">
        <v>44</v>
      </c>
      <c r="C842" s="18" t="s">
        <v>180</v>
      </c>
      <c r="D842" s="18" t="s">
        <v>2693</v>
      </c>
      <c r="E842" s="18" t="s">
        <v>2694</v>
      </c>
      <c r="F842" s="18" t="s">
        <v>2487</v>
      </c>
      <c r="G842" s="18">
        <v>22.08</v>
      </c>
      <c r="H842" s="18" t="s">
        <v>168</v>
      </c>
      <c r="I842" s="19">
        <v>9500.0</v>
      </c>
      <c r="J842" s="19">
        <v>10450.0</v>
      </c>
      <c r="O842" s="18" t="s">
        <v>2531</v>
      </c>
      <c r="P842" s="18" t="s">
        <v>42</v>
      </c>
    </row>
    <row r="843">
      <c r="A843" s="18" t="s">
        <v>2526</v>
      </c>
      <c r="B843" s="18" t="s">
        <v>44</v>
      </c>
      <c r="C843" s="18" t="s">
        <v>53</v>
      </c>
      <c r="D843" s="18" t="s">
        <v>2695</v>
      </c>
      <c r="E843" s="18" t="s">
        <v>2696</v>
      </c>
      <c r="F843" s="18" t="s">
        <v>2487</v>
      </c>
      <c r="G843" s="18">
        <v>15.35</v>
      </c>
      <c r="H843" s="18" t="s">
        <v>56</v>
      </c>
      <c r="I843" s="19">
        <v>7900.0</v>
      </c>
      <c r="J843" s="19">
        <v>8700.0</v>
      </c>
      <c r="O843" s="18" t="s">
        <v>2688</v>
      </c>
      <c r="P843" s="18" t="s">
        <v>42</v>
      </c>
    </row>
    <row r="844">
      <c r="A844" s="18" t="s">
        <v>2526</v>
      </c>
      <c r="B844" s="18" t="s">
        <v>44</v>
      </c>
      <c r="C844" s="18" t="s">
        <v>53</v>
      </c>
      <c r="D844" s="18" t="s">
        <v>2697</v>
      </c>
      <c r="E844" s="18" t="s">
        <v>2698</v>
      </c>
      <c r="F844" s="18" t="s">
        <v>2487</v>
      </c>
      <c r="G844" s="18">
        <v>15.01</v>
      </c>
      <c r="H844" s="18" t="s">
        <v>56</v>
      </c>
      <c r="I844" s="19">
        <v>7900.0</v>
      </c>
      <c r="J844" s="19">
        <v>8700.0</v>
      </c>
      <c r="O844" s="18" t="s">
        <v>2531</v>
      </c>
      <c r="P844" s="18" t="s">
        <v>42</v>
      </c>
    </row>
    <row r="845">
      <c r="A845" s="18" t="s">
        <v>2526</v>
      </c>
      <c r="B845" s="18" t="s">
        <v>44</v>
      </c>
      <c r="C845" s="18" t="s">
        <v>76</v>
      </c>
      <c r="D845" s="18" t="s">
        <v>2699</v>
      </c>
      <c r="E845" s="18" t="s">
        <v>2700</v>
      </c>
      <c r="F845" s="18" t="s">
        <v>2487</v>
      </c>
      <c r="G845" s="18">
        <v>19.06</v>
      </c>
      <c r="H845" s="18" t="s">
        <v>120</v>
      </c>
      <c r="I845" s="19">
        <v>9000.0</v>
      </c>
      <c r="J845" s="19">
        <v>9900.0</v>
      </c>
      <c r="O845" s="18" t="s">
        <v>2531</v>
      </c>
      <c r="P845" s="18" t="s">
        <v>42</v>
      </c>
    </row>
    <row r="846">
      <c r="A846" s="18" t="s">
        <v>1029</v>
      </c>
      <c r="B846" s="18" t="s">
        <v>44</v>
      </c>
      <c r="C846" s="18" t="s">
        <v>53</v>
      </c>
      <c r="D846" s="18" t="s">
        <v>2703</v>
      </c>
      <c r="E846" s="18" t="s">
        <v>2704</v>
      </c>
      <c r="F846" s="18" t="s">
        <v>2487</v>
      </c>
      <c r="G846" s="18">
        <v>15.88</v>
      </c>
      <c r="H846" s="18" t="s">
        <v>56</v>
      </c>
      <c r="I846" s="19">
        <v>450.0</v>
      </c>
      <c r="J846" s="19">
        <v>360.0</v>
      </c>
      <c r="O846" s="18" t="s">
        <v>57</v>
      </c>
    </row>
    <row r="847">
      <c r="A847" s="18" t="s">
        <v>2526</v>
      </c>
      <c r="B847" s="18" t="s">
        <v>44</v>
      </c>
      <c r="C847" s="18" t="s">
        <v>133</v>
      </c>
      <c r="D847" s="18" t="s">
        <v>2705</v>
      </c>
      <c r="E847" s="18" t="s">
        <v>2706</v>
      </c>
      <c r="F847" s="18" t="s">
        <v>2487</v>
      </c>
      <c r="G847" s="18">
        <v>14.78</v>
      </c>
      <c r="H847" s="18" t="s">
        <v>168</v>
      </c>
      <c r="I847" s="19">
        <v>7400.0</v>
      </c>
      <c r="J847" s="19">
        <v>8150.0</v>
      </c>
      <c r="O847" s="18" t="s">
        <v>2531</v>
      </c>
      <c r="P847" s="18" t="s">
        <v>42</v>
      </c>
    </row>
    <row r="848">
      <c r="A848" s="18" t="s">
        <v>2526</v>
      </c>
      <c r="B848" s="18" t="s">
        <v>44</v>
      </c>
      <c r="C848" s="18" t="s">
        <v>53</v>
      </c>
      <c r="D848" s="18" t="s">
        <v>2707</v>
      </c>
      <c r="E848" s="18" t="s">
        <v>2708</v>
      </c>
      <c r="F848" s="18" t="s">
        <v>2487</v>
      </c>
      <c r="G848" s="18">
        <v>15.18</v>
      </c>
      <c r="H848" s="18" t="s">
        <v>168</v>
      </c>
      <c r="I848" s="19">
        <v>7900.0</v>
      </c>
      <c r="J848" s="19">
        <v>8700.0</v>
      </c>
      <c r="O848" s="18" t="s">
        <v>2531</v>
      </c>
      <c r="P848" s="18" t="s">
        <v>42</v>
      </c>
    </row>
    <row r="849">
      <c r="A849" s="18" t="s">
        <v>1822</v>
      </c>
      <c r="B849" s="18" t="s">
        <v>44</v>
      </c>
      <c r="C849" s="18" t="s">
        <v>76</v>
      </c>
      <c r="D849" s="18" t="s">
        <v>2566</v>
      </c>
      <c r="E849" s="18" t="s">
        <v>2567</v>
      </c>
      <c r="F849" s="18" t="s">
        <v>2487</v>
      </c>
      <c r="G849" s="18">
        <v>19.31</v>
      </c>
      <c r="H849" s="18" t="s">
        <v>120</v>
      </c>
      <c r="I849" s="19">
        <v>4200.0</v>
      </c>
      <c r="J849" s="19">
        <v>4650.0</v>
      </c>
      <c r="O849" s="18" t="s">
        <v>57</v>
      </c>
    </row>
    <row r="850">
      <c r="A850" s="18" t="s">
        <v>1822</v>
      </c>
      <c r="B850" s="18" t="s">
        <v>44</v>
      </c>
      <c r="C850" s="18" t="s">
        <v>180</v>
      </c>
      <c r="D850" s="18" t="s">
        <v>2570</v>
      </c>
      <c r="E850" s="18" t="s">
        <v>2571</v>
      </c>
      <c r="F850" s="18" t="s">
        <v>2487</v>
      </c>
      <c r="G850" s="18">
        <v>22.26</v>
      </c>
      <c r="H850" s="18" t="s">
        <v>168</v>
      </c>
      <c r="I850" s="19">
        <v>4500.0</v>
      </c>
      <c r="J850" s="19">
        <v>4950.0</v>
      </c>
      <c r="O850" s="18" t="s">
        <v>57</v>
      </c>
    </row>
    <row r="851">
      <c r="A851" s="18" t="s">
        <v>1822</v>
      </c>
      <c r="B851" s="18" t="s">
        <v>44</v>
      </c>
      <c r="C851" s="18" t="s">
        <v>53</v>
      </c>
      <c r="D851" s="18" t="s">
        <v>2558</v>
      </c>
      <c r="E851" s="18" t="s">
        <v>2559</v>
      </c>
      <c r="F851" s="18" t="s">
        <v>2487</v>
      </c>
      <c r="G851" s="18">
        <v>15.1</v>
      </c>
      <c r="H851" s="18" t="s">
        <v>56</v>
      </c>
      <c r="I851" s="19">
        <v>3700.0</v>
      </c>
      <c r="J851" s="19">
        <v>4100.0</v>
      </c>
      <c r="O851" s="18" t="s">
        <v>57</v>
      </c>
    </row>
    <row r="852">
      <c r="A852" s="18" t="s">
        <v>1822</v>
      </c>
      <c r="B852" s="18" t="s">
        <v>44</v>
      </c>
      <c r="C852" s="18" t="s">
        <v>64</v>
      </c>
      <c r="D852" s="18" t="s">
        <v>2510</v>
      </c>
      <c r="E852" s="18" t="s">
        <v>2511</v>
      </c>
      <c r="F852" s="18" t="s">
        <v>2487</v>
      </c>
      <c r="G852" s="18">
        <v>17.19</v>
      </c>
      <c r="H852" s="18" t="s">
        <v>120</v>
      </c>
      <c r="I852" s="19">
        <v>4000.0</v>
      </c>
      <c r="J852" s="19">
        <v>4400.0</v>
      </c>
      <c r="O852" s="18" t="s">
        <v>57</v>
      </c>
    </row>
    <row r="853">
      <c r="A853" s="18" t="s">
        <v>1822</v>
      </c>
      <c r="B853" s="18" t="s">
        <v>44</v>
      </c>
      <c r="C853" s="18" t="s">
        <v>64</v>
      </c>
      <c r="D853" s="18" t="s">
        <v>2554</v>
      </c>
      <c r="E853" s="18" t="s">
        <v>2555</v>
      </c>
      <c r="F853" s="18" t="s">
        <v>2487</v>
      </c>
      <c r="G853" s="18">
        <v>17.37</v>
      </c>
      <c r="H853" s="18" t="s">
        <v>120</v>
      </c>
      <c r="I853" s="19">
        <v>4000.0</v>
      </c>
      <c r="J853" s="19">
        <v>4400.0</v>
      </c>
      <c r="O853" s="18" t="s">
        <v>57</v>
      </c>
    </row>
    <row r="854">
      <c r="A854" s="18" t="s">
        <v>165</v>
      </c>
      <c r="B854" s="18" t="s">
        <v>44</v>
      </c>
      <c r="C854" s="18" t="s">
        <v>64</v>
      </c>
      <c r="D854" s="18" t="s">
        <v>2717</v>
      </c>
      <c r="E854" s="18" t="s">
        <v>2718</v>
      </c>
      <c r="F854" s="18" t="s">
        <v>2487</v>
      </c>
      <c r="G854" s="18">
        <v>17.39</v>
      </c>
      <c r="H854" s="18" t="s">
        <v>120</v>
      </c>
      <c r="I854" s="19">
        <v>4039.0</v>
      </c>
      <c r="J854" s="19">
        <v>4850.0</v>
      </c>
      <c r="K854" s="19">
        <v>4900.0</v>
      </c>
      <c r="O854" s="18" t="s">
        <v>117</v>
      </c>
    </row>
    <row r="855">
      <c r="A855" s="18" t="s">
        <v>165</v>
      </c>
      <c r="B855" s="18" t="s">
        <v>44</v>
      </c>
      <c r="C855" s="18" t="s">
        <v>64</v>
      </c>
      <c r="D855" s="18" t="s">
        <v>2719</v>
      </c>
      <c r="E855" s="18" t="s">
        <v>2720</v>
      </c>
      <c r="F855" s="18" t="s">
        <v>2487</v>
      </c>
      <c r="G855" s="18">
        <v>17.39</v>
      </c>
      <c r="H855" s="18" t="s">
        <v>120</v>
      </c>
      <c r="I855" s="19">
        <v>4039.0</v>
      </c>
      <c r="J855" s="19">
        <v>4850.0</v>
      </c>
      <c r="K855" s="19">
        <v>4900.0</v>
      </c>
      <c r="O855" s="18" t="s">
        <v>117</v>
      </c>
    </row>
    <row r="856">
      <c r="A856" s="18" t="s">
        <v>165</v>
      </c>
      <c r="B856" s="18" t="s">
        <v>44</v>
      </c>
      <c r="C856" s="18" t="s">
        <v>76</v>
      </c>
      <c r="D856" s="18" t="s">
        <v>2721</v>
      </c>
      <c r="E856" s="18" t="s">
        <v>2722</v>
      </c>
      <c r="F856" s="18" t="s">
        <v>2487</v>
      </c>
      <c r="G856" s="18">
        <v>20.78</v>
      </c>
      <c r="H856" s="18" t="s">
        <v>120</v>
      </c>
      <c r="I856" s="19">
        <v>4275.0</v>
      </c>
      <c r="J856" s="19">
        <v>5150.0</v>
      </c>
      <c r="K856" s="19">
        <v>5200.0</v>
      </c>
      <c r="O856" s="18" t="s">
        <v>117</v>
      </c>
    </row>
    <row r="857">
      <c r="A857" s="18" t="s">
        <v>165</v>
      </c>
      <c r="B857" s="18" t="s">
        <v>44</v>
      </c>
      <c r="C857" s="18" t="s">
        <v>133</v>
      </c>
      <c r="D857" s="18" t="s">
        <v>2986</v>
      </c>
      <c r="E857" s="18" t="s">
        <v>2987</v>
      </c>
      <c r="F857" s="18" t="s">
        <v>2487</v>
      </c>
      <c r="G857" s="18">
        <v>14.28</v>
      </c>
      <c r="H857" s="18" t="s">
        <v>56</v>
      </c>
      <c r="I857" s="19">
        <v>3086.0</v>
      </c>
      <c r="J857" s="19">
        <v>3750.0</v>
      </c>
      <c r="K857" s="19">
        <v>3750.0</v>
      </c>
      <c r="O857" s="18" t="s">
        <v>117</v>
      </c>
    </row>
    <row r="858">
      <c r="A858" s="18" t="s">
        <v>1822</v>
      </c>
      <c r="B858" s="18" t="s">
        <v>44</v>
      </c>
      <c r="C858" s="18" t="s">
        <v>76</v>
      </c>
      <c r="D858" s="18" t="s">
        <v>2723</v>
      </c>
      <c r="E858" s="18" t="s">
        <v>2724</v>
      </c>
      <c r="F858" s="18" t="s">
        <v>2487</v>
      </c>
      <c r="G858" s="18">
        <v>21.06</v>
      </c>
      <c r="H858" s="18" t="s">
        <v>120</v>
      </c>
      <c r="I858" s="19">
        <v>4200.0</v>
      </c>
      <c r="J858" s="19">
        <v>4650.0</v>
      </c>
      <c r="O858" s="18" t="s">
        <v>57</v>
      </c>
    </row>
    <row r="859">
      <c r="A859" s="18" t="s">
        <v>1822</v>
      </c>
      <c r="B859" s="18" t="s">
        <v>44</v>
      </c>
      <c r="C859" s="18" t="s">
        <v>133</v>
      </c>
      <c r="D859" s="18" t="s">
        <v>2542</v>
      </c>
      <c r="E859" s="18" t="s">
        <v>2543</v>
      </c>
      <c r="F859" s="18" t="s">
        <v>2487</v>
      </c>
      <c r="G859" s="18">
        <v>13.03</v>
      </c>
      <c r="H859" s="18" t="s">
        <v>56</v>
      </c>
      <c r="I859" s="19">
        <v>3500.0</v>
      </c>
      <c r="J859" s="19">
        <v>3850.0</v>
      </c>
      <c r="O859" s="18" t="s">
        <v>57</v>
      </c>
    </row>
    <row r="860">
      <c r="A860" s="18" t="s">
        <v>1822</v>
      </c>
      <c r="B860" s="18" t="s">
        <v>44</v>
      </c>
      <c r="C860" s="18" t="s">
        <v>53</v>
      </c>
      <c r="D860" s="18" t="s">
        <v>2363</v>
      </c>
      <c r="E860" s="18" t="s">
        <v>2364</v>
      </c>
      <c r="F860" s="18" t="s">
        <v>2487</v>
      </c>
      <c r="G860" s="18">
        <v>15.99</v>
      </c>
      <c r="H860" s="18" t="s">
        <v>56</v>
      </c>
      <c r="I860" s="19">
        <v>3700.0</v>
      </c>
      <c r="J860" s="19">
        <v>4100.0</v>
      </c>
      <c r="O860" s="18" t="s">
        <v>57</v>
      </c>
    </row>
    <row r="861">
      <c r="A861" s="18" t="s">
        <v>1822</v>
      </c>
      <c r="B861" s="18" t="s">
        <v>44</v>
      </c>
      <c r="C861" s="18" t="s">
        <v>64</v>
      </c>
      <c r="D861" s="18" t="s">
        <v>2725</v>
      </c>
      <c r="E861" s="18" t="s">
        <v>2726</v>
      </c>
      <c r="F861" s="18" t="s">
        <v>2487</v>
      </c>
      <c r="G861" s="18">
        <v>17.06</v>
      </c>
      <c r="H861" s="18" t="s">
        <v>120</v>
      </c>
      <c r="I861" s="19">
        <v>4000.0</v>
      </c>
      <c r="J861" s="19">
        <v>4400.0</v>
      </c>
      <c r="O861" s="18" t="s">
        <v>57</v>
      </c>
    </row>
    <row r="862">
      <c r="A862" s="18" t="s">
        <v>1822</v>
      </c>
      <c r="B862" s="18" t="s">
        <v>44</v>
      </c>
      <c r="C862" s="18" t="s">
        <v>64</v>
      </c>
      <c r="D862" s="18" t="s">
        <v>2727</v>
      </c>
      <c r="E862" s="18" t="s">
        <v>2728</v>
      </c>
      <c r="F862" s="18" t="s">
        <v>2487</v>
      </c>
      <c r="G862" s="18">
        <v>17.06</v>
      </c>
      <c r="H862" s="18" t="s">
        <v>120</v>
      </c>
      <c r="I862" s="19">
        <v>4000.0</v>
      </c>
      <c r="J862" s="19">
        <v>4400.0</v>
      </c>
      <c r="O862" s="18" t="s">
        <v>57</v>
      </c>
    </row>
    <row r="863">
      <c r="A863" s="18" t="s">
        <v>1822</v>
      </c>
      <c r="B863" s="18" t="s">
        <v>44</v>
      </c>
      <c r="C863" s="18" t="s">
        <v>76</v>
      </c>
      <c r="D863" s="18" t="s">
        <v>2729</v>
      </c>
      <c r="E863" s="18" t="s">
        <v>2730</v>
      </c>
      <c r="F863" s="18" t="s">
        <v>2487</v>
      </c>
      <c r="G863" s="18">
        <v>21.52</v>
      </c>
      <c r="H863" s="18" t="s">
        <v>120</v>
      </c>
      <c r="I863" s="19">
        <v>4200.0</v>
      </c>
      <c r="J863" s="19">
        <v>4650.0</v>
      </c>
      <c r="O863" s="18" t="s">
        <v>57</v>
      </c>
    </row>
    <row r="864">
      <c r="A864" s="18" t="s">
        <v>1822</v>
      </c>
      <c r="B864" s="18" t="s">
        <v>44</v>
      </c>
      <c r="C864" s="18" t="s">
        <v>64</v>
      </c>
      <c r="D864" s="18" t="s">
        <v>2731</v>
      </c>
      <c r="E864" s="18" t="s">
        <v>2732</v>
      </c>
      <c r="F864" s="18" t="s">
        <v>2487</v>
      </c>
      <c r="G864" s="18">
        <v>17.19</v>
      </c>
      <c r="H864" s="18" t="s">
        <v>120</v>
      </c>
      <c r="I864" s="19">
        <v>4000.0</v>
      </c>
      <c r="J864" s="19">
        <v>4400.0</v>
      </c>
      <c r="O864" s="18" t="s">
        <v>57</v>
      </c>
    </row>
    <row r="865">
      <c r="A865" s="18" t="s">
        <v>1822</v>
      </c>
      <c r="B865" s="18" t="s">
        <v>44</v>
      </c>
      <c r="C865" s="18" t="s">
        <v>423</v>
      </c>
      <c r="D865" s="18" t="s">
        <v>2506</v>
      </c>
      <c r="E865" s="18" t="s">
        <v>2507</v>
      </c>
      <c r="F865" s="18" t="s">
        <v>2487</v>
      </c>
      <c r="G865" s="18">
        <v>27.2</v>
      </c>
      <c r="H865" s="18" t="s">
        <v>168</v>
      </c>
      <c r="I865" s="19">
        <v>4900.0</v>
      </c>
      <c r="J865" s="19">
        <v>5400.0</v>
      </c>
      <c r="O865" s="18" t="s">
        <v>41</v>
      </c>
    </row>
    <row r="866">
      <c r="A866" s="18" t="s">
        <v>1822</v>
      </c>
      <c r="B866" s="18" t="s">
        <v>44</v>
      </c>
      <c r="C866" s="18" t="s">
        <v>423</v>
      </c>
      <c r="D866" s="18" t="s">
        <v>2351</v>
      </c>
      <c r="E866" s="18" t="s">
        <v>2352</v>
      </c>
      <c r="F866" s="18" t="s">
        <v>2487</v>
      </c>
      <c r="G866" s="18">
        <v>27.03</v>
      </c>
      <c r="H866" s="18" t="s">
        <v>168</v>
      </c>
      <c r="I866" s="19">
        <v>4900.0</v>
      </c>
      <c r="J866" s="19">
        <v>5400.0</v>
      </c>
      <c r="O866" s="18" t="s">
        <v>41</v>
      </c>
    </row>
    <row r="867">
      <c r="A867" s="18" t="s">
        <v>2780</v>
      </c>
      <c r="B867" s="18" t="s">
        <v>36</v>
      </c>
      <c r="D867" s="18" t="s">
        <v>2781</v>
      </c>
      <c r="E867" s="18" t="s">
        <v>2782</v>
      </c>
      <c r="F867" s="18" t="s">
        <v>2487</v>
      </c>
      <c r="G867" s="18">
        <v>52.93</v>
      </c>
      <c r="H867" s="18" t="s">
        <v>168</v>
      </c>
      <c r="I867" s="19">
        <v>22037.04</v>
      </c>
      <c r="J867" s="19">
        <v>22050.0</v>
      </c>
      <c r="P867" s="18" t="s">
        <v>144</v>
      </c>
    </row>
    <row r="868">
      <c r="A868" s="18" t="s">
        <v>2780</v>
      </c>
      <c r="B868" s="18" t="s">
        <v>36</v>
      </c>
      <c r="D868" s="18" t="s">
        <v>2783</v>
      </c>
      <c r="E868" s="18" t="s">
        <v>2784</v>
      </c>
      <c r="F868" s="18" t="s">
        <v>2487</v>
      </c>
      <c r="G868" s="18">
        <v>49.94</v>
      </c>
      <c r="H868" s="18" t="s">
        <v>168</v>
      </c>
      <c r="I868" s="19">
        <v>22037.04</v>
      </c>
      <c r="J868" s="19">
        <v>22050.0</v>
      </c>
      <c r="P868" s="18" t="s">
        <v>144</v>
      </c>
    </row>
    <row r="869">
      <c r="A869" s="18" t="s">
        <v>2780</v>
      </c>
      <c r="B869" s="18" t="s">
        <v>36</v>
      </c>
      <c r="D869" s="18" t="s">
        <v>2785</v>
      </c>
      <c r="E869" s="18" t="s">
        <v>2786</v>
      </c>
      <c r="F869" s="18" t="s">
        <v>2487</v>
      </c>
      <c r="G869" s="18">
        <v>49.77</v>
      </c>
      <c r="H869" s="18" t="s">
        <v>168</v>
      </c>
      <c r="I869" s="19">
        <v>22037.04</v>
      </c>
      <c r="J869" s="19">
        <v>22050.0</v>
      </c>
      <c r="P869" s="18" t="s">
        <v>144</v>
      </c>
    </row>
    <row r="870">
      <c r="A870" s="18" t="s">
        <v>2780</v>
      </c>
      <c r="B870" s="18" t="s">
        <v>36</v>
      </c>
      <c r="D870" s="18" t="s">
        <v>2787</v>
      </c>
      <c r="E870" s="18" t="s">
        <v>2788</v>
      </c>
      <c r="F870" s="18" t="s">
        <v>2487</v>
      </c>
      <c r="G870" s="18">
        <v>52.88</v>
      </c>
      <c r="H870" s="18" t="s">
        <v>168</v>
      </c>
      <c r="I870" s="19">
        <v>22037.04</v>
      </c>
      <c r="J870" s="19">
        <v>22050.0</v>
      </c>
      <c r="P870" s="18" t="s">
        <v>144</v>
      </c>
    </row>
    <row r="871">
      <c r="A871" s="18" t="s">
        <v>2780</v>
      </c>
      <c r="B871" s="18" t="s">
        <v>36</v>
      </c>
      <c r="D871" s="18" t="s">
        <v>2789</v>
      </c>
      <c r="E871" s="18" t="s">
        <v>2790</v>
      </c>
      <c r="F871" s="18" t="s">
        <v>2487</v>
      </c>
      <c r="G871" s="18">
        <v>52.68</v>
      </c>
      <c r="H871" s="18" t="s">
        <v>168</v>
      </c>
      <c r="I871" s="19">
        <v>22037.04</v>
      </c>
      <c r="J871" s="19">
        <v>22050.0</v>
      </c>
      <c r="P871" s="18" t="s">
        <v>144</v>
      </c>
    </row>
    <row r="872">
      <c r="A872" s="18" t="s">
        <v>2780</v>
      </c>
      <c r="B872" s="18" t="s">
        <v>36</v>
      </c>
      <c r="D872" s="18" t="s">
        <v>2791</v>
      </c>
      <c r="E872" s="18" t="s">
        <v>2792</v>
      </c>
      <c r="F872" s="18" t="s">
        <v>2487</v>
      </c>
      <c r="G872" s="18">
        <v>51.32</v>
      </c>
      <c r="H872" s="18" t="s">
        <v>168</v>
      </c>
      <c r="I872" s="19">
        <v>22037.04</v>
      </c>
      <c r="J872" s="19">
        <v>22050.0</v>
      </c>
      <c r="P872" s="18" t="s">
        <v>144</v>
      </c>
    </row>
    <row r="873">
      <c r="A873" s="18" t="s">
        <v>2780</v>
      </c>
      <c r="B873" s="18" t="s">
        <v>36</v>
      </c>
      <c r="D873" s="18" t="s">
        <v>2793</v>
      </c>
      <c r="E873" s="18" t="s">
        <v>2794</v>
      </c>
      <c r="F873" s="18" t="s">
        <v>2487</v>
      </c>
      <c r="G873" s="18">
        <v>51.56</v>
      </c>
      <c r="H873" s="18" t="s">
        <v>168</v>
      </c>
      <c r="I873" s="19">
        <v>22037.04</v>
      </c>
      <c r="J873" s="19">
        <v>22050.0</v>
      </c>
      <c r="P873" s="18" t="s">
        <v>144</v>
      </c>
    </row>
    <row r="874">
      <c r="A874" s="18" t="s">
        <v>2780</v>
      </c>
      <c r="B874" s="18" t="s">
        <v>36</v>
      </c>
      <c r="D874" s="18" t="s">
        <v>2795</v>
      </c>
      <c r="E874" s="18" t="s">
        <v>2796</v>
      </c>
      <c r="F874" s="18" t="s">
        <v>2487</v>
      </c>
      <c r="G874" s="18">
        <v>52.68</v>
      </c>
      <c r="H874" s="18" t="s">
        <v>168</v>
      </c>
      <c r="I874" s="19">
        <v>22037.04</v>
      </c>
      <c r="J874" s="19">
        <v>22050.0</v>
      </c>
      <c r="P874" s="18" t="s">
        <v>144</v>
      </c>
    </row>
    <row r="875">
      <c r="A875" s="18" t="s">
        <v>2780</v>
      </c>
      <c r="B875" s="18" t="s">
        <v>36</v>
      </c>
      <c r="D875" s="18" t="s">
        <v>2797</v>
      </c>
      <c r="E875" s="18" t="s">
        <v>2798</v>
      </c>
      <c r="F875" s="18" t="s">
        <v>2487</v>
      </c>
      <c r="G875" s="18">
        <v>52.68</v>
      </c>
      <c r="H875" s="18" t="s">
        <v>168</v>
      </c>
      <c r="I875" s="19">
        <v>22037.04</v>
      </c>
      <c r="J875" s="19">
        <v>22050.0</v>
      </c>
      <c r="P875" s="18" t="s">
        <v>144</v>
      </c>
    </row>
    <row r="876">
      <c r="A876" s="18" t="s">
        <v>2780</v>
      </c>
      <c r="B876" s="18" t="s">
        <v>36</v>
      </c>
      <c r="D876" s="18" t="s">
        <v>2799</v>
      </c>
      <c r="E876" s="18" t="s">
        <v>2800</v>
      </c>
      <c r="F876" s="18" t="s">
        <v>2487</v>
      </c>
      <c r="G876" s="18">
        <v>49.81</v>
      </c>
      <c r="H876" s="18" t="s">
        <v>168</v>
      </c>
      <c r="I876" s="19">
        <v>22037.04</v>
      </c>
      <c r="J876" s="19">
        <v>22050.0</v>
      </c>
      <c r="P876" s="18" t="s">
        <v>144</v>
      </c>
    </row>
    <row r="877">
      <c r="A877" s="18" t="s">
        <v>2780</v>
      </c>
      <c r="B877" s="18" t="s">
        <v>36</v>
      </c>
      <c r="D877" s="18" t="s">
        <v>2801</v>
      </c>
      <c r="E877" s="18" t="s">
        <v>2802</v>
      </c>
      <c r="F877" s="18" t="s">
        <v>2487</v>
      </c>
      <c r="G877" s="18">
        <v>49.75</v>
      </c>
      <c r="H877" s="18" t="s">
        <v>168</v>
      </c>
      <c r="I877" s="19">
        <v>22037.04</v>
      </c>
      <c r="J877" s="19">
        <v>22050.0</v>
      </c>
      <c r="P877" s="18" t="s">
        <v>144</v>
      </c>
    </row>
    <row r="878">
      <c r="A878" s="18" t="s">
        <v>2780</v>
      </c>
      <c r="B878" s="18" t="s">
        <v>36</v>
      </c>
      <c r="D878" s="18" t="s">
        <v>2803</v>
      </c>
      <c r="E878" s="18" t="s">
        <v>2804</v>
      </c>
      <c r="F878" s="18" t="s">
        <v>2487</v>
      </c>
      <c r="G878" s="18">
        <v>51.29</v>
      </c>
      <c r="H878" s="18" t="s">
        <v>168</v>
      </c>
      <c r="I878" s="19">
        <v>22037.04</v>
      </c>
      <c r="J878" s="19">
        <v>22050.0</v>
      </c>
      <c r="P878" s="18" t="s">
        <v>144</v>
      </c>
    </row>
    <row r="879">
      <c r="A879" s="18" t="s">
        <v>49</v>
      </c>
      <c r="B879" s="18" t="s">
        <v>44</v>
      </c>
      <c r="C879" s="18" t="s">
        <v>76</v>
      </c>
      <c r="D879" s="18" t="s">
        <v>2805</v>
      </c>
      <c r="E879" s="18" t="s">
        <v>2806</v>
      </c>
      <c r="F879" s="18" t="s">
        <v>2487</v>
      </c>
      <c r="G879" s="18">
        <v>19.11</v>
      </c>
      <c r="H879" s="18" t="s">
        <v>120</v>
      </c>
      <c r="I879" s="19">
        <v>7320.0</v>
      </c>
      <c r="J879" s="19">
        <v>8450.0</v>
      </c>
      <c r="K879" s="19">
        <v>8850.0</v>
      </c>
      <c r="O879" s="18" t="s">
        <v>57</v>
      </c>
      <c r="P879" s="18" t="s">
        <v>48</v>
      </c>
    </row>
    <row r="880">
      <c r="A880" s="18" t="s">
        <v>49</v>
      </c>
      <c r="B880" s="18" t="s">
        <v>45</v>
      </c>
      <c r="C880" s="18" t="s">
        <v>50</v>
      </c>
      <c r="D880" s="18" t="s">
        <v>2807</v>
      </c>
      <c r="E880" s="18" t="s">
        <v>2808</v>
      </c>
      <c r="F880" s="18" t="s">
        <v>2487</v>
      </c>
      <c r="G880" s="18">
        <v>10.67</v>
      </c>
      <c r="H880" s="18" t="s">
        <v>40</v>
      </c>
      <c r="I880" s="19">
        <v>3551.0</v>
      </c>
      <c r="J880" s="19">
        <v>4100.0</v>
      </c>
      <c r="K880" s="19">
        <v>4350.0</v>
      </c>
      <c r="O880" s="18" t="s">
        <v>57</v>
      </c>
      <c r="P880" s="18" t="s">
        <v>48</v>
      </c>
    </row>
    <row r="881">
      <c r="A881" s="18" t="s">
        <v>49</v>
      </c>
      <c r="B881" s="18" t="s">
        <v>45</v>
      </c>
      <c r="C881" s="18" t="s">
        <v>50</v>
      </c>
      <c r="D881" s="18" t="s">
        <v>51</v>
      </c>
      <c r="E881" s="18" t="s">
        <v>52</v>
      </c>
      <c r="F881" s="18" t="s">
        <v>2487</v>
      </c>
      <c r="G881" s="18">
        <v>9.12</v>
      </c>
      <c r="H881" s="18" t="s">
        <v>40</v>
      </c>
      <c r="I881" s="19">
        <v>3551.0</v>
      </c>
      <c r="J881" s="19">
        <v>4100.0</v>
      </c>
      <c r="K881" s="19">
        <v>4350.0</v>
      </c>
      <c r="O881" s="18" t="s">
        <v>41</v>
      </c>
      <c r="P881" s="18" t="s">
        <v>48</v>
      </c>
    </row>
    <row r="882">
      <c r="A882" s="18" t="s">
        <v>49</v>
      </c>
      <c r="B882" s="18" t="s">
        <v>45</v>
      </c>
      <c r="C882" s="18" t="s">
        <v>50</v>
      </c>
      <c r="D882" s="18" t="s">
        <v>2809</v>
      </c>
      <c r="E882" s="18" t="s">
        <v>2810</v>
      </c>
      <c r="F882" s="18" t="s">
        <v>2487</v>
      </c>
      <c r="G882" s="18">
        <v>8.7</v>
      </c>
      <c r="H882" s="18" t="s">
        <v>40</v>
      </c>
      <c r="I882" s="19">
        <v>3551.0</v>
      </c>
      <c r="J882" s="19">
        <v>4100.0</v>
      </c>
      <c r="K882" s="19">
        <v>4350.0</v>
      </c>
      <c r="O882" s="18" t="s">
        <v>57</v>
      </c>
      <c r="P882" s="18" t="s">
        <v>48</v>
      </c>
    </row>
    <row r="883">
      <c r="A883" s="18" t="s">
        <v>3678</v>
      </c>
      <c r="B883" s="18" t="s">
        <v>44</v>
      </c>
      <c r="C883" s="18" t="s">
        <v>113</v>
      </c>
      <c r="D883" s="18" t="s">
        <v>3727</v>
      </c>
      <c r="E883" s="18" t="s">
        <v>3728</v>
      </c>
      <c r="F883" s="18" t="s">
        <v>2487</v>
      </c>
      <c r="G883" s="18">
        <v>18.03</v>
      </c>
      <c r="H883" s="18" t="s">
        <v>56</v>
      </c>
      <c r="I883" s="19">
        <v>3800.0</v>
      </c>
      <c r="J883" s="19">
        <v>3800.0</v>
      </c>
      <c r="K883" s="19">
        <v>5450.0</v>
      </c>
      <c r="O883" s="18" t="s">
        <v>57</v>
      </c>
    </row>
    <row r="884">
      <c r="A884" s="18" t="s">
        <v>3678</v>
      </c>
      <c r="B884" s="18" t="s">
        <v>44</v>
      </c>
      <c r="C884" s="18" t="s">
        <v>113</v>
      </c>
      <c r="D884" s="18" t="s">
        <v>3729</v>
      </c>
      <c r="E884" s="18" t="s">
        <v>3730</v>
      </c>
      <c r="F884" s="18" t="s">
        <v>2487</v>
      </c>
      <c r="G884" s="18">
        <v>18.07</v>
      </c>
      <c r="H884" s="18" t="s">
        <v>56</v>
      </c>
      <c r="I884" s="19">
        <v>3800.0</v>
      </c>
      <c r="J884" s="19">
        <v>3800.0</v>
      </c>
      <c r="K884" s="19">
        <v>6300.0</v>
      </c>
      <c r="O884" s="18" t="s">
        <v>57</v>
      </c>
    </row>
    <row r="885">
      <c r="A885" s="18" t="s">
        <v>3678</v>
      </c>
      <c r="B885" s="18" t="s">
        <v>45</v>
      </c>
      <c r="C885" s="18" t="s">
        <v>45</v>
      </c>
      <c r="D885" s="18" t="s">
        <v>3731</v>
      </c>
      <c r="E885" s="18" t="s">
        <v>3732</v>
      </c>
      <c r="F885" s="18" t="s">
        <v>2487</v>
      </c>
      <c r="G885" s="18">
        <v>15.0</v>
      </c>
      <c r="H885" s="18" t="s">
        <v>400</v>
      </c>
      <c r="I885" s="19">
        <v>2600.0</v>
      </c>
      <c r="J885" s="19">
        <v>2600.0</v>
      </c>
      <c r="K885" s="19">
        <v>5450.0</v>
      </c>
      <c r="O885" s="18" t="s">
        <v>57</v>
      </c>
    </row>
    <row r="886">
      <c r="A886" s="18" t="s">
        <v>3678</v>
      </c>
      <c r="B886" s="18" t="s">
        <v>44</v>
      </c>
      <c r="C886" s="18" t="s">
        <v>133</v>
      </c>
      <c r="D886" s="18" t="s">
        <v>3733</v>
      </c>
      <c r="E886" s="18" t="s">
        <v>3734</v>
      </c>
      <c r="F886" s="18" t="s">
        <v>2487</v>
      </c>
      <c r="G886" s="18">
        <v>20.01</v>
      </c>
      <c r="H886" s="18" t="s">
        <v>120</v>
      </c>
      <c r="I886" s="19">
        <v>4250.0</v>
      </c>
      <c r="J886" s="19">
        <v>4250.0</v>
      </c>
      <c r="K886" s="19">
        <v>7100.0</v>
      </c>
      <c r="O886" s="18" t="s">
        <v>57</v>
      </c>
    </row>
    <row r="887">
      <c r="A887" s="18" t="s">
        <v>3678</v>
      </c>
      <c r="B887" s="18" t="s">
        <v>45</v>
      </c>
      <c r="C887" s="18" t="s">
        <v>45</v>
      </c>
      <c r="D887" s="18" t="s">
        <v>3735</v>
      </c>
      <c r="E887" s="18" t="s">
        <v>3736</v>
      </c>
      <c r="F887" s="18" t="s">
        <v>2487</v>
      </c>
      <c r="G887" s="18">
        <v>15.01</v>
      </c>
      <c r="H887" s="18" t="s">
        <v>400</v>
      </c>
      <c r="I887" s="19">
        <v>2600.0</v>
      </c>
      <c r="J887" s="19">
        <v>2600.0</v>
      </c>
      <c r="K887" s="19">
        <v>4400.0</v>
      </c>
      <c r="O887" s="18" t="s">
        <v>57</v>
      </c>
    </row>
    <row r="888">
      <c r="A888" s="18" t="s">
        <v>3678</v>
      </c>
      <c r="B888" s="18" t="s">
        <v>45</v>
      </c>
      <c r="C888" s="18" t="s">
        <v>45</v>
      </c>
      <c r="D888" s="18" t="s">
        <v>3737</v>
      </c>
      <c r="E888" s="18" t="s">
        <v>3738</v>
      </c>
      <c r="F888" s="18" t="s">
        <v>2487</v>
      </c>
      <c r="G888" s="18">
        <v>15.0</v>
      </c>
      <c r="H888" s="18" t="s">
        <v>400</v>
      </c>
      <c r="I888" s="19">
        <v>2600.0</v>
      </c>
      <c r="J888" s="19">
        <v>2600.0</v>
      </c>
      <c r="K888" s="19">
        <v>6300.0</v>
      </c>
      <c r="O888" s="18" t="s">
        <v>57</v>
      </c>
    </row>
    <row r="889">
      <c r="A889" s="18" t="s">
        <v>3678</v>
      </c>
      <c r="B889" s="18" t="s">
        <v>44</v>
      </c>
      <c r="C889" s="18" t="s">
        <v>133</v>
      </c>
      <c r="D889" s="18" t="s">
        <v>3739</v>
      </c>
      <c r="E889" s="18" t="s">
        <v>3740</v>
      </c>
      <c r="F889" s="18" t="s">
        <v>2487</v>
      </c>
      <c r="G889" s="18">
        <v>20.01</v>
      </c>
      <c r="H889" s="18" t="s">
        <v>120</v>
      </c>
      <c r="I889" s="19">
        <v>4250.0</v>
      </c>
      <c r="J889" s="19">
        <v>4250.0</v>
      </c>
      <c r="K889" s="19">
        <v>2750.0</v>
      </c>
      <c r="O889" s="18" t="s">
        <v>57</v>
      </c>
    </row>
    <row r="890">
      <c r="A890" s="18" t="s">
        <v>3678</v>
      </c>
      <c r="B890" s="18" t="s">
        <v>44</v>
      </c>
      <c r="C890" s="18" t="s">
        <v>133</v>
      </c>
      <c r="D890" s="18" t="s">
        <v>3741</v>
      </c>
      <c r="E890" s="18" t="s">
        <v>3742</v>
      </c>
      <c r="F890" s="18" t="s">
        <v>2487</v>
      </c>
      <c r="G890" s="18">
        <v>20.01</v>
      </c>
      <c r="H890" s="18" t="s">
        <v>120</v>
      </c>
      <c r="I890" s="19">
        <v>4250.0</v>
      </c>
      <c r="J890" s="19">
        <v>4250.0</v>
      </c>
      <c r="K890" s="19">
        <v>2750.0</v>
      </c>
      <c r="O890" s="18" t="s">
        <v>57</v>
      </c>
    </row>
    <row r="891">
      <c r="A891" s="18" t="s">
        <v>3678</v>
      </c>
      <c r="B891" s="18" t="s">
        <v>44</v>
      </c>
      <c r="C891" s="18" t="s">
        <v>133</v>
      </c>
      <c r="D891" s="18" t="s">
        <v>3743</v>
      </c>
      <c r="E891" s="18" t="s">
        <v>3744</v>
      </c>
      <c r="F891" s="18" t="s">
        <v>2487</v>
      </c>
      <c r="G891" s="18">
        <v>20.02</v>
      </c>
      <c r="H891" s="18" t="s">
        <v>120</v>
      </c>
      <c r="I891" s="19">
        <v>4250.0</v>
      </c>
      <c r="J891" s="19">
        <v>4250.0</v>
      </c>
      <c r="K891" s="19">
        <v>7100.0</v>
      </c>
      <c r="O891" s="18" t="s">
        <v>57</v>
      </c>
    </row>
    <row r="892">
      <c r="A892" s="18" t="s">
        <v>3678</v>
      </c>
      <c r="B892" s="18" t="s">
        <v>44</v>
      </c>
      <c r="C892" s="18" t="s">
        <v>113</v>
      </c>
      <c r="D892" s="18" t="s">
        <v>3745</v>
      </c>
      <c r="E892" s="18" t="s">
        <v>3746</v>
      </c>
      <c r="F892" s="18" t="s">
        <v>2487</v>
      </c>
      <c r="G892" s="18">
        <v>18.02</v>
      </c>
      <c r="H892" s="18" t="s">
        <v>56</v>
      </c>
      <c r="I892" s="19">
        <v>3800.0</v>
      </c>
      <c r="J892" s="19">
        <v>3800.0</v>
      </c>
      <c r="K892" s="19">
        <v>2750.0</v>
      </c>
      <c r="O892" s="18" t="s">
        <v>57</v>
      </c>
    </row>
    <row r="893">
      <c r="A893" s="18" t="s">
        <v>3678</v>
      </c>
      <c r="B893" s="18" t="s">
        <v>44</v>
      </c>
      <c r="C893" s="18" t="s">
        <v>53</v>
      </c>
      <c r="D893" s="18" t="s">
        <v>3747</v>
      </c>
      <c r="E893" s="18" t="s">
        <v>3748</v>
      </c>
      <c r="F893" s="18" t="s">
        <v>2487</v>
      </c>
      <c r="G893" s="18">
        <v>23.92</v>
      </c>
      <c r="H893" s="18" t="s">
        <v>168</v>
      </c>
      <c r="I893" s="19">
        <v>4800.0</v>
      </c>
      <c r="J893" s="19">
        <v>4800.0</v>
      </c>
      <c r="K893" s="19">
        <v>4400.0</v>
      </c>
      <c r="O893" s="18" t="s">
        <v>57</v>
      </c>
    </row>
    <row r="894">
      <c r="A894" s="18" t="s">
        <v>3678</v>
      </c>
      <c r="B894" s="18" t="s">
        <v>44</v>
      </c>
      <c r="C894" s="18" t="s">
        <v>113</v>
      </c>
      <c r="D894" s="18" t="s">
        <v>3749</v>
      </c>
      <c r="E894" s="18" t="s">
        <v>3750</v>
      </c>
      <c r="F894" s="18" t="s">
        <v>2487</v>
      </c>
      <c r="G894" s="18">
        <v>18.0</v>
      </c>
      <c r="H894" s="18" t="s">
        <v>56</v>
      </c>
      <c r="I894" s="19">
        <v>3800.0</v>
      </c>
      <c r="J894" s="19">
        <v>3800.0</v>
      </c>
      <c r="K894" s="19">
        <v>4400.0</v>
      </c>
      <c r="O894" s="18" t="s">
        <v>57</v>
      </c>
    </row>
    <row r="895">
      <c r="A895" s="18" t="s">
        <v>3678</v>
      </c>
      <c r="B895" s="18" t="s">
        <v>44</v>
      </c>
      <c r="C895" s="18" t="s">
        <v>53</v>
      </c>
      <c r="D895" s="18" t="s">
        <v>3751</v>
      </c>
      <c r="E895" s="18" t="s">
        <v>3752</v>
      </c>
      <c r="F895" s="18" t="s">
        <v>2487</v>
      </c>
      <c r="G895" s="18">
        <v>23.39</v>
      </c>
      <c r="H895" s="18" t="s">
        <v>168</v>
      </c>
      <c r="I895" s="19">
        <v>4800.0</v>
      </c>
      <c r="J895" s="19">
        <v>4800.0</v>
      </c>
      <c r="K895" s="19">
        <v>7100.0</v>
      </c>
      <c r="O895" s="18" t="s">
        <v>57</v>
      </c>
    </row>
    <row r="896">
      <c r="A896" s="18" t="s">
        <v>3678</v>
      </c>
      <c r="B896" s="18" t="s">
        <v>44</v>
      </c>
      <c r="C896" s="18" t="s">
        <v>113</v>
      </c>
      <c r="D896" s="18" t="s">
        <v>3753</v>
      </c>
      <c r="E896" s="18" t="s">
        <v>3754</v>
      </c>
      <c r="F896" s="18" t="s">
        <v>2487</v>
      </c>
      <c r="G896" s="18">
        <v>18.06</v>
      </c>
      <c r="H896" s="18" t="s">
        <v>56</v>
      </c>
      <c r="I896" s="19">
        <v>3800.0</v>
      </c>
      <c r="J896" s="19">
        <v>3800.0</v>
      </c>
      <c r="K896" s="19">
        <v>2750.0</v>
      </c>
      <c r="O896" s="18" t="s">
        <v>57</v>
      </c>
    </row>
    <row r="897">
      <c r="A897" s="18" t="s">
        <v>3678</v>
      </c>
      <c r="B897" s="18" t="s">
        <v>44</v>
      </c>
      <c r="C897" s="18" t="s">
        <v>133</v>
      </c>
      <c r="D897" s="18" t="s">
        <v>3755</v>
      </c>
      <c r="E897" s="18" t="s">
        <v>3756</v>
      </c>
      <c r="F897" s="18" t="s">
        <v>2487</v>
      </c>
      <c r="G897" s="18">
        <v>20.01</v>
      </c>
      <c r="H897" s="18" t="s">
        <v>120</v>
      </c>
      <c r="I897" s="19">
        <v>4250.0</v>
      </c>
      <c r="J897" s="19">
        <v>4250.0</v>
      </c>
      <c r="K897" s="19">
        <v>2750.0</v>
      </c>
      <c r="O897" s="18" t="s">
        <v>57</v>
      </c>
    </row>
    <row r="898">
      <c r="A898" s="18" t="s">
        <v>3678</v>
      </c>
      <c r="B898" s="18" t="s">
        <v>44</v>
      </c>
      <c r="C898" s="18" t="s">
        <v>113</v>
      </c>
      <c r="D898" s="18" t="s">
        <v>3757</v>
      </c>
      <c r="E898" s="18" t="s">
        <v>3758</v>
      </c>
      <c r="F898" s="18" t="s">
        <v>2487</v>
      </c>
      <c r="G898" s="18">
        <v>18.08</v>
      </c>
      <c r="H898" s="18" t="s">
        <v>56</v>
      </c>
      <c r="I898" s="19">
        <v>3800.0</v>
      </c>
      <c r="J898" s="19">
        <v>3800.0</v>
      </c>
      <c r="K898" s="19">
        <v>7100.0</v>
      </c>
      <c r="O898" s="18" t="s">
        <v>57</v>
      </c>
    </row>
    <row r="899">
      <c r="A899" s="18" t="s">
        <v>171</v>
      </c>
      <c r="B899" s="18" t="s">
        <v>44</v>
      </c>
      <c r="C899" s="18" t="s">
        <v>53</v>
      </c>
      <c r="D899" s="18" t="s">
        <v>2813</v>
      </c>
      <c r="E899" s="18" t="s">
        <v>2814</v>
      </c>
      <c r="F899" s="18" t="s">
        <v>2487</v>
      </c>
      <c r="G899" s="18">
        <v>15.13</v>
      </c>
      <c r="H899" s="18" t="s">
        <v>56</v>
      </c>
      <c r="I899" s="19">
        <v>4250.0</v>
      </c>
      <c r="J899" s="19">
        <v>4900.0</v>
      </c>
      <c r="K899" s="19">
        <v>5100.0</v>
      </c>
      <c r="O899" s="18" t="s">
        <v>117</v>
      </c>
    </row>
    <row r="900">
      <c r="A900" s="18" t="s">
        <v>171</v>
      </c>
      <c r="B900" s="18" t="s">
        <v>44</v>
      </c>
      <c r="C900" s="18" t="s">
        <v>53</v>
      </c>
      <c r="D900" s="18" t="s">
        <v>2815</v>
      </c>
      <c r="E900" s="18" t="s">
        <v>2816</v>
      </c>
      <c r="F900" s="18" t="s">
        <v>2487</v>
      </c>
      <c r="G900" s="18">
        <v>15.04</v>
      </c>
      <c r="H900" s="18" t="s">
        <v>56</v>
      </c>
      <c r="I900" s="19">
        <v>4250.0</v>
      </c>
      <c r="J900" s="19">
        <v>4900.0</v>
      </c>
      <c r="K900" s="19">
        <v>5100.0</v>
      </c>
      <c r="O900" s="18" t="s">
        <v>117</v>
      </c>
    </row>
    <row r="901">
      <c r="A901" s="18" t="s">
        <v>171</v>
      </c>
      <c r="B901" s="18" t="s">
        <v>44</v>
      </c>
      <c r="C901" s="18" t="s">
        <v>113</v>
      </c>
      <c r="D901" s="18" t="s">
        <v>2817</v>
      </c>
      <c r="E901" s="18" t="s">
        <v>2818</v>
      </c>
      <c r="F901" s="18" t="s">
        <v>2487</v>
      </c>
      <c r="G901" s="18">
        <v>8.99</v>
      </c>
      <c r="H901" s="18" t="s">
        <v>116</v>
      </c>
      <c r="I901" s="19">
        <v>2990.0</v>
      </c>
      <c r="J901" s="19">
        <v>3450.0</v>
      </c>
      <c r="K901" s="19">
        <v>3600.0</v>
      </c>
      <c r="O901" s="18" t="s">
        <v>117</v>
      </c>
    </row>
    <row r="902">
      <c r="A902" s="18" t="s">
        <v>3678</v>
      </c>
      <c r="B902" s="18" t="s">
        <v>44</v>
      </c>
      <c r="C902" s="18" t="s">
        <v>113</v>
      </c>
      <c r="D902" s="18" t="s">
        <v>3759</v>
      </c>
      <c r="E902" s="18" t="s">
        <v>3760</v>
      </c>
      <c r="F902" s="18" t="s">
        <v>2487</v>
      </c>
      <c r="G902" s="18">
        <v>18.0</v>
      </c>
      <c r="H902" s="18" t="s">
        <v>56</v>
      </c>
      <c r="I902" s="19">
        <v>3800.0</v>
      </c>
      <c r="J902" s="19">
        <v>3800.0</v>
      </c>
      <c r="K902" s="19">
        <v>2750.0</v>
      </c>
      <c r="O902" s="18" t="s">
        <v>57</v>
      </c>
    </row>
    <row r="903">
      <c r="A903" s="18" t="s">
        <v>171</v>
      </c>
      <c r="B903" s="18" t="s">
        <v>44</v>
      </c>
      <c r="C903" s="18" t="s">
        <v>180</v>
      </c>
      <c r="D903" s="18" t="s">
        <v>2819</v>
      </c>
      <c r="E903" s="18" t="s">
        <v>2820</v>
      </c>
      <c r="F903" s="18" t="s">
        <v>2487</v>
      </c>
      <c r="G903" s="18">
        <v>23.41</v>
      </c>
      <c r="H903" s="18" t="s">
        <v>120</v>
      </c>
      <c r="I903" s="19">
        <v>5490.0</v>
      </c>
      <c r="J903" s="19">
        <v>6350.0</v>
      </c>
      <c r="K903" s="19">
        <v>6600.0</v>
      </c>
      <c r="O903" s="18" t="s">
        <v>117</v>
      </c>
    </row>
    <row r="904">
      <c r="A904" s="18" t="s">
        <v>171</v>
      </c>
      <c r="B904" s="18" t="s">
        <v>44</v>
      </c>
      <c r="C904" s="18" t="s">
        <v>53</v>
      </c>
      <c r="D904" s="18" t="s">
        <v>2821</v>
      </c>
      <c r="E904" s="18" t="s">
        <v>2822</v>
      </c>
      <c r="F904" s="18" t="s">
        <v>2487</v>
      </c>
      <c r="G904" s="18">
        <v>14.99</v>
      </c>
      <c r="H904" s="18" t="s">
        <v>56</v>
      </c>
      <c r="I904" s="19">
        <v>4250.0</v>
      </c>
      <c r="J904" s="19">
        <v>4900.0</v>
      </c>
      <c r="K904" s="19">
        <v>5100.0</v>
      </c>
      <c r="O904" s="18" t="s">
        <v>117</v>
      </c>
    </row>
    <row r="905">
      <c r="A905" s="18" t="s">
        <v>171</v>
      </c>
      <c r="B905" s="18" t="s">
        <v>44</v>
      </c>
      <c r="C905" s="18" t="s">
        <v>53</v>
      </c>
      <c r="D905" s="18" t="s">
        <v>2823</v>
      </c>
      <c r="E905" s="18" t="s">
        <v>2824</v>
      </c>
      <c r="F905" s="18" t="s">
        <v>2487</v>
      </c>
      <c r="G905" s="18">
        <v>16.13</v>
      </c>
      <c r="H905" s="18" t="s">
        <v>56</v>
      </c>
      <c r="I905" s="19">
        <v>4250.0</v>
      </c>
      <c r="J905" s="19">
        <v>4900.0</v>
      </c>
      <c r="K905" s="19">
        <v>5100.0</v>
      </c>
      <c r="O905" s="18" t="s">
        <v>117</v>
      </c>
    </row>
    <row r="906">
      <c r="A906" s="18" t="s">
        <v>171</v>
      </c>
      <c r="B906" s="18" t="s">
        <v>44</v>
      </c>
      <c r="C906" s="18" t="s">
        <v>53</v>
      </c>
      <c r="D906" s="18" t="s">
        <v>2825</v>
      </c>
      <c r="E906" s="18" t="s">
        <v>2826</v>
      </c>
      <c r="F906" s="18" t="s">
        <v>2487</v>
      </c>
      <c r="G906" s="18">
        <v>15.04</v>
      </c>
      <c r="H906" s="18" t="s">
        <v>56</v>
      </c>
      <c r="I906" s="19">
        <v>4250.0</v>
      </c>
      <c r="J906" s="19">
        <v>4900.0</v>
      </c>
      <c r="K906" s="19">
        <v>5100.0</v>
      </c>
      <c r="O906" s="18" t="s">
        <v>41</v>
      </c>
    </row>
    <row r="907">
      <c r="A907" s="18" t="s">
        <v>171</v>
      </c>
      <c r="B907" s="18" t="s">
        <v>44</v>
      </c>
      <c r="C907" s="18" t="s">
        <v>76</v>
      </c>
      <c r="D907" s="18" t="s">
        <v>2359</v>
      </c>
      <c r="E907" s="18" t="s">
        <v>2360</v>
      </c>
      <c r="F907" s="18" t="s">
        <v>2487</v>
      </c>
      <c r="G907" s="18">
        <v>21.44</v>
      </c>
      <c r="H907" s="18" t="s">
        <v>120</v>
      </c>
      <c r="I907" s="19">
        <v>5250.0</v>
      </c>
      <c r="J907" s="19">
        <v>6050.0</v>
      </c>
      <c r="K907" s="19">
        <v>6300.0</v>
      </c>
      <c r="O907" s="18" t="s">
        <v>117</v>
      </c>
    </row>
    <row r="908">
      <c r="A908" s="18" t="s">
        <v>171</v>
      </c>
      <c r="B908" s="18" t="s">
        <v>44</v>
      </c>
      <c r="C908" s="18" t="s">
        <v>53</v>
      </c>
      <c r="D908" s="18" t="s">
        <v>2829</v>
      </c>
      <c r="E908" s="18" t="s">
        <v>2830</v>
      </c>
      <c r="F908" s="18" t="s">
        <v>2487</v>
      </c>
      <c r="G908" s="18">
        <v>15.34</v>
      </c>
      <c r="H908" s="18" t="s">
        <v>56</v>
      </c>
      <c r="I908" s="19">
        <v>4250.0</v>
      </c>
      <c r="J908" s="19">
        <v>4900.0</v>
      </c>
      <c r="K908" s="19">
        <v>5100.0</v>
      </c>
      <c r="O908" s="18" t="s">
        <v>41</v>
      </c>
    </row>
    <row r="909">
      <c r="A909" s="18" t="s">
        <v>171</v>
      </c>
      <c r="B909" s="18" t="s">
        <v>44</v>
      </c>
      <c r="C909" s="18" t="s">
        <v>53</v>
      </c>
      <c r="D909" s="18" t="s">
        <v>2831</v>
      </c>
      <c r="E909" s="18" t="s">
        <v>2832</v>
      </c>
      <c r="F909" s="18" t="s">
        <v>2487</v>
      </c>
      <c r="G909" s="18">
        <v>15.0</v>
      </c>
      <c r="H909" s="18" t="s">
        <v>56</v>
      </c>
      <c r="I909" s="19">
        <v>4250.0</v>
      </c>
      <c r="J909" s="19">
        <v>4900.0</v>
      </c>
      <c r="K909" s="19">
        <v>5100.0</v>
      </c>
      <c r="O909" s="18" t="s">
        <v>41</v>
      </c>
    </row>
    <row r="910">
      <c r="A910" s="18" t="s">
        <v>912</v>
      </c>
      <c r="B910" s="18" t="s">
        <v>44</v>
      </c>
      <c r="C910" s="18" t="s">
        <v>133</v>
      </c>
      <c r="D910" s="18" t="s">
        <v>2835</v>
      </c>
      <c r="E910" s="18" t="s">
        <v>2836</v>
      </c>
      <c r="F910" s="18" t="s">
        <v>2487</v>
      </c>
      <c r="G910" s="18">
        <v>13.83</v>
      </c>
      <c r="H910" s="18" t="s">
        <v>56</v>
      </c>
      <c r="I910" s="19">
        <v>4650.0</v>
      </c>
      <c r="J910" s="19">
        <v>5850.0</v>
      </c>
      <c r="K910" s="19">
        <v>5400.0</v>
      </c>
      <c r="O910" s="18" t="s">
        <v>41</v>
      </c>
      <c r="P910" s="18" t="s">
        <v>917</v>
      </c>
    </row>
    <row r="911">
      <c r="A911" s="18" t="s">
        <v>912</v>
      </c>
      <c r="B911" s="18" t="s">
        <v>45</v>
      </c>
      <c r="C911" s="18" t="s">
        <v>45</v>
      </c>
      <c r="D911" s="18" t="s">
        <v>2319</v>
      </c>
      <c r="E911" s="18" t="s">
        <v>2320</v>
      </c>
      <c r="F911" s="18" t="s">
        <v>2487</v>
      </c>
      <c r="G911" s="18">
        <v>9.05</v>
      </c>
      <c r="H911" s="18" t="s">
        <v>45</v>
      </c>
      <c r="I911" s="19">
        <v>2600.0</v>
      </c>
      <c r="J911" s="19">
        <v>3250.0</v>
      </c>
      <c r="K911" s="19">
        <v>3000.0</v>
      </c>
      <c r="O911" s="18" t="s">
        <v>41</v>
      </c>
      <c r="P911" s="18" t="s">
        <v>917</v>
      </c>
    </row>
    <row r="912">
      <c r="A912" s="18" t="s">
        <v>154</v>
      </c>
      <c r="B912" s="18" t="s">
        <v>44</v>
      </c>
      <c r="C912" s="18" t="s">
        <v>180</v>
      </c>
      <c r="D912" s="18" t="s">
        <v>2839</v>
      </c>
      <c r="E912" s="18" t="s">
        <v>2840</v>
      </c>
      <c r="F912" s="18" t="s">
        <v>2487</v>
      </c>
      <c r="G912" s="18">
        <v>22.0</v>
      </c>
      <c r="H912" s="18" t="s">
        <v>56</v>
      </c>
      <c r="I912" s="19">
        <v>6090.0</v>
      </c>
      <c r="J912" s="19">
        <v>8550.0</v>
      </c>
      <c r="K912" s="19">
        <v>7350.0</v>
      </c>
      <c r="O912" s="18" t="s">
        <v>151</v>
      </c>
      <c r="P912" s="18" t="s">
        <v>157</v>
      </c>
    </row>
    <row r="913">
      <c r="A913" s="18" t="s">
        <v>154</v>
      </c>
      <c r="B913" s="18" t="s">
        <v>44</v>
      </c>
      <c r="C913" s="18" t="s">
        <v>64</v>
      </c>
      <c r="D913" s="18" t="s">
        <v>2502</v>
      </c>
      <c r="E913" s="18" t="s">
        <v>2503</v>
      </c>
      <c r="F913" s="18" t="s">
        <v>2487</v>
      </c>
      <c r="G913" s="18">
        <v>17.0</v>
      </c>
      <c r="H913" s="18" t="s">
        <v>56</v>
      </c>
      <c r="I913" s="19">
        <v>5731.0</v>
      </c>
      <c r="J913" s="19">
        <v>8050.0</v>
      </c>
      <c r="K913" s="19">
        <v>6900.0</v>
      </c>
      <c r="O913" s="18" t="s">
        <v>151</v>
      </c>
      <c r="P913" s="18" t="s">
        <v>157</v>
      </c>
    </row>
    <row r="914">
      <c r="A914" s="18" t="s">
        <v>154</v>
      </c>
      <c r="B914" s="18" t="s">
        <v>44</v>
      </c>
      <c r="C914" s="18" t="s">
        <v>64</v>
      </c>
      <c r="D914" s="18" t="s">
        <v>2841</v>
      </c>
      <c r="E914" s="18" t="s">
        <v>2842</v>
      </c>
      <c r="F914" s="18" t="s">
        <v>2487</v>
      </c>
      <c r="G914" s="18">
        <v>18.0</v>
      </c>
      <c r="H914" s="18" t="s">
        <v>56</v>
      </c>
      <c r="I914" s="19">
        <v>5731.0</v>
      </c>
      <c r="J914" s="19">
        <v>8050.0</v>
      </c>
      <c r="K914" s="19">
        <v>6900.0</v>
      </c>
      <c r="O914" s="18" t="s">
        <v>151</v>
      </c>
      <c r="P914" s="18" t="s">
        <v>157</v>
      </c>
    </row>
    <row r="915">
      <c r="A915" s="18" t="s">
        <v>1029</v>
      </c>
      <c r="B915" s="18" t="s">
        <v>45</v>
      </c>
      <c r="C915" s="18" t="s">
        <v>45</v>
      </c>
      <c r="D915" s="18" t="s">
        <v>2851</v>
      </c>
      <c r="E915" s="18" t="s">
        <v>2852</v>
      </c>
      <c r="F915" s="18" t="s">
        <v>2487</v>
      </c>
      <c r="G915" s="18">
        <v>15.88</v>
      </c>
      <c r="I915" s="19">
        <v>245.0</v>
      </c>
      <c r="J915" s="19">
        <v>200.0</v>
      </c>
      <c r="O915" s="18" t="s">
        <v>213</v>
      </c>
    </row>
    <row r="916">
      <c r="A916" s="18" t="s">
        <v>1029</v>
      </c>
      <c r="B916" s="18" t="s">
        <v>45</v>
      </c>
      <c r="C916" s="18" t="s">
        <v>45</v>
      </c>
      <c r="D916" s="18" t="s">
        <v>2853</v>
      </c>
      <c r="E916" s="18" t="s">
        <v>2854</v>
      </c>
      <c r="F916" s="18" t="s">
        <v>2487</v>
      </c>
      <c r="G916" s="18">
        <v>16.29</v>
      </c>
      <c r="I916" s="19">
        <v>245.0</v>
      </c>
      <c r="J916" s="19">
        <v>200.0</v>
      </c>
      <c r="O916" s="18" t="s">
        <v>213</v>
      </c>
    </row>
    <row r="917">
      <c r="A917" s="18" t="s">
        <v>1029</v>
      </c>
      <c r="B917" s="18" t="s">
        <v>45</v>
      </c>
      <c r="C917" s="18" t="s">
        <v>45</v>
      </c>
      <c r="D917" s="18" t="s">
        <v>2855</v>
      </c>
      <c r="E917" s="18" t="s">
        <v>2856</v>
      </c>
      <c r="F917" s="18" t="s">
        <v>2487</v>
      </c>
      <c r="G917" s="18">
        <v>15.35</v>
      </c>
      <c r="I917" s="19">
        <v>245.0</v>
      </c>
      <c r="J917" s="19">
        <v>200.0</v>
      </c>
      <c r="O917" s="18" t="s">
        <v>213</v>
      </c>
    </row>
    <row r="918">
      <c r="A918" s="18" t="s">
        <v>1029</v>
      </c>
      <c r="B918" s="18" t="s">
        <v>45</v>
      </c>
      <c r="C918" s="18" t="s">
        <v>45</v>
      </c>
      <c r="D918" s="18" t="s">
        <v>2857</v>
      </c>
      <c r="E918" s="18" t="s">
        <v>2858</v>
      </c>
      <c r="F918" s="18" t="s">
        <v>2487</v>
      </c>
      <c r="G918" s="18">
        <v>15.34</v>
      </c>
      <c r="I918" s="19">
        <v>245.0</v>
      </c>
      <c r="J918" s="19">
        <v>200.0</v>
      </c>
      <c r="O918" s="18" t="s">
        <v>213</v>
      </c>
    </row>
    <row r="919">
      <c r="A919" s="18" t="s">
        <v>1029</v>
      </c>
      <c r="B919" s="18" t="s">
        <v>45</v>
      </c>
      <c r="C919" s="18" t="s">
        <v>45</v>
      </c>
      <c r="D919" s="18" t="s">
        <v>2562</v>
      </c>
      <c r="E919" s="18" t="s">
        <v>2563</v>
      </c>
      <c r="F919" s="18" t="s">
        <v>2487</v>
      </c>
      <c r="G919" s="18">
        <v>15.66</v>
      </c>
      <c r="I919" s="19">
        <v>245.0</v>
      </c>
      <c r="J919" s="19">
        <v>200.0</v>
      </c>
      <c r="O919" s="18" t="s">
        <v>213</v>
      </c>
    </row>
    <row r="920">
      <c r="A920" s="18" t="s">
        <v>2780</v>
      </c>
      <c r="B920" s="18" t="s">
        <v>36</v>
      </c>
      <c r="D920" s="18" t="s">
        <v>2859</v>
      </c>
      <c r="E920" s="18" t="s">
        <v>2860</v>
      </c>
      <c r="F920" s="18" t="s">
        <v>2487</v>
      </c>
      <c r="G920" s="18">
        <v>49.89</v>
      </c>
      <c r="H920" s="18" t="s">
        <v>168</v>
      </c>
      <c r="I920" s="19">
        <v>22037.04</v>
      </c>
      <c r="J920" s="19">
        <v>22050.0</v>
      </c>
      <c r="P920" s="18" t="s">
        <v>144</v>
      </c>
    </row>
    <row r="921">
      <c r="A921" s="18" t="s">
        <v>2780</v>
      </c>
      <c r="B921" s="18" t="s">
        <v>36</v>
      </c>
      <c r="D921" s="18" t="s">
        <v>2861</v>
      </c>
      <c r="E921" s="18" t="s">
        <v>2862</v>
      </c>
      <c r="F921" s="18" t="s">
        <v>2487</v>
      </c>
      <c r="G921" s="18">
        <v>52.68</v>
      </c>
      <c r="H921" s="18" t="s">
        <v>168</v>
      </c>
      <c r="I921" s="19">
        <v>22037.04</v>
      </c>
      <c r="J921" s="19">
        <v>22050.0</v>
      </c>
      <c r="P921" s="18" t="s">
        <v>144</v>
      </c>
    </row>
    <row r="922">
      <c r="A922" s="18" t="s">
        <v>2780</v>
      </c>
      <c r="B922" s="18" t="s">
        <v>36</v>
      </c>
      <c r="D922" s="18" t="s">
        <v>2863</v>
      </c>
      <c r="E922" s="18" t="s">
        <v>2864</v>
      </c>
      <c r="F922" s="18" t="s">
        <v>2487</v>
      </c>
      <c r="G922" s="18">
        <v>51.34</v>
      </c>
      <c r="H922" s="18" t="s">
        <v>168</v>
      </c>
      <c r="I922" s="19">
        <v>22037.04</v>
      </c>
      <c r="J922" s="19">
        <v>22050.0</v>
      </c>
      <c r="P922" s="18" t="s">
        <v>144</v>
      </c>
    </row>
    <row r="923">
      <c r="A923" s="18" t="s">
        <v>1199</v>
      </c>
      <c r="B923" s="18" t="s">
        <v>44</v>
      </c>
      <c r="C923" s="18" t="s">
        <v>64</v>
      </c>
      <c r="D923" s="18" t="s">
        <v>2263</v>
      </c>
      <c r="E923" s="18" t="s">
        <v>2264</v>
      </c>
      <c r="F923" s="18" t="s">
        <v>2487</v>
      </c>
      <c r="G923" s="18">
        <v>18.26</v>
      </c>
      <c r="H923" s="18" t="s">
        <v>1202</v>
      </c>
      <c r="I923" s="19">
        <v>450.0</v>
      </c>
      <c r="J923" s="19">
        <v>360.0</v>
      </c>
      <c r="O923" s="18" t="s">
        <v>41</v>
      </c>
    </row>
    <row r="924">
      <c r="A924" s="18" t="s">
        <v>2780</v>
      </c>
      <c r="B924" s="18" t="s">
        <v>36</v>
      </c>
      <c r="D924" s="18" t="s">
        <v>2865</v>
      </c>
      <c r="E924" s="18" t="s">
        <v>2866</v>
      </c>
      <c r="F924" s="18" t="s">
        <v>2487</v>
      </c>
      <c r="G924" s="18">
        <v>49.94</v>
      </c>
      <c r="H924" s="18" t="s">
        <v>168</v>
      </c>
      <c r="I924" s="19">
        <v>22037.04</v>
      </c>
      <c r="J924" s="19">
        <v>22050.0</v>
      </c>
      <c r="P924" s="18" t="s">
        <v>144</v>
      </c>
    </row>
    <row r="925">
      <c r="A925" s="18" t="s">
        <v>2780</v>
      </c>
      <c r="B925" s="18" t="s">
        <v>36</v>
      </c>
      <c r="D925" s="18" t="s">
        <v>2867</v>
      </c>
      <c r="E925" s="18" t="s">
        <v>2868</v>
      </c>
      <c r="F925" s="18" t="s">
        <v>2487</v>
      </c>
      <c r="G925" s="18">
        <v>52.68</v>
      </c>
      <c r="H925" s="18" t="s">
        <v>168</v>
      </c>
      <c r="I925" s="19">
        <v>22037.04</v>
      </c>
      <c r="J925" s="19">
        <v>22050.0</v>
      </c>
      <c r="P925" s="18" t="s">
        <v>144</v>
      </c>
    </row>
    <row r="926">
      <c r="A926" s="18" t="s">
        <v>2780</v>
      </c>
      <c r="B926" s="18" t="s">
        <v>36</v>
      </c>
      <c r="D926" s="18" t="s">
        <v>2877</v>
      </c>
      <c r="E926" s="18" t="s">
        <v>2878</v>
      </c>
      <c r="F926" s="18" t="s">
        <v>2487</v>
      </c>
      <c r="G926" s="18">
        <v>52.0</v>
      </c>
      <c r="H926" s="18" t="s">
        <v>168</v>
      </c>
      <c r="I926" s="19">
        <v>22037.04</v>
      </c>
      <c r="J926" s="19">
        <v>22050.0</v>
      </c>
      <c r="P926" s="18" t="s">
        <v>144</v>
      </c>
    </row>
    <row r="927">
      <c r="A927" s="18" t="s">
        <v>2780</v>
      </c>
      <c r="B927" s="18" t="s">
        <v>36</v>
      </c>
      <c r="D927" s="18" t="s">
        <v>2879</v>
      </c>
      <c r="E927" s="18" t="s">
        <v>2880</v>
      </c>
      <c r="F927" s="18" t="s">
        <v>2487</v>
      </c>
      <c r="G927" s="18">
        <v>52.96</v>
      </c>
      <c r="H927" s="18" t="s">
        <v>168</v>
      </c>
      <c r="I927" s="19">
        <v>22037.04</v>
      </c>
      <c r="J927" s="19">
        <v>22050.0</v>
      </c>
      <c r="P927" s="18" t="s">
        <v>144</v>
      </c>
    </row>
    <row r="928">
      <c r="A928" s="18" t="s">
        <v>2780</v>
      </c>
      <c r="B928" s="18" t="s">
        <v>36</v>
      </c>
      <c r="D928" s="18" t="s">
        <v>2881</v>
      </c>
      <c r="E928" s="18" t="s">
        <v>2882</v>
      </c>
      <c r="F928" s="18" t="s">
        <v>2487</v>
      </c>
      <c r="G928" s="18">
        <v>52.96</v>
      </c>
      <c r="H928" s="18" t="s">
        <v>168</v>
      </c>
      <c r="I928" s="19">
        <v>22037.04</v>
      </c>
      <c r="J928" s="19">
        <v>22050.0</v>
      </c>
      <c r="P928" s="18" t="s">
        <v>144</v>
      </c>
    </row>
    <row r="929">
      <c r="A929" s="18" t="s">
        <v>2780</v>
      </c>
      <c r="B929" s="18" t="s">
        <v>36</v>
      </c>
      <c r="D929" s="18" t="s">
        <v>2883</v>
      </c>
      <c r="E929" s="18" t="s">
        <v>2884</v>
      </c>
      <c r="F929" s="18" t="s">
        <v>2487</v>
      </c>
      <c r="G929" s="18">
        <v>52.0</v>
      </c>
      <c r="H929" s="18" t="s">
        <v>168</v>
      </c>
      <c r="I929" s="19">
        <v>22037.04</v>
      </c>
      <c r="J929" s="19">
        <v>22050.0</v>
      </c>
      <c r="P929" s="18" t="s">
        <v>144</v>
      </c>
    </row>
    <row r="930">
      <c r="A930" s="18" t="s">
        <v>2780</v>
      </c>
      <c r="B930" s="18" t="s">
        <v>36</v>
      </c>
      <c r="D930" s="18" t="s">
        <v>2885</v>
      </c>
      <c r="E930" s="18" t="s">
        <v>2886</v>
      </c>
      <c r="F930" s="18" t="s">
        <v>2487</v>
      </c>
      <c r="G930" s="18">
        <v>52.72</v>
      </c>
      <c r="H930" s="18" t="s">
        <v>168</v>
      </c>
      <c r="I930" s="19">
        <v>22037.04</v>
      </c>
      <c r="J930" s="19">
        <v>22050.0</v>
      </c>
      <c r="P930" s="18" t="s">
        <v>144</v>
      </c>
    </row>
    <row r="931">
      <c r="A931" s="18" t="s">
        <v>2208</v>
      </c>
      <c r="B931" s="18" t="s">
        <v>44</v>
      </c>
      <c r="C931" s="18" t="s">
        <v>64</v>
      </c>
      <c r="D931" s="18" t="s">
        <v>2887</v>
      </c>
      <c r="E931" s="18" t="s">
        <v>2888</v>
      </c>
      <c r="F931" s="18" t="s">
        <v>2487</v>
      </c>
      <c r="G931" s="18">
        <v>17.5</v>
      </c>
      <c r="H931" s="18" t="s">
        <v>120</v>
      </c>
      <c r="I931" s="19">
        <v>7400.0</v>
      </c>
      <c r="J931" s="19">
        <v>0.0</v>
      </c>
      <c r="O931" s="18" t="s">
        <v>57</v>
      </c>
    </row>
    <row r="932">
      <c r="A932" s="18" t="s">
        <v>2208</v>
      </c>
      <c r="B932" s="18" t="s">
        <v>44</v>
      </c>
      <c r="C932" s="18" t="s">
        <v>76</v>
      </c>
      <c r="D932" s="18" t="s">
        <v>2889</v>
      </c>
      <c r="E932" s="18" t="s">
        <v>2890</v>
      </c>
      <c r="F932" s="18" t="s">
        <v>2487</v>
      </c>
      <c r="G932" s="18">
        <v>20.45</v>
      </c>
      <c r="H932" s="18" t="s">
        <v>120</v>
      </c>
      <c r="I932" s="19">
        <v>7900.0</v>
      </c>
      <c r="J932" s="19">
        <v>0.0</v>
      </c>
      <c r="O932" s="18" t="s">
        <v>57</v>
      </c>
    </row>
    <row r="933">
      <c r="A933" s="18" t="s">
        <v>2208</v>
      </c>
      <c r="B933" s="18" t="s">
        <v>44</v>
      </c>
      <c r="C933" s="18" t="s">
        <v>53</v>
      </c>
      <c r="D933" s="18" t="s">
        <v>2891</v>
      </c>
      <c r="E933" s="18" t="s">
        <v>2892</v>
      </c>
      <c r="F933" s="18" t="s">
        <v>2487</v>
      </c>
      <c r="G933" s="18">
        <v>15.02</v>
      </c>
      <c r="H933" s="18" t="s">
        <v>56</v>
      </c>
      <c r="I933" s="19">
        <v>7000.0</v>
      </c>
      <c r="J933" s="19">
        <v>0.0</v>
      </c>
      <c r="O933" s="18" t="s">
        <v>57</v>
      </c>
    </row>
    <row r="934">
      <c r="A934" s="18" t="s">
        <v>2208</v>
      </c>
      <c r="B934" s="18" t="s">
        <v>44</v>
      </c>
      <c r="C934" s="18" t="s">
        <v>53</v>
      </c>
      <c r="D934" s="18" t="s">
        <v>2893</v>
      </c>
      <c r="E934" s="18" t="s">
        <v>2894</v>
      </c>
      <c r="F934" s="18" t="s">
        <v>2487</v>
      </c>
      <c r="G934" s="18">
        <v>15.02</v>
      </c>
      <c r="H934" s="18" t="s">
        <v>56</v>
      </c>
      <c r="I934" s="19">
        <v>7000.0</v>
      </c>
      <c r="J934" s="19">
        <v>0.0</v>
      </c>
      <c r="O934" s="18" t="s">
        <v>57</v>
      </c>
    </row>
    <row r="935">
      <c r="A935" s="18" t="s">
        <v>2208</v>
      </c>
      <c r="B935" s="18" t="s">
        <v>44</v>
      </c>
      <c r="C935" s="18" t="s">
        <v>53</v>
      </c>
      <c r="D935" s="18" t="s">
        <v>2895</v>
      </c>
      <c r="E935" s="18" t="s">
        <v>2896</v>
      </c>
      <c r="F935" s="18" t="s">
        <v>2487</v>
      </c>
      <c r="G935" s="18">
        <v>15.02</v>
      </c>
      <c r="H935" s="18" t="s">
        <v>56</v>
      </c>
      <c r="I935" s="19">
        <v>7000.0</v>
      </c>
      <c r="J935" s="19">
        <v>0.0</v>
      </c>
      <c r="O935" s="18" t="s">
        <v>57</v>
      </c>
    </row>
    <row r="936">
      <c r="A936" s="18" t="s">
        <v>2208</v>
      </c>
      <c r="B936" s="18" t="s">
        <v>44</v>
      </c>
      <c r="C936" s="18" t="s">
        <v>133</v>
      </c>
      <c r="D936" s="18" t="s">
        <v>2897</v>
      </c>
      <c r="E936" s="18" t="s">
        <v>2898</v>
      </c>
      <c r="F936" s="18" t="s">
        <v>2487</v>
      </c>
      <c r="G936" s="18">
        <v>13.17</v>
      </c>
      <c r="H936" s="18" t="s">
        <v>56</v>
      </c>
      <c r="I936" s="19">
        <v>6500.0</v>
      </c>
      <c r="J936" s="19">
        <v>0.0</v>
      </c>
      <c r="O936" s="18" t="s">
        <v>57</v>
      </c>
    </row>
    <row r="937">
      <c r="A937" s="18" t="s">
        <v>2208</v>
      </c>
      <c r="B937" s="18" t="s">
        <v>44</v>
      </c>
      <c r="C937" s="18" t="s">
        <v>53</v>
      </c>
      <c r="D937" s="18" t="s">
        <v>2899</v>
      </c>
      <c r="E937" s="18" t="s">
        <v>2900</v>
      </c>
      <c r="F937" s="18" t="s">
        <v>2487</v>
      </c>
      <c r="G937" s="18">
        <v>16.23</v>
      </c>
      <c r="H937" s="18" t="s">
        <v>56</v>
      </c>
      <c r="I937" s="19">
        <v>7000.0</v>
      </c>
      <c r="J937" s="19">
        <v>0.0</v>
      </c>
      <c r="O937" s="18" t="s">
        <v>57</v>
      </c>
    </row>
    <row r="938">
      <c r="A938" s="18" t="s">
        <v>2208</v>
      </c>
      <c r="B938" s="18" t="s">
        <v>44</v>
      </c>
      <c r="C938" s="18" t="s">
        <v>76</v>
      </c>
      <c r="D938" s="18" t="s">
        <v>2901</v>
      </c>
      <c r="E938" s="18" t="s">
        <v>2902</v>
      </c>
      <c r="F938" s="18" t="s">
        <v>2487</v>
      </c>
      <c r="G938" s="18">
        <v>20.45</v>
      </c>
      <c r="H938" s="18" t="s">
        <v>120</v>
      </c>
      <c r="I938" s="19">
        <v>7900.0</v>
      </c>
      <c r="J938" s="19">
        <v>0.0</v>
      </c>
      <c r="O938" s="18" t="s">
        <v>2688</v>
      </c>
    </row>
    <row r="939">
      <c r="A939" s="18" t="s">
        <v>2208</v>
      </c>
      <c r="B939" s="18" t="s">
        <v>44</v>
      </c>
      <c r="C939" s="18" t="s">
        <v>53</v>
      </c>
      <c r="D939" s="18" t="s">
        <v>2903</v>
      </c>
      <c r="E939" s="18" t="s">
        <v>2904</v>
      </c>
      <c r="F939" s="18" t="s">
        <v>2487</v>
      </c>
      <c r="G939" s="18">
        <v>15.16</v>
      </c>
      <c r="H939" s="18" t="s">
        <v>56</v>
      </c>
      <c r="I939" s="19">
        <v>7000.0</v>
      </c>
      <c r="J939" s="19">
        <v>0.0</v>
      </c>
      <c r="O939" s="18" t="s">
        <v>2688</v>
      </c>
    </row>
    <row r="940">
      <c r="A940" s="18" t="s">
        <v>2208</v>
      </c>
      <c r="B940" s="18" t="s">
        <v>44</v>
      </c>
      <c r="C940" s="18" t="s">
        <v>64</v>
      </c>
      <c r="D940" s="18" t="s">
        <v>2905</v>
      </c>
      <c r="E940" s="18" t="s">
        <v>2906</v>
      </c>
      <c r="F940" s="18" t="s">
        <v>2487</v>
      </c>
      <c r="G940" s="18">
        <v>17.14</v>
      </c>
      <c r="H940" s="18" t="s">
        <v>120</v>
      </c>
      <c r="I940" s="19">
        <v>7400.0</v>
      </c>
      <c r="J940" s="19">
        <v>0.0</v>
      </c>
      <c r="O940" s="18" t="s">
        <v>2688</v>
      </c>
    </row>
    <row r="941">
      <c r="A941" s="18" t="s">
        <v>2208</v>
      </c>
      <c r="B941" s="18" t="s">
        <v>44</v>
      </c>
      <c r="C941" s="18" t="s">
        <v>64</v>
      </c>
      <c r="D941" s="18" t="s">
        <v>2907</v>
      </c>
      <c r="E941" s="18" t="s">
        <v>2908</v>
      </c>
      <c r="F941" s="18" t="s">
        <v>2487</v>
      </c>
      <c r="G941" s="18">
        <v>17.24</v>
      </c>
      <c r="H941" s="18" t="s">
        <v>120</v>
      </c>
      <c r="I941" s="19">
        <v>7400.0</v>
      </c>
      <c r="J941" s="19">
        <v>0.0</v>
      </c>
      <c r="O941" s="18" t="s">
        <v>2688</v>
      </c>
    </row>
    <row r="942">
      <c r="A942" s="18" t="s">
        <v>2208</v>
      </c>
      <c r="B942" s="18" t="s">
        <v>44</v>
      </c>
      <c r="C942" s="18" t="s">
        <v>76</v>
      </c>
      <c r="D942" s="18" t="s">
        <v>2909</v>
      </c>
      <c r="E942" s="18" t="s">
        <v>2910</v>
      </c>
      <c r="F942" s="18" t="s">
        <v>2487</v>
      </c>
      <c r="G942" s="18">
        <v>19.76</v>
      </c>
      <c r="H942" s="18" t="s">
        <v>120</v>
      </c>
      <c r="I942" s="19">
        <v>7900.0</v>
      </c>
      <c r="J942" s="19">
        <v>0.0</v>
      </c>
      <c r="O942" s="18" t="s">
        <v>57</v>
      </c>
    </row>
    <row r="943">
      <c r="A943" s="18" t="s">
        <v>2208</v>
      </c>
      <c r="B943" s="18" t="s">
        <v>44</v>
      </c>
      <c r="C943" s="18" t="s">
        <v>133</v>
      </c>
      <c r="D943" s="18" t="s">
        <v>2911</v>
      </c>
      <c r="E943" s="18" t="s">
        <v>2912</v>
      </c>
      <c r="F943" s="18" t="s">
        <v>2487</v>
      </c>
      <c r="G943" s="18">
        <v>13.04</v>
      </c>
      <c r="H943" s="18" t="s">
        <v>56</v>
      </c>
      <c r="I943" s="19">
        <v>6500.0</v>
      </c>
      <c r="J943" s="19">
        <v>0.0</v>
      </c>
      <c r="O943" s="18" t="s">
        <v>57</v>
      </c>
    </row>
    <row r="944">
      <c r="A944" s="18" t="s">
        <v>2208</v>
      </c>
      <c r="B944" s="18" t="s">
        <v>44</v>
      </c>
      <c r="C944" s="18" t="s">
        <v>64</v>
      </c>
      <c r="D944" s="18" t="s">
        <v>2913</v>
      </c>
      <c r="E944" s="18" t="s">
        <v>2914</v>
      </c>
      <c r="F944" s="18" t="s">
        <v>2487</v>
      </c>
      <c r="G944" s="18">
        <v>18.92</v>
      </c>
      <c r="H944" s="18" t="s">
        <v>120</v>
      </c>
      <c r="I944" s="19">
        <v>7400.0</v>
      </c>
      <c r="J944" s="19">
        <v>0.0</v>
      </c>
      <c r="O944" s="18" t="s">
        <v>57</v>
      </c>
    </row>
    <row r="945">
      <c r="A945" s="18" t="s">
        <v>2208</v>
      </c>
      <c r="B945" s="18" t="s">
        <v>45</v>
      </c>
      <c r="C945" s="18" t="s">
        <v>45</v>
      </c>
      <c r="D945" s="18" t="s">
        <v>2915</v>
      </c>
      <c r="E945" s="18" t="s">
        <v>2916</v>
      </c>
      <c r="F945" s="18" t="s">
        <v>2487</v>
      </c>
      <c r="G945" s="18">
        <v>8.72</v>
      </c>
      <c r="H945" s="18" t="s">
        <v>45</v>
      </c>
      <c r="I945" s="19">
        <v>4700.0</v>
      </c>
      <c r="J945" s="19">
        <v>0.0</v>
      </c>
      <c r="O945" s="18" t="s">
        <v>41</v>
      </c>
    </row>
    <row r="946">
      <c r="A946" s="18" t="s">
        <v>2208</v>
      </c>
      <c r="B946" s="18" t="s">
        <v>44</v>
      </c>
      <c r="C946" s="18" t="s">
        <v>133</v>
      </c>
      <c r="D946" s="18" t="s">
        <v>2917</v>
      </c>
      <c r="E946" s="18" t="s">
        <v>2918</v>
      </c>
      <c r="F946" s="18" t="s">
        <v>2487</v>
      </c>
      <c r="G946" s="18">
        <v>13.02</v>
      </c>
      <c r="H946" s="18" t="s">
        <v>56</v>
      </c>
      <c r="I946" s="19">
        <v>6500.0</v>
      </c>
      <c r="J946" s="19">
        <v>0.0</v>
      </c>
      <c r="O946" s="18" t="s">
        <v>57</v>
      </c>
    </row>
    <row r="947">
      <c r="A947" s="18" t="s">
        <v>1238</v>
      </c>
      <c r="B947" s="18" t="s">
        <v>44</v>
      </c>
      <c r="C947" s="18" t="s">
        <v>53</v>
      </c>
      <c r="D947" s="18" t="s">
        <v>2323</v>
      </c>
      <c r="E947" s="18" t="s">
        <v>2324</v>
      </c>
      <c r="F947" s="18" t="s">
        <v>2487</v>
      </c>
      <c r="G947" s="18">
        <v>15.44</v>
      </c>
      <c r="H947" s="18" t="s">
        <v>1242</v>
      </c>
      <c r="I947" s="19">
        <v>3600.0</v>
      </c>
      <c r="J947" s="19">
        <v>4700.0</v>
      </c>
      <c r="O947" s="18" t="s">
        <v>41</v>
      </c>
      <c r="P947" s="18" t="s">
        <v>144</v>
      </c>
    </row>
    <row r="948">
      <c r="A948" s="18" t="s">
        <v>1238</v>
      </c>
      <c r="B948" s="18" t="s">
        <v>44</v>
      </c>
      <c r="C948" s="18" t="s">
        <v>133</v>
      </c>
      <c r="D948" s="18" t="s">
        <v>2465</v>
      </c>
      <c r="E948" s="18" t="s">
        <v>2466</v>
      </c>
      <c r="F948" s="18" t="s">
        <v>2487</v>
      </c>
      <c r="G948" s="18">
        <v>13.41</v>
      </c>
      <c r="H948" s="18" t="s">
        <v>1242</v>
      </c>
      <c r="I948" s="19">
        <v>3199.0</v>
      </c>
      <c r="J948" s="19">
        <v>4200.0</v>
      </c>
      <c r="O948" s="18" t="s">
        <v>41</v>
      </c>
      <c r="P948" s="18" t="s">
        <v>144</v>
      </c>
    </row>
    <row r="949">
      <c r="A949" s="18" t="s">
        <v>1238</v>
      </c>
      <c r="B949" s="18" t="s">
        <v>44</v>
      </c>
      <c r="C949" s="18" t="s">
        <v>53</v>
      </c>
      <c r="D949" s="18" t="s">
        <v>2921</v>
      </c>
      <c r="E949" s="18" t="s">
        <v>2922</v>
      </c>
      <c r="F949" s="18" t="s">
        <v>2487</v>
      </c>
      <c r="G949" s="18">
        <v>15.37</v>
      </c>
      <c r="H949" s="18" t="s">
        <v>1242</v>
      </c>
      <c r="I949" s="19">
        <v>3600.0</v>
      </c>
      <c r="J949" s="19">
        <v>4700.0</v>
      </c>
      <c r="O949" s="18" t="s">
        <v>41</v>
      </c>
      <c r="P949" s="18" t="s">
        <v>144</v>
      </c>
    </row>
    <row r="950">
      <c r="A950" s="18" t="s">
        <v>2208</v>
      </c>
      <c r="B950" s="18" t="s">
        <v>44</v>
      </c>
      <c r="C950" s="18" t="s">
        <v>53</v>
      </c>
      <c r="D950" s="18" t="s">
        <v>2923</v>
      </c>
      <c r="E950" s="18" t="s">
        <v>2924</v>
      </c>
      <c r="F950" s="18" t="s">
        <v>2487</v>
      </c>
      <c r="G950" s="18">
        <v>15.16</v>
      </c>
      <c r="H950" s="18" t="s">
        <v>56</v>
      </c>
      <c r="I950" s="19">
        <v>7000.0</v>
      </c>
      <c r="J950" s="19">
        <v>0.0</v>
      </c>
      <c r="O950" s="18" t="s">
        <v>2688</v>
      </c>
    </row>
    <row r="951">
      <c r="A951" s="18" t="s">
        <v>2208</v>
      </c>
      <c r="B951" s="18" t="s">
        <v>44</v>
      </c>
      <c r="C951" s="18" t="s">
        <v>133</v>
      </c>
      <c r="D951" s="18" t="s">
        <v>2925</v>
      </c>
      <c r="E951" s="18" t="s">
        <v>2926</v>
      </c>
      <c r="F951" s="18" t="s">
        <v>2487</v>
      </c>
      <c r="G951" s="18">
        <v>13.21</v>
      </c>
      <c r="H951" s="18" t="s">
        <v>56</v>
      </c>
      <c r="I951" s="19">
        <v>6500.0</v>
      </c>
      <c r="J951" s="19">
        <v>0.0</v>
      </c>
      <c r="O951" s="18" t="s">
        <v>2688</v>
      </c>
    </row>
    <row r="952">
      <c r="A952" s="18" t="s">
        <v>282</v>
      </c>
      <c r="B952" s="18" t="s">
        <v>44</v>
      </c>
      <c r="C952" s="18" t="s">
        <v>76</v>
      </c>
      <c r="D952" s="18" t="s">
        <v>2931</v>
      </c>
      <c r="E952" s="18" t="s">
        <v>2932</v>
      </c>
      <c r="F952" s="18" t="s">
        <v>2487</v>
      </c>
      <c r="G952" s="18">
        <v>19.21</v>
      </c>
      <c r="H952" s="18" t="s">
        <v>168</v>
      </c>
      <c r="I952" s="19">
        <v>6499.0</v>
      </c>
      <c r="J952" s="19">
        <v>7800.0</v>
      </c>
      <c r="K952" s="19">
        <v>7800.0</v>
      </c>
      <c r="O952" s="18" t="s">
        <v>57</v>
      </c>
      <c r="P952" s="18" t="s">
        <v>63</v>
      </c>
    </row>
    <row r="953">
      <c r="A953" s="18" t="s">
        <v>282</v>
      </c>
      <c r="B953" s="18" t="s">
        <v>44</v>
      </c>
      <c r="C953" s="18" t="s">
        <v>53</v>
      </c>
      <c r="D953" s="18" t="s">
        <v>2303</v>
      </c>
      <c r="E953" s="18" t="s">
        <v>2304</v>
      </c>
      <c r="F953" s="18" t="s">
        <v>2487</v>
      </c>
      <c r="G953" s="18">
        <v>15.01</v>
      </c>
      <c r="H953" s="18" t="s">
        <v>56</v>
      </c>
      <c r="I953" s="19">
        <v>4851.0</v>
      </c>
      <c r="J953" s="19">
        <v>5850.0</v>
      </c>
      <c r="K953" s="19">
        <v>5900.0</v>
      </c>
      <c r="O953" s="18" t="s">
        <v>57</v>
      </c>
      <c r="P953" s="18" t="s">
        <v>63</v>
      </c>
    </row>
    <row r="954">
      <c r="A954" s="18" t="s">
        <v>282</v>
      </c>
      <c r="B954" s="18" t="s">
        <v>44</v>
      </c>
      <c r="C954" s="18" t="s">
        <v>64</v>
      </c>
      <c r="D954" s="18" t="s">
        <v>2335</v>
      </c>
      <c r="E954" s="18" t="s">
        <v>2336</v>
      </c>
      <c r="F954" s="18" t="s">
        <v>2487</v>
      </c>
      <c r="G954" s="18">
        <v>18.02</v>
      </c>
      <c r="H954" s="18" t="s">
        <v>120</v>
      </c>
      <c r="I954" s="19">
        <v>5767.0</v>
      </c>
      <c r="J954" s="19">
        <v>6950.0</v>
      </c>
      <c r="K954" s="19">
        <v>7000.0</v>
      </c>
      <c r="O954" s="18" t="s">
        <v>41</v>
      </c>
      <c r="P954" s="18" t="s">
        <v>63</v>
      </c>
    </row>
    <row r="955">
      <c r="A955" s="18" t="s">
        <v>282</v>
      </c>
      <c r="B955" s="18" t="s">
        <v>44</v>
      </c>
      <c r="C955" s="18" t="s">
        <v>64</v>
      </c>
      <c r="D955" s="18" t="s">
        <v>2339</v>
      </c>
      <c r="E955" s="18" t="s">
        <v>2340</v>
      </c>
      <c r="F955" s="18" t="s">
        <v>2487</v>
      </c>
      <c r="G955" s="18">
        <v>17.72</v>
      </c>
      <c r="H955" s="18" t="s">
        <v>120</v>
      </c>
      <c r="I955" s="19">
        <v>5767.0</v>
      </c>
      <c r="J955" s="19">
        <v>6950.0</v>
      </c>
      <c r="K955" s="19">
        <v>7000.0</v>
      </c>
      <c r="O955" s="18" t="s">
        <v>41</v>
      </c>
      <c r="P955" s="18" t="s">
        <v>63</v>
      </c>
    </row>
    <row r="956">
      <c r="A956" s="18" t="s">
        <v>35</v>
      </c>
      <c r="B956" s="18" t="s">
        <v>44</v>
      </c>
      <c r="C956" s="18" t="s">
        <v>133</v>
      </c>
      <c r="D956" s="18" t="s">
        <v>2291</v>
      </c>
      <c r="E956" s="18" t="s">
        <v>2292</v>
      </c>
      <c r="F956" s="18" t="s">
        <v>2487</v>
      </c>
      <c r="G956" s="18">
        <v>12.41</v>
      </c>
      <c r="H956" s="18" t="s">
        <v>56</v>
      </c>
      <c r="I956" s="19">
        <v>5436.0</v>
      </c>
      <c r="J956" s="19">
        <v>7350.0</v>
      </c>
      <c r="K956" s="19">
        <v>6550.0</v>
      </c>
      <c r="O956" s="18" t="s">
        <v>57</v>
      </c>
      <c r="P956" s="18" t="s">
        <v>42</v>
      </c>
    </row>
    <row r="957">
      <c r="A957" s="18" t="s">
        <v>35</v>
      </c>
      <c r="B957" s="18" t="s">
        <v>44</v>
      </c>
      <c r="C957" s="18" t="s">
        <v>133</v>
      </c>
      <c r="D957" s="18" t="s">
        <v>2408</v>
      </c>
      <c r="E957" s="18" t="s">
        <v>2409</v>
      </c>
      <c r="F957" s="18" t="s">
        <v>2487</v>
      </c>
      <c r="G957" s="18">
        <v>13.05</v>
      </c>
      <c r="H957" s="18" t="s">
        <v>56</v>
      </c>
      <c r="I957" s="19">
        <v>5436.0</v>
      </c>
      <c r="J957" s="19">
        <v>7350.0</v>
      </c>
      <c r="K957" s="19">
        <v>6550.0</v>
      </c>
      <c r="O957" s="18" t="s">
        <v>57</v>
      </c>
      <c r="P957" s="18" t="s">
        <v>42</v>
      </c>
    </row>
    <row r="958">
      <c r="A958" s="18" t="s">
        <v>35</v>
      </c>
      <c r="B958" s="18" t="s">
        <v>44</v>
      </c>
      <c r="C958" s="18" t="s">
        <v>133</v>
      </c>
      <c r="D958" s="18" t="s">
        <v>2941</v>
      </c>
      <c r="E958" s="18" t="s">
        <v>2942</v>
      </c>
      <c r="F958" s="18" t="s">
        <v>2487</v>
      </c>
      <c r="G958" s="18">
        <v>14.66</v>
      </c>
      <c r="H958" s="18" t="s">
        <v>56</v>
      </c>
      <c r="I958" s="19">
        <v>5436.0</v>
      </c>
      <c r="J958" s="19">
        <v>7350.0</v>
      </c>
      <c r="K958" s="19">
        <v>6550.0</v>
      </c>
      <c r="O958" s="18" t="s">
        <v>41</v>
      </c>
      <c r="P958" s="18" t="s">
        <v>42</v>
      </c>
    </row>
    <row r="959">
      <c r="A959" s="18" t="s">
        <v>364</v>
      </c>
      <c r="B959" s="18" t="s">
        <v>44</v>
      </c>
      <c r="C959" s="18" t="s">
        <v>64</v>
      </c>
      <c r="D959" s="18" t="s">
        <v>2437</v>
      </c>
      <c r="E959" s="18" t="s">
        <v>2438</v>
      </c>
      <c r="F959" s="18" t="s">
        <v>2487</v>
      </c>
      <c r="G959" s="18">
        <v>17.08</v>
      </c>
      <c r="H959" s="18" t="s">
        <v>120</v>
      </c>
      <c r="I959" s="19">
        <v>4500.0</v>
      </c>
      <c r="J959" s="19">
        <v>3600.0</v>
      </c>
      <c r="K959" s="19">
        <v>5400.0</v>
      </c>
      <c r="O959" s="18" t="s">
        <v>117</v>
      </c>
      <c r="P959" s="18" t="s">
        <v>369</v>
      </c>
    </row>
    <row r="960">
      <c r="A960" s="18" t="s">
        <v>364</v>
      </c>
      <c r="B960" s="18" t="s">
        <v>44</v>
      </c>
      <c r="C960" s="18" t="s">
        <v>133</v>
      </c>
      <c r="D960" s="18" t="s">
        <v>2428</v>
      </c>
      <c r="E960" s="18" t="s">
        <v>2429</v>
      </c>
      <c r="F960" s="18" t="s">
        <v>2487</v>
      </c>
      <c r="G960" s="18">
        <v>14.08</v>
      </c>
      <c r="H960" s="18" t="s">
        <v>2430</v>
      </c>
      <c r="I960" s="19">
        <v>3750.0</v>
      </c>
      <c r="J960" s="19">
        <v>3000.0</v>
      </c>
      <c r="K960" s="19">
        <v>2400.0</v>
      </c>
      <c r="O960" s="18" t="s">
        <v>117</v>
      </c>
      <c r="P960" s="18" t="s">
        <v>369</v>
      </c>
    </row>
    <row r="961">
      <c r="A961" s="18" t="s">
        <v>364</v>
      </c>
      <c r="B961" s="18" t="s">
        <v>44</v>
      </c>
      <c r="C961" s="18" t="s">
        <v>133</v>
      </c>
      <c r="D961" s="18" t="s">
        <v>2433</v>
      </c>
      <c r="E961" s="18" t="s">
        <v>2434</v>
      </c>
      <c r="F961" s="18" t="s">
        <v>2487</v>
      </c>
      <c r="G961" s="18">
        <v>14.38</v>
      </c>
      <c r="H961" s="18" t="s">
        <v>56</v>
      </c>
      <c r="I961" s="19">
        <v>3900.0</v>
      </c>
      <c r="J961" s="19">
        <v>3150.0</v>
      </c>
      <c r="K961" s="19">
        <v>4500.0</v>
      </c>
      <c r="O961" s="18" t="s">
        <v>117</v>
      </c>
      <c r="P961" s="18" t="s">
        <v>369</v>
      </c>
    </row>
    <row r="962">
      <c r="A962" s="18" t="s">
        <v>364</v>
      </c>
      <c r="B962" s="18" t="s">
        <v>44</v>
      </c>
      <c r="C962" s="18" t="s">
        <v>53</v>
      </c>
      <c r="D962" s="18" t="s">
        <v>2550</v>
      </c>
      <c r="E962" s="18" t="s">
        <v>2551</v>
      </c>
      <c r="F962" s="18" t="s">
        <v>2487</v>
      </c>
      <c r="G962" s="18">
        <v>15.35</v>
      </c>
      <c r="H962" s="18" t="s">
        <v>56</v>
      </c>
      <c r="I962" s="19">
        <v>4250.0</v>
      </c>
      <c r="J962" s="19">
        <v>3400.0</v>
      </c>
      <c r="K962" s="19">
        <v>5000.0</v>
      </c>
      <c r="O962" s="18" t="s">
        <v>117</v>
      </c>
      <c r="P962" s="18" t="s">
        <v>369</v>
      </c>
    </row>
    <row r="963">
      <c r="A963" s="18" t="s">
        <v>364</v>
      </c>
      <c r="B963" s="18" t="s">
        <v>45</v>
      </c>
      <c r="C963" s="18" t="s">
        <v>45</v>
      </c>
      <c r="D963" s="18" t="s">
        <v>2258</v>
      </c>
      <c r="E963" s="18" t="s">
        <v>2259</v>
      </c>
      <c r="F963" s="18" t="s">
        <v>2487</v>
      </c>
      <c r="G963" s="18">
        <v>10.05</v>
      </c>
      <c r="H963" s="18" t="s">
        <v>45</v>
      </c>
      <c r="I963" s="19">
        <v>1999.0</v>
      </c>
      <c r="J963" s="19">
        <v>1600.0</v>
      </c>
      <c r="K963" s="19">
        <v>2400.0</v>
      </c>
      <c r="O963" s="18" t="s">
        <v>41</v>
      </c>
      <c r="P963" s="18" t="s">
        <v>369</v>
      </c>
    </row>
    <row r="964">
      <c r="A964" s="18" t="s">
        <v>364</v>
      </c>
      <c r="B964" s="18" t="s">
        <v>44</v>
      </c>
      <c r="C964" s="18" t="s">
        <v>53</v>
      </c>
      <c r="D964" s="18" t="s">
        <v>2953</v>
      </c>
      <c r="E964" s="18" t="s">
        <v>2954</v>
      </c>
      <c r="F964" s="18" t="s">
        <v>2487</v>
      </c>
      <c r="G964" s="18">
        <v>16.21</v>
      </c>
      <c r="H964" s="18" t="s">
        <v>56</v>
      </c>
      <c r="I964" s="19">
        <v>4125.0</v>
      </c>
      <c r="J964" s="19">
        <v>3300.0</v>
      </c>
      <c r="K964" s="19">
        <v>5000.0</v>
      </c>
      <c r="O964" s="18" t="s">
        <v>41</v>
      </c>
      <c r="P964" s="18" t="s">
        <v>369</v>
      </c>
    </row>
    <row r="965">
      <c r="A965" s="18" t="s">
        <v>364</v>
      </c>
      <c r="B965" s="18" t="s">
        <v>44</v>
      </c>
      <c r="C965" s="18" t="s">
        <v>151</v>
      </c>
      <c r="D965" s="18" t="s">
        <v>2247</v>
      </c>
      <c r="E965" s="18" t="s">
        <v>2248</v>
      </c>
      <c r="F965" s="18" t="s">
        <v>2487</v>
      </c>
      <c r="G965" s="18">
        <v>25.68</v>
      </c>
      <c r="H965" s="18" t="s">
        <v>168</v>
      </c>
      <c r="I965" s="19">
        <v>6050.0</v>
      </c>
      <c r="J965" s="19">
        <v>4850.0</v>
      </c>
      <c r="K965" s="19">
        <v>7050.0</v>
      </c>
      <c r="O965" s="18" t="s">
        <v>117</v>
      </c>
      <c r="P965" s="18" t="s">
        <v>369</v>
      </c>
    </row>
    <row r="966">
      <c r="A966" s="18" t="s">
        <v>364</v>
      </c>
      <c r="B966" s="18" t="s">
        <v>44</v>
      </c>
      <c r="C966" s="18" t="s">
        <v>64</v>
      </c>
      <c r="D966" s="18" t="s">
        <v>2955</v>
      </c>
      <c r="E966" s="18" t="s">
        <v>2956</v>
      </c>
      <c r="F966" s="18" t="s">
        <v>2487</v>
      </c>
      <c r="G966" s="18">
        <v>17.14</v>
      </c>
      <c r="H966" s="18" t="s">
        <v>120</v>
      </c>
      <c r="I966" s="19">
        <v>4650.0</v>
      </c>
      <c r="J966" s="19">
        <v>3750.0</v>
      </c>
      <c r="K966" s="19">
        <v>5400.0</v>
      </c>
      <c r="O966" s="18" t="s">
        <v>41</v>
      </c>
      <c r="P966" s="18" t="s">
        <v>369</v>
      </c>
    </row>
    <row r="967">
      <c r="A967" s="18" t="s">
        <v>364</v>
      </c>
      <c r="B967" s="18" t="s">
        <v>44</v>
      </c>
      <c r="C967" s="18" t="s">
        <v>64</v>
      </c>
      <c r="D967" s="18" t="s">
        <v>2371</v>
      </c>
      <c r="E967" s="18" t="s">
        <v>2372</v>
      </c>
      <c r="F967" s="18" t="s">
        <v>2487</v>
      </c>
      <c r="G967" s="18">
        <v>17.14</v>
      </c>
      <c r="H967" s="18" t="s">
        <v>120</v>
      </c>
      <c r="I967" s="19">
        <v>4650.0</v>
      </c>
      <c r="J967" s="19">
        <v>3750.0</v>
      </c>
      <c r="K967" s="19">
        <v>5400.0</v>
      </c>
      <c r="O967" s="18" t="s">
        <v>41</v>
      </c>
      <c r="P967" s="18" t="s">
        <v>369</v>
      </c>
    </row>
    <row r="968">
      <c r="A968" s="18" t="s">
        <v>43</v>
      </c>
      <c r="B968" s="18" t="s">
        <v>44</v>
      </c>
      <c r="C968" s="18" t="s">
        <v>53</v>
      </c>
      <c r="D968" s="18" t="s">
        <v>1940</v>
      </c>
      <c r="E968" s="18" t="s">
        <v>1941</v>
      </c>
      <c r="F968" s="18" t="s">
        <v>2959</v>
      </c>
      <c r="G968" s="18">
        <v>15.05</v>
      </c>
      <c r="H968" s="18" t="s">
        <v>56</v>
      </c>
      <c r="I968" s="19">
        <v>6400.0</v>
      </c>
      <c r="J968" s="19">
        <v>7700.0</v>
      </c>
      <c r="O968" s="18" t="s">
        <v>57</v>
      </c>
      <c r="P968" s="18" t="s">
        <v>48</v>
      </c>
    </row>
    <row r="969">
      <c r="A969" s="18" t="s">
        <v>43</v>
      </c>
      <c r="B969" s="18" t="s">
        <v>44</v>
      </c>
      <c r="C969" s="18" t="s">
        <v>53</v>
      </c>
      <c r="D969" s="18" t="s">
        <v>2957</v>
      </c>
      <c r="E969" s="18" t="s">
        <v>2958</v>
      </c>
      <c r="F969" s="18" t="s">
        <v>2959</v>
      </c>
      <c r="G969" s="18">
        <v>15.08</v>
      </c>
      <c r="H969" s="18" t="s">
        <v>56</v>
      </c>
      <c r="I969" s="19">
        <v>6400.0</v>
      </c>
      <c r="J969" s="19">
        <v>7700.0</v>
      </c>
      <c r="O969" s="18" t="s">
        <v>57</v>
      </c>
      <c r="P969" s="18" t="s">
        <v>48</v>
      </c>
    </row>
    <row r="970">
      <c r="A970" s="18" t="s">
        <v>43</v>
      </c>
      <c r="B970" s="18" t="s">
        <v>44</v>
      </c>
      <c r="C970" s="18" t="s">
        <v>76</v>
      </c>
      <c r="D970" s="18" t="s">
        <v>2461</v>
      </c>
      <c r="E970" s="18" t="s">
        <v>2462</v>
      </c>
      <c r="F970" s="18" t="s">
        <v>2959</v>
      </c>
      <c r="G970" s="18">
        <v>19.77</v>
      </c>
      <c r="H970" s="18" t="s">
        <v>120</v>
      </c>
      <c r="I970" s="19">
        <v>7200.0</v>
      </c>
      <c r="J970" s="19">
        <v>8650.0</v>
      </c>
      <c r="O970" s="18" t="s">
        <v>57</v>
      </c>
      <c r="P970" s="18" t="s">
        <v>48</v>
      </c>
    </row>
    <row r="971">
      <c r="A971" s="18" t="s">
        <v>43</v>
      </c>
      <c r="B971" s="18" t="s">
        <v>44</v>
      </c>
      <c r="C971" s="18" t="s">
        <v>64</v>
      </c>
      <c r="D971" s="18" t="s">
        <v>2960</v>
      </c>
      <c r="E971" s="18" t="s">
        <v>2961</v>
      </c>
      <c r="F971" s="18" t="s">
        <v>2959</v>
      </c>
      <c r="G971" s="18">
        <v>17.12</v>
      </c>
      <c r="H971" s="18" t="s">
        <v>120</v>
      </c>
      <c r="I971" s="19">
        <v>6800.0</v>
      </c>
      <c r="J971" s="19">
        <v>8200.0</v>
      </c>
      <c r="O971" s="18" t="s">
        <v>57</v>
      </c>
      <c r="P971" s="18" t="s">
        <v>48</v>
      </c>
    </row>
    <row r="972">
      <c r="A972" s="18" t="s">
        <v>43</v>
      </c>
      <c r="B972" s="18" t="s">
        <v>44</v>
      </c>
      <c r="C972" s="18" t="s">
        <v>53</v>
      </c>
      <c r="D972" s="18" t="s">
        <v>2962</v>
      </c>
      <c r="E972" s="18" t="s">
        <v>2963</v>
      </c>
      <c r="F972" s="18" t="s">
        <v>2959</v>
      </c>
      <c r="G972" s="18">
        <v>15.57</v>
      </c>
      <c r="H972" s="18" t="s">
        <v>56</v>
      </c>
      <c r="I972" s="19">
        <v>6400.0</v>
      </c>
      <c r="J972" s="19">
        <v>7700.0</v>
      </c>
      <c r="O972" s="18" t="s">
        <v>57</v>
      </c>
      <c r="P972" s="18" t="s">
        <v>48</v>
      </c>
    </row>
    <row r="973">
      <c r="A973" s="18" t="s">
        <v>43</v>
      </c>
      <c r="B973" s="18" t="s">
        <v>44</v>
      </c>
      <c r="C973" s="18" t="s">
        <v>64</v>
      </c>
      <c r="D973" s="18" t="s">
        <v>2964</v>
      </c>
      <c r="E973" s="18" t="s">
        <v>2965</v>
      </c>
      <c r="F973" s="18" t="s">
        <v>2959</v>
      </c>
      <c r="G973" s="18">
        <v>17.03</v>
      </c>
      <c r="H973" s="18" t="s">
        <v>120</v>
      </c>
      <c r="I973" s="19">
        <v>6800.0</v>
      </c>
      <c r="J973" s="19">
        <v>8200.0</v>
      </c>
      <c r="O973" s="18" t="s">
        <v>57</v>
      </c>
      <c r="P973" s="18" t="s">
        <v>48</v>
      </c>
    </row>
    <row r="974">
      <c r="A974" s="18" t="s">
        <v>43</v>
      </c>
      <c r="B974" s="18" t="s">
        <v>44</v>
      </c>
      <c r="C974" s="18" t="s">
        <v>53</v>
      </c>
      <c r="D974" s="18" t="s">
        <v>2966</v>
      </c>
      <c r="E974" s="18" t="s">
        <v>2967</v>
      </c>
      <c r="F974" s="18" t="s">
        <v>2959</v>
      </c>
      <c r="G974" s="18">
        <v>15.05</v>
      </c>
      <c r="H974" s="18" t="s">
        <v>56</v>
      </c>
      <c r="I974" s="19">
        <v>6400.0</v>
      </c>
      <c r="J974" s="19">
        <v>7700.0</v>
      </c>
      <c r="O974" s="18" t="s">
        <v>57</v>
      </c>
      <c r="P974" s="18" t="s">
        <v>48</v>
      </c>
    </row>
    <row r="975">
      <c r="A975" s="18" t="s">
        <v>125</v>
      </c>
      <c r="B975" s="18" t="s">
        <v>44</v>
      </c>
      <c r="C975" s="18" t="s">
        <v>76</v>
      </c>
      <c r="D975" s="18" t="s">
        <v>2968</v>
      </c>
      <c r="E975" s="18" t="s">
        <v>2969</v>
      </c>
      <c r="F975" s="18" t="s">
        <v>2959</v>
      </c>
      <c r="G975" s="18">
        <v>19.36</v>
      </c>
      <c r="H975" s="18" t="s">
        <v>120</v>
      </c>
      <c r="I975" s="19">
        <v>3229.0</v>
      </c>
      <c r="J975" s="19">
        <v>2750.0</v>
      </c>
      <c r="O975" s="18" t="s">
        <v>83</v>
      </c>
    </row>
    <row r="976">
      <c r="A976" s="18" t="s">
        <v>125</v>
      </c>
      <c r="B976" s="18" t="s">
        <v>44</v>
      </c>
      <c r="C976" s="18" t="s">
        <v>180</v>
      </c>
      <c r="D976" s="18" t="s">
        <v>2469</v>
      </c>
      <c r="E976" s="18" t="s">
        <v>2470</v>
      </c>
      <c r="F976" s="18" t="s">
        <v>2959</v>
      </c>
      <c r="G976" s="18">
        <v>22.12</v>
      </c>
      <c r="H976" s="18" t="s">
        <v>168</v>
      </c>
      <c r="I976" s="19">
        <v>3323.0</v>
      </c>
      <c r="J976" s="19">
        <v>2850.0</v>
      </c>
      <c r="O976" s="18" t="s">
        <v>83</v>
      </c>
    </row>
    <row r="977">
      <c r="A977" s="18" t="s">
        <v>1238</v>
      </c>
      <c r="B977" s="18" t="s">
        <v>44</v>
      </c>
      <c r="C977" s="18" t="s">
        <v>53</v>
      </c>
      <c r="D977" s="18" t="s">
        <v>2287</v>
      </c>
      <c r="E977" s="18" t="s">
        <v>2288</v>
      </c>
      <c r="F977" s="18" t="s">
        <v>2959</v>
      </c>
      <c r="G977" s="18">
        <v>15.53</v>
      </c>
      <c r="H977" s="18" t="s">
        <v>1242</v>
      </c>
      <c r="I977" s="19">
        <v>3600.0</v>
      </c>
      <c r="J977" s="19">
        <v>4700.0</v>
      </c>
      <c r="O977" s="18" t="s">
        <v>41</v>
      </c>
      <c r="P977" s="18" t="s">
        <v>144</v>
      </c>
    </row>
    <row r="978">
      <c r="A978" s="18" t="s">
        <v>125</v>
      </c>
      <c r="B978" s="18" t="s">
        <v>44</v>
      </c>
      <c r="C978" s="18" t="s">
        <v>53</v>
      </c>
      <c r="D978" s="18" t="s">
        <v>2970</v>
      </c>
      <c r="E978" s="18" t="s">
        <v>2971</v>
      </c>
      <c r="F978" s="18" t="s">
        <v>2959</v>
      </c>
      <c r="G978" s="18">
        <v>15.12</v>
      </c>
      <c r="H978" s="18" t="s">
        <v>56</v>
      </c>
      <c r="I978" s="19">
        <v>2948.0</v>
      </c>
      <c r="J978" s="19">
        <v>2550.0</v>
      </c>
      <c r="K978" s="19">
        <v>3900.0</v>
      </c>
      <c r="O978" s="18" t="s">
        <v>83</v>
      </c>
    </row>
    <row r="979">
      <c r="A979" s="18" t="s">
        <v>125</v>
      </c>
      <c r="B979" s="18" t="s">
        <v>44</v>
      </c>
      <c r="C979" s="18" t="s">
        <v>113</v>
      </c>
      <c r="D979" s="18" t="s">
        <v>2972</v>
      </c>
      <c r="E979" s="18" t="s">
        <v>2973</v>
      </c>
      <c r="F979" s="18" t="s">
        <v>2959</v>
      </c>
      <c r="G979" s="18">
        <v>10.69</v>
      </c>
      <c r="H979" s="18" t="s">
        <v>116</v>
      </c>
      <c r="I979" s="19">
        <v>2376.0</v>
      </c>
      <c r="J979" s="19">
        <v>2050.0</v>
      </c>
      <c r="K979" s="19">
        <v>4750.0</v>
      </c>
      <c r="O979" s="18" t="s">
        <v>57</v>
      </c>
    </row>
    <row r="980">
      <c r="A980" s="18" t="s">
        <v>125</v>
      </c>
      <c r="B980" s="18" t="s">
        <v>44</v>
      </c>
      <c r="C980" s="18" t="s">
        <v>180</v>
      </c>
      <c r="D980" s="18" t="s">
        <v>2343</v>
      </c>
      <c r="E980" s="18" t="s">
        <v>2344</v>
      </c>
      <c r="F980" s="18" t="s">
        <v>2959</v>
      </c>
      <c r="G980" s="18">
        <v>22.44</v>
      </c>
      <c r="H980" s="18" t="s">
        <v>168</v>
      </c>
      <c r="I980" s="19">
        <v>3323.0</v>
      </c>
      <c r="J980" s="19">
        <v>2850.0</v>
      </c>
      <c r="K980" s="19">
        <v>3550.0</v>
      </c>
      <c r="O980" s="18" t="s">
        <v>57</v>
      </c>
    </row>
    <row r="981">
      <c r="A981" s="18" t="s">
        <v>125</v>
      </c>
      <c r="B981" s="18" t="s">
        <v>44</v>
      </c>
      <c r="C981" s="18" t="s">
        <v>133</v>
      </c>
      <c r="D981" s="18" t="s">
        <v>2974</v>
      </c>
      <c r="E981" s="18" t="s">
        <v>2975</v>
      </c>
      <c r="F981" s="18" t="s">
        <v>2959</v>
      </c>
      <c r="G981" s="18">
        <v>13.03</v>
      </c>
      <c r="H981" s="18" t="s">
        <v>56</v>
      </c>
      <c r="I981" s="19">
        <v>2753.0</v>
      </c>
      <c r="J981" s="19">
        <v>2350.0</v>
      </c>
      <c r="K981" s="19">
        <v>4200.0</v>
      </c>
      <c r="O981" s="18" t="s">
        <v>57</v>
      </c>
    </row>
    <row r="982">
      <c r="A982" s="18" t="s">
        <v>125</v>
      </c>
      <c r="B982" s="18" t="s">
        <v>44</v>
      </c>
      <c r="C982" s="18" t="s">
        <v>53</v>
      </c>
      <c r="D982" s="18" t="s">
        <v>2976</v>
      </c>
      <c r="E982" s="18" t="s">
        <v>2977</v>
      </c>
      <c r="F982" s="18" t="s">
        <v>2959</v>
      </c>
      <c r="G982" s="18">
        <v>15.27</v>
      </c>
      <c r="H982" s="18" t="s">
        <v>56</v>
      </c>
      <c r="I982" s="19">
        <v>2948.0</v>
      </c>
      <c r="J982" s="19">
        <v>2550.0</v>
      </c>
      <c r="K982" s="19">
        <v>3300.0</v>
      </c>
      <c r="O982" s="18" t="s">
        <v>83</v>
      </c>
    </row>
    <row r="983">
      <c r="A983" s="18" t="s">
        <v>125</v>
      </c>
      <c r="B983" s="18" t="s">
        <v>44</v>
      </c>
      <c r="C983" s="18" t="s">
        <v>133</v>
      </c>
      <c r="D983" s="18" t="s">
        <v>2978</v>
      </c>
      <c r="E983" s="18" t="s">
        <v>2979</v>
      </c>
      <c r="F983" s="18" t="s">
        <v>2959</v>
      </c>
      <c r="G983" s="18">
        <v>13.02</v>
      </c>
      <c r="H983" s="18" t="s">
        <v>56</v>
      </c>
      <c r="I983" s="19">
        <v>2753.0</v>
      </c>
      <c r="J983" s="19">
        <v>2350.0</v>
      </c>
      <c r="K983" s="19">
        <v>3550.0</v>
      </c>
      <c r="O983" s="18" t="s">
        <v>57</v>
      </c>
    </row>
    <row r="984">
      <c r="A984" s="18" t="s">
        <v>125</v>
      </c>
      <c r="B984" s="18" t="s">
        <v>36</v>
      </c>
      <c r="C984" s="18" t="s">
        <v>37</v>
      </c>
      <c r="D984" s="18" t="s">
        <v>2980</v>
      </c>
      <c r="E984" s="18" t="s">
        <v>2981</v>
      </c>
      <c r="F984" s="18" t="s">
        <v>2959</v>
      </c>
      <c r="G984" s="18">
        <v>45.37</v>
      </c>
      <c r="H984" s="18" t="s">
        <v>168</v>
      </c>
      <c r="I984" s="19">
        <v>4500.0</v>
      </c>
      <c r="J984" s="19">
        <v>3850.0</v>
      </c>
      <c r="K984" s="19">
        <v>2700.0</v>
      </c>
      <c r="O984" s="18" t="s">
        <v>57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25"/>
    <col customWidth="1" min="2" max="2" width="19.25"/>
    <col customWidth="1" min="3" max="3" width="26.63"/>
  </cols>
  <sheetData>
    <row r="1">
      <c r="D1" s="18" t="s">
        <v>3763</v>
      </c>
    </row>
    <row r="2">
      <c r="D2" s="22">
        <f t="shared" ref="D2:D40" si="1">C2/B2</f>
        <v>1</v>
      </c>
    </row>
    <row r="3">
      <c r="D3" s="22">
        <f t="shared" si="1"/>
        <v>0.9033287734</v>
      </c>
    </row>
    <row r="4">
      <c r="D4" s="22">
        <f t="shared" si="1"/>
        <v>0.8525086796</v>
      </c>
    </row>
    <row r="5">
      <c r="D5" s="22">
        <f t="shared" si="1"/>
        <v>1</v>
      </c>
    </row>
    <row r="6">
      <c r="D6" s="22">
        <f t="shared" si="1"/>
        <v>1.138380892</v>
      </c>
    </row>
    <row r="7">
      <c r="D7" s="22">
        <f t="shared" si="1"/>
        <v>0.9812120096</v>
      </c>
    </row>
    <row r="8">
      <c r="D8" s="22">
        <f t="shared" si="1"/>
        <v>1.029971126</v>
      </c>
    </row>
    <row r="9">
      <c r="D9" s="22">
        <f t="shared" si="1"/>
        <v>0.976777939</v>
      </c>
    </row>
    <row r="10">
      <c r="D10" s="22">
        <f t="shared" si="1"/>
        <v>0.9955357143</v>
      </c>
    </row>
    <row r="11">
      <c r="D11" s="22">
        <f t="shared" si="1"/>
        <v>0.8198021012</v>
      </c>
    </row>
    <row r="12">
      <c r="D12" s="22">
        <f t="shared" si="1"/>
        <v>0.9633960114</v>
      </c>
    </row>
    <row r="13">
      <c r="D13" s="22">
        <f t="shared" si="1"/>
        <v>0.9260671363</v>
      </c>
    </row>
    <row r="14">
      <c r="D14" s="22">
        <f t="shared" si="1"/>
        <v>1.060701641</v>
      </c>
    </row>
    <row r="15">
      <c r="D15" s="22">
        <f t="shared" si="1"/>
        <v>1.086206897</v>
      </c>
    </row>
    <row r="16">
      <c r="D16" s="22">
        <f t="shared" si="1"/>
        <v>0.9603012413</v>
      </c>
    </row>
    <row r="17">
      <c r="D17" s="22">
        <f t="shared" si="1"/>
        <v>1.197105422</v>
      </c>
    </row>
    <row r="18">
      <c r="D18" s="22" t="str">
        <f t="shared" si="1"/>
        <v>#DIV/0!</v>
      </c>
    </row>
    <row r="19">
      <c r="D19" s="22">
        <f t="shared" si="1"/>
        <v>1</v>
      </c>
    </row>
    <row r="20">
      <c r="D20" s="22">
        <f t="shared" si="1"/>
        <v>1.107092199</v>
      </c>
    </row>
    <row r="21">
      <c r="D21" s="22">
        <f t="shared" si="1"/>
        <v>0.9387276897</v>
      </c>
    </row>
    <row r="22">
      <c r="D22" s="22">
        <f t="shared" si="1"/>
        <v>1.000723117</v>
      </c>
    </row>
    <row r="23">
      <c r="D23" s="22">
        <f t="shared" si="1"/>
        <v>1.23423068</v>
      </c>
    </row>
    <row r="24">
      <c r="D24" s="22">
        <f t="shared" si="1"/>
        <v>1.085343145</v>
      </c>
    </row>
    <row r="25">
      <c r="D25" s="22">
        <f t="shared" si="1"/>
        <v>1.132597317</v>
      </c>
    </row>
    <row r="26">
      <c r="D26" s="22">
        <f t="shared" si="1"/>
        <v>1.129406471</v>
      </c>
    </row>
    <row r="27">
      <c r="D27" s="22">
        <f t="shared" si="1"/>
        <v>1.244858702</v>
      </c>
    </row>
    <row r="28">
      <c r="D28" s="22">
        <f t="shared" si="1"/>
        <v>0.7654029732</v>
      </c>
    </row>
    <row r="29">
      <c r="D29" s="22">
        <f t="shared" si="1"/>
        <v>1.043656099</v>
      </c>
    </row>
    <row r="30">
      <c r="D30" s="22">
        <f t="shared" si="1"/>
        <v>1.118379309</v>
      </c>
    </row>
    <row r="31">
      <c r="D31" s="22">
        <f t="shared" si="1"/>
        <v>0.513532826</v>
      </c>
    </row>
    <row r="32">
      <c r="D32" s="22">
        <f t="shared" si="1"/>
        <v>1.057037546</v>
      </c>
    </row>
    <row r="33">
      <c r="D33" s="22">
        <f t="shared" si="1"/>
        <v>0.9025365497</v>
      </c>
    </row>
    <row r="34">
      <c r="D34" s="22">
        <f t="shared" si="1"/>
        <v>1.046728431</v>
      </c>
    </row>
    <row r="35">
      <c r="D35" s="22">
        <f t="shared" si="1"/>
        <v>0.6034112851</v>
      </c>
    </row>
    <row r="36">
      <c r="D36" s="22">
        <f t="shared" si="1"/>
        <v>0.7881594993</v>
      </c>
    </row>
    <row r="37">
      <c r="D37" s="22">
        <f t="shared" si="1"/>
        <v>0.9507619762</v>
      </c>
    </row>
    <row r="38">
      <c r="D38" s="22">
        <f t="shared" si="1"/>
        <v>1</v>
      </c>
    </row>
    <row r="39">
      <c r="D39" s="22">
        <f t="shared" si="1"/>
        <v>1.106603284</v>
      </c>
    </row>
    <row r="40">
      <c r="D40" s="22">
        <f t="shared" si="1"/>
        <v>1.001879146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9.38"/>
    <col customWidth="1" min="17" max="17" width="17.13"/>
  </cols>
  <sheetData>
    <row r="1">
      <c r="A1" s="17" t="s">
        <v>18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3</v>
      </c>
      <c r="G1" s="17" t="s">
        <v>23</v>
      </c>
      <c r="H1" s="17" t="s">
        <v>24</v>
      </c>
      <c r="I1" s="17" t="s">
        <v>25</v>
      </c>
      <c r="J1" s="17" t="s">
        <v>26</v>
      </c>
      <c r="K1" s="17" t="s">
        <v>27</v>
      </c>
      <c r="L1" s="17" t="s">
        <v>28</v>
      </c>
      <c r="M1" s="17" t="s">
        <v>29</v>
      </c>
      <c r="N1" s="17" t="s">
        <v>30</v>
      </c>
      <c r="O1" s="17" t="s">
        <v>31</v>
      </c>
      <c r="P1" s="17" t="s">
        <v>32</v>
      </c>
      <c r="Q1" s="18" t="s">
        <v>3765</v>
      </c>
    </row>
    <row r="2">
      <c r="A2" s="18" t="s">
        <v>35</v>
      </c>
      <c r="B2" s="18" t="s">
        <v>36</v>
      </c>
      <c r="C2" s="18" t="s">
        <v>37</v>
      </c>
      <c r="D2" s="18" t="s">
        <v>38</v>
      </c>
      <c r="E2" s="18" t="s">
        <v>39</v>
      </c>
      <c r="G2" s="18"/>
      <c r="H2" s="18" t="s">
        <v>40</v>
      </c>
      <c r="I2" s="19">
        <v>1666.66</v>
      </c>
      <c r="J2" s="19">
        <v>2250.0</v>
      </c>
      <c r="K2" s="19"/>
      <c r="L2" s="18"/>
      <c r="M2" s="18"/>
      <c r="N2" s="18"/>
      <c r="O2" s="18" t="s">
        <v>41</v>
      </c>
      <c r="P2" s="18" t="s">
        <v>42</v>
      </c>
      <c r="Q2" s="10">
        <f t="shared" ref="Q2:Q1000" si="1">SUM(COUNTIF(F2,"Occupied"),Countif(F2,"Churning"),Countif(F2,"Sold"),COUNTIFS(F2,"Vacant",M2,"&lt;&gt;"))</f>
        <v>0</v>
      </c>
    </row>
    <row r="3">
      <c r="A3" s="18" t="s">
        <v>43</v>
      </c>
      <c r="B3" s="18" t="s">
        <v>44</v>
      </c>
      <c r="C3" s="18" t="s">
        <v>45</v>
      </c>
      <c r="D3" s="18" t="s">
        <v>46</v>
      </c>
      <c r="E3" s="18" t="s">
        <v>47</v>
      </c>
      <c r="G3" s="18">
        <v>10.62</v>
      </c>
      <c r="H3" s="18" t="s">
        <v>45</v>
      </c>
      <c r="I3" s="19">
        <v>5100.0</v>
      </c>
      <c r="J3" s="19">
        <v>6150.0</v>
      </c>
      <c r="K3" s="19"/>
      <c r="L3" s="18"/>
      <c r="M3" s="18"/>
      <c r="N3" s="18"/>
      <c r="O3" s="18" t="s">
        <v>41</v>
      </c>
      <c r="P3" s="18" t="s">
        <v>48</v>
      </c>
      <c r="Q3" s="10">
        <f t="shared" si="1"/>
        <v>0</v>
      </c>
    </row>
    <row r="4">
      <c r="A4" s="18" t="s">
        <v>49</v>
      </c>
      <c r="B4" s="18" t="s">
        <v>45</v>
      </c>
      <c r="C4" s="18" t="s">
        <v>50</v>
      </c>
      <c r="D4" s="18" t="s">
        <v>51</v>
      </c>
      <c r="E4" s="18" t="s">
        <v>52</v>
      </c>
      <c r="G4" s="18">
        <v>9.12</v>
      </c>
      <c r="H4" s="18" t="s">
        <v>40</v>
      </c>
      <c r="I4" s="19">
        <v>3551.0</v>
      </c>
      <c r="J4" s="19">
        <v>4100.0</v>
      </c>
      <c r="K4" s="19">
        <v>4350.0</v>
      </c>
      <c r="L4" s="18"/>
      <c r="M4" s="18"/>
      <c r="N4" s="18"/>
      <c r="O4" s="18" t="s">
        <v>41</v>
      </c>
      <c r="P4" s="18" t="s">
        <v>48</v>
      </c>
      <c r="Q4" s="10">
        <f t="shared" si="1"/>
        <v>0</v>
      </c>
    </row>
    <row r="5">
      <c r="A5" s="18" t="s">
        <v>43</v>
      </c>
      <c r="B5" s="18" t="s">
        <v>44</v>
      </c>
      <c r="C5" s="18" t="s">
        <v>53</v>
      </c>
      <c r="D5" s="18" t="s">
        <v>54</v>
      </c>
      <c r="E5" s="18" t="s">
        <v>55</v>
      </c>
      <c r="G5" s="18">
        <v>15.03</v>
      </c>
      <c r="H5" s="18" t="s">
        <v>56</v>
      </c>
      <c r="I5" s="19">
        <v>6400.0</v>
      </c>
      <c r="J5" s="19">
        <v>7700.0</v>
      </c>
      <c r="K5" s="19"/>
      <c r="L5" s="18"/>
      <c r="M5" s="18"/>
      <c r="N5" s="18"/>
      <c r="O5" s="18" t="s">
        <v>57</v>
      </c>
      <c r="P5" s="18" t="s">
        <v>48</v>
      </c>
      <c r="Q5" s="10">
        <f t="shared" si="1"/>
        <v>0</v>
      </c>
    </row>
    <row r="6">
      <c r="A6" s="18" t="s">
        <v>58</v>
      </c>
      <c r="B6" s="18" t="s">
        <v>59</v>
      </c>
      <c r="C6" s="18" t="s">
        <v>53</v>
      </c>
      <c r="D6" s="18" t="s">
        <v>60</v>
      </c>
      <c r="E6" s="18" t="s">
        <v>61</v>
      </c>
      <c r="G6" s="18">
        <v>15.04</v>
      </c>
      <c r="H6" s="18" t="s">
        <v>62</v>
      </c>
      <c r="I6" s="19">
        <v>6430.0</v>
      </c>
      <c r="J6" s="19">
        <v>6450.0</v>
      </c>
      <c r="K6" s="19"/>
      <c r="L6" s="18"/>
      <c r="M6" s="18"/>
      <c r="N6" s="18"/>
      <c r="O6" s="18" t="s">
        <v>57</v>
      </c>
      <c r="P6" s="18" t="s">
        <v>63</v>
      </c>
      <c r="Q6" s="10">
        <f t="shared" si="1"/>
        <v>0</v>
      </c>
    </row>
    <row r="7">
      <c r="A7" s="18" t="s">
        <v>58</v>
      </c>
      <c r="B7" s="18" t="s">
        <v>59</v>
      </c>
      <c r="C7" s="18" t="s">
        <v>64</v>
      </c>
      <c r="D7" s="18" t="s">
        <v>65</v>
      </c>
      <c r="E7" s="18" t="s">
        <v>66</v>
      </c>
      <c r="G7" s="18">
        <v>17.06</v>
      </c>
      <c r="H7" s="18" t="s">
        <v>67</v>
      </c>
      <c r="I7" s="19">
        <v>6861.0</v>
      </c>
      <c r="J7" s="19">
        <v>6900.0</v>
      </c>
      <c r="K7" s="19"/>
      <c r="L7" s="18"/>
      <c r="M7" s="18"/>
      <c r="N7" s="18"/>
      <c r="O7" s="18" t="s">
        <v>57</v>
      </c>
      <c r="P7" s="18" t="s">
        <v>63</v>
      </c>
      <c r="Q7" s="10">
        <f t="shared" si="1"/>
        <v>0</v>
      </c>
    </row>
    <row r="8">
      <c r="A8" s="18" t="s">
        <v>58</v>
      </c>
      <c r="B8" s="18" t="s">
        <v>59</v>
      </c>
      <c r="C8" s="18" t="s">
        <v>53</v>
      </c>
      <c r="D8" s="18" t="s">
        <v>68</v>
      </c>
      <c r="E8" s="18" t="s">
        <v>69</v>
      </c>
      <c r="G8" s="18">
        <v>15.04</v>
      </c>
      <c r="H8" s="18" t="s">
        <v>62</v>
      </c>
      <c r="I8" s="19">
        <v>6430.0</v>
      </c>
      <c r="J8" s="19">
        <v>6450.0</v>
      </c>
      <c r="K8" s="19"/>
      <c r="L8" s="18"/>
      <c r="M8" s="18"/>
      <c r="N8" s="18"/>
      <c r="O8" s="18" t="s">
        <v>57</v>
      </c>
      <c r="P8" s="18" t="s">
        <v>63</v>
      </c>
      <c r="Q8" s="10">
        <f t="shared" si="1"/>
        <v>0</v>
      </c>
    </row>
    <row r="9">
      <c r="A9" s="18" t="s">
        <v>58</v>
      </c>
      <c r="B9" s="18" t="s">
        <v>59</v>
      </c>
      <c r="C9" s="18" t="s">
        <v>53</v>
      </c>
      <c r="D9" s="18" t="s">
        <v>70</v>
      </c>
      <c r="E9" s="18" t="s">
        <v>71</v>
      </c>
      <c r="G9" s="18">
        <v>15.15</v>
      </c>
      <c r="H9" s="18" t="s">
        <v>62</v>
      </c>
      <c r="I9" s="19">
        <v>6430.0</v>
      </c>
      <c r="J9" s="19">
        <v>6450.0</v>
      </c>
      <c r="K9" s="19"/>
      <c r="L9" s="18"/>
      <c r="M9" s="18"/>
      <c r="N9" s="18"/>
      <c r="O9" s="18" t="s">
        <v>57</v>
      </c>
      <c r="P9" s="18" t="s">
        <v>63</v>
      </c>
      <c r="Q9" s="10">
        <f t="shared" si="1"/>
        <v>0</v>
      </c>
    </row>
    <row r="10">
      <c r="A10" s="18" t="s">
        <v>58</v>
      </c>
      <c r="B10" s="18" t="s">
        <v>59</v>
      </c>
      <c r="C10" s="18" t="s">
        <v>64</v>
      </c>
      <c r="D10" s="18" t="s">
        <v>72</v>
      </c>
      <c r="E10" s="18" t="s">
        <v>73</v>
      </c>
      <c r="G10" s="18">
        <v>17.06</v>
      </c>
      <c r="H10" s="18" t="s">
        <v>67</v>
      </c>
      <c r="I10" s="19">
        <v>6861.0</v>
      </c>
      <c r="J10" s="19">
        <v>6900.0</v>
      </c>
      <c r="K10" s="19"/>
      <c r="L10" s="18"/>
      <c r="M10" s="18"/>
      <c r="N10" s="18"/>
      <c r="O10" s="18" t="s">
        <v>57</v>
      </c>
      <c r="P10" s="18" t="s">
        <v>63</v>
      </c>
      <c r="Q10" s="10">
        <f t="shared" si="1"/>
        <v>0</v>
      </c>
    </row>
    <row r="11">
      <c r="A11" s="18" t="s">
        <v>58</v>
      </c>
      <c r="B11" s="18" t="s">
        <v>59</v>
      </c>
      <c r="C11" s="18" t="s">
        <v>53</v>
      </c>
      <c r="D11" s="18" t="s">
        <v>74</v>
      </c>
      <c r="E11" s="18" t="s">
        <v>75</v>
      </c>
      <c r="G11" s="18">
        <v>15.04</v>
      </c>
      <c r="H11" s="18" t="s">
        <v>62</v>
      </c>
      <c r="I11" s="19">
        <v>6430.0</v>
      </c>
      <c r="J11" s="19">
        <v>6450.0</v>
      </c>
      <c r="K11" s="19"/>
      <c r="L11" s="18"/>
      <c r="M11" s="18"/>
      <c r="N11" s="18"/>
      <c r="O11" s="18" t="s">
        <v>57</v>
      </c>
      <c r="P11" s="18" t="s">
        <v>63</v>
      </c>
      <c r="Q11" s="10">
        <f t="shared" si="1"/>
        <v>0</v>
      </c>
    </row>
    <row r="12">
      <c r="A12" s="18" t="s">
        <v>58</v>
      </c>
      <c r="B12" s="18" t="s">
        <v>59</v>
      </c>
      <c r="C12" s="18" t="s">
        <v>76</v>
      </c>
      <c r="D12" s="18" t="s">
        <v>77</v>
      </c>
      <c r="E12" s="18" t="s">
        <v>78</v>
      </c>
      <c r="G12" s="18">
        <v>19.04</v>
      </c>
      <c r="H12" s="18" t="s">
        <v>67</v>
      </c>
      <c r="I12" s="19">
        <v>7300.0</v>
      </c>
      <c r="J12" s="19">
        <v>7300.0</v>
      </c>
      <c r="K12" s="19"/>
      <c r="L12" s="18"/>
      <c r="M12" s="23"/>
      <c r="N12" s="18"/>
      <c r="O12" s="18" t="s">
        <v>57</v>
      </c>
      <c r="P12" s="18" t="s">
        <v>63</v>
      </c>
      <c r="Q12" s="10">
        <f t="shared" si="1"/>
        <v>0</v>
      </c>
    </row>
    <row r="13">
      <c r="A13" s="18" t="s">
        <v>58</v>
      </c>
      <c r="B13" s="18" t="s">
        <v>59</v>
      </c>
      <c r="C13" s="18" t="s">
        <v>76</v>
      </c>
      <c r="D13" s="18" t="s">
        <v>79</v>
      </c>
      <c r="E13" s="18" t="s">
        <v>80</v>
      </c>
      <c r="G13" s="18">
        <v>19.04</v>
      </c>
      <c r="H13" s="18" t="s">
        <v>67</v>
      </c>
      <c r="I13" s="19">
        <v>7300.0</v>
      </c>
      <c r="J13" s="19">
        <v>7300.0</v>
      </c>
      <c r="K13" s="19"/>
      <c r="O13" s="18" t="s">
        <v>57</v>
      </c>
      <c r="P13" s="18" t="s">
        <v>63</v>
      </c>
      <c r="Q13" s="10">
        <f t="shared" si="1"/>
        <v>0</v>
      </c>
    </row>
    <row r="14">
      <c r="A14" s="18" t="s">
        <v>58</v>
      </c>
      <c r="B14" s="18" t="s">
        <v>59</v>
      </c>
      <c r="C14" s="18" t="s">
        <v>53</v>
      </c>
      <c r="D14" s="18" t="s">
        <v>81</v>
      </c>
      <c r="E14" s="18" t="s">
        <v>82</v>
      </c>
      <c r="G14" s="18">
        <v>15.03</v>
      </c>
      <c r="H14" s="18" t="s">
        <v>62</v>
      </c>
      <c r="I14" s="19">
        <v>6430.0</v>
      </c>
      <c r="J14" s="19">
        <v>6450.0</v>
      </c>
      <c r="K14" s="19"/>
      <c r="O14" s="18" t="s">
        <v>83</v>
      </c>
      <c r="P14" s="18" t="s">
        <v>63</v>
      </c>
      <c r="Q14" s="10">
        <f t="shared" si="1"/>
        <v>0</v>
      </c>
    </row>
    <row r="15">
      <c r="A15" s="18" t="s">
        <v>58</v>
      </c>
      <c r="B15" s="18" t="s">
        <v>59</v>
      </c>
      <c r="C15" s="18" t="s">
        <v>76</v>
      </c>
      <c r="D15" s="18" t="s">
        <v>84</v>
      </c>
      <c r="E15" s="18" t="s">
        <v>85</v>
      </c>
      <c r="G15" s="18">
        <v>19.15</v>
      </c>
      <c r="H15" s="18" t="s">
        <v>67</v>
      </c>
      <c r="I15" s="19">
        <v>7300.0</v>
      </c>
      <c r="J15" s="19">
        <v>7300.0</v>
      </c>
      <c r="K15" s="19"/>
      <c r="O15" s="18" t="s">
        <v>83</v>
      </c>
      <c r="P15" s="18" t="s">
        <v>63</v>
      </c>
      <c r="Q15" s="10">
        <f t="shared" si="1"/>
        <v>0</v>
      </c>
    </row>
    <row r="16">
      <c r="A16" s="18" t="s">
        <v>58</v>
      </c>
      <c r="B16" s="18" t="s">
        <v>59</v>
      </c>
      <c r="C16" s="18" t="s">
        <v>53</v>
      </c>
      <c r="D16" s="18" t="s">
        <v>86</v>
      </c>
      <c r="E16" s="18" t="s">
        <v>87</v>
      </c>
      <c r="G16" s="18">
        <v>15.03</v>
      </c>
      <c r="H16" s="18" t="s">
        <v>62</v>
      </c>
      <c r="I16" s="19">
        <v>6430.0</v>
      </c>
      <c r="J16" s="19">
        <v>6450.0</v>
      </c>
      <c r="K16" s="19"/>
      <c r="O16" s="18" t="s">
        <v>83</v>
      </c>
      <c r="P16" s="18" t="s">
        <v>63</v>
      </c>
      <c r="Q16" s="10">
        <f t="shared" si="1"/>
        <v>0</v>
      </c>
    </row>
    <row r="17">
      <c r="A17" s="18" t="s">
        <v>58</v>
      </c>
      <c r="B17" s="18" t="s">
        <v>59</v>
      </c>
      <c r="C17" s="18" t="s">
        <v>76</v>
      </c>
      <c r="D17" s="18" t="s">
        <v>88</v>
      </c>
      <c r="E17" s="18" t="s">
        <v>89</v>
      </c>
      <c r="G17" s="18">
        <v>19.04</v>
      </c>
      <c r="H17" s="18" t="s">
        <v>67</v>
      </c>
      <c r="I17" s="19">
        <v>7300.0</v>
      </c>
      <c r="J17" s="19">
        <v>7300.0</v>
      </c>
      <c r="K17" s="19"/>
      <c r="O17" s="18" t="s">
        <v>83</v>
      </c>
      <c r="P17" s="18" t="s">
        <v>63</v>
      </c>
      <c r="Q17" s="10">
        <f t="shared" si="1"/>
        <v>0</v>
      </c>
    </row>
    <row r="18">
      <c r="A18" s="18" t="s">
        <v>58</v>
      </c>
      <c r="B18" s="18" t="s">
        <v>59</v>
      </c>
      <c r="C18" s="18" t="s">
        <v>76</v>
      </c>
      <c r="D18" s="18" t="s">
        <v>90</v>
      </c>
      <c r="E18" s="18" t="s">
        <v>91</v>
      </c>
      <c r="G18" s="18">
        <v>19.04</v>
      </c>
      <c r="H18" s="18" t="s">
        <v>67</v>
      </c>
      <c r="I18" s="19">
        <v>7300.0</v>
      </c>
      <c r="J18" s="19">
        <v>7300.0</v>
      </c>
      <c r="K18" s="19"/>
      <c r="O18" s="18" t="s">
        <v>83</v>
      </c>
      <c r="P18" s="18" t="s">
        <v>63</v>
      </c>
      <c r="Q18" s="10">
        <f t="shared" si="1"/>
        <v>0</v>
      </c>
    </row>
    <row r="19">
      <c r="A19" s="18" t="s">
        <v>58</v>
      </c>
      <c r="B19" s="18" t="s">
        <v>59</v>
      </c>
      <c r="C19" s="18" t="s">
        <v>64</v>
      </c>
      <c r="D19" s="18" t="s">
        <v>92</v>
      </c>
      <c r="E19" s="18" t="s">
        <v>93</v>
      </c>
      <c r="G19" s="24">
        <v>17.06</v>
      </c>
      <c r="H19" s="18" t="s">
        <v>67</v>
      </c>
      <c r="I19" s="19">
        <v>6861.0</v>
      </c>
      <c r="J19" s="19">
        <v>6900.0</v>
      </c>
      <c r="K19" s="19"/>
      <c r="O19" s="18" t="s">
        <v>57</v>
      </c>
      <c r="P19" s="18" t="s">
        <v>63</v>
      </c>
      <c r="Q19" s="10">
        <f t="shared" si="1"/>
        <v>0</v>
      </c>
    </row>
    <row r="20">
      <c r="A20" s="18" t="s">
        <v>58</v>
      </c>
      <c r="B20" s="18" t="s">
        <v>59</v>
      </c>
      <c r="C20" s="18" t="s">
        <v>53</v>
      </c>
      <c r="D20" s="18" t="s">
        <v>94</v>
      </c>
      <c r="E20" s="18" t="s">
        <v>95</v>
      </c>
      <c r="G20" s="18">
        <v>15.03</v>
      </c>
      <c r="H20" s="18" t="s">
        <v>62</v>
      </c>
      <c r="I20" s="19">
        <v>6430.0</v>
      </c>
      <c r="J20" s="19">
        <v>6450.0</v>
      </c>
      <c r="K20" s="19"/>
      <c r="O20" s="18" t="s">
        <v>83</v>
      </c>
      <c r="P20" s="18" t="s">
        <v>63</v>
      </c>
      <c r="Q20" s="10">
        <f t="shared" si="1"/>
        <v>0</v>
      </c>
    </row>
    <row r="21">
      <c r="A21" s="18" t="s">
        <v>58</v>
      </c>
      <c r="B21" s="18" t="s">
        <v>59</v>
      </c>
      <c r="C21" s="18" t="s">
        <v>53</v>
      </c>
      <c r="D21" s="18" t="s">
        <v>96</v>
      </c>
      <c r="E21" s="18" t="s">
        <v>97</v>
      </c>
      <c r="G21" s="24">
        <v>15.03</v>
      </c>
      <c r="H21" s="18" t="s">
        <v>62</v>
      </c>
      <c r="I21" s="19">
        <v>6430.0</v>
      </c>
      <c r="J21" s="19">
        <v>6450.0</v>
      </c>
      <c r="K21" s="19"/>
      <c r="O21" s="18" t="s">
        <v>83</v>
      </c>
      <c r="P21" s="18" t="s">
        <v>63</v>
      </c>
      <c r="Q21" s="10">
        <f t="shared" si="1"/>
        <v>0</v>
      </c>
    </row>
    <row r="22">
      <c r="A22" s="18" t="s">
        <v>58</v>
      </c>
      <c r="B22" s="18" t="s">
        <v>59</v>
      </c>
      <c r="C22" s="18" t="s">
        <v>53</v>
      </c>
      <c r="D22" s="18" t="s">
        <v>98</v>
      </c>
      <c r="E22" s="18" t="s">
        <v>99</v>
      </c>
      <c r="G22" s="24">
        <v>15.04</v>
      </c>
      <c r="H22" s="18" t="s">
        <v>62</v>
      </c>
      <c r="I22" s="19">
        <v>6430.0</v>
      </c>
      <c r="J22" s="19">
        <v>6450.0</v>
      </c>
      <c r="K22" s="19"/>
      <c r="O22" s="18" t="s">
        <v>57</v>
      </c>
      <c r="P22" s="18" t="s">
        <v>63</v>
      </c>
      <c r="Q22" s="10">
        <f t="shared" si="1"/>
        <v>0</v>
      </c>
    </row>
    <row r="23">
      <c r="A23" s="18" t="s">
        <v>58</v>
      </c>
      <c r="B23" s="18" t="s">
        <v>59</v>
      </c>
      <c r="C23" s="18" t="s">
        <v>64</v>
      </c>
      <c r="D23" s="18" t="s">
        <v>100</v>
      </c>
      <c r="E23" s="18" t="s">
        <v>101</v>
      </c>
      <c r="G23" s="18">
        <v>17.06</v>
      </c>
      <c r="H23" s="18" t="s">
        <v>67</v>
      </c>
      <c r="I23" s="19">
        <v>6861.0</v>
      </c>
      <c r="J23" s="19">
        <v>6900.0</v>
      </c>
      <c r="O23" s="18" t="s">
        <v>57</v>
      </c>
      <c r="P23" s="18" t="s">
        <v>63</v>
      </c>
      <c r="Q23" s="10">
        <f t="shared" si="1"/>
        <v>0</v>
      </c>
    </row>
    <row r="24">
      <c r="A24" s="18" t="s">
        <v>58</v>
      </c>
      <c r="B24" s="18" t="s">
        <v>59</v>
      </c>
      <c r="C24" s="18" t="s">
        <v>64</v>
      </c>
      <c r="D24" s="18" t="s">
        <v>102</v>
      </c>
      <c r="E24" s="18" t="s">
        <v>103</v>
      </c>
      <c r="G24" s="18">
        <v>17.06</v>
      </c>
      <c r="H24" s="18" t="s">
        <v>67</v>
      </c>
      <c r="I24" s="19">
        <v>6861.0</v>
      </c>
      <c r="J24" s="19">
        <v>6900.0</v>
      </c>
      <c r="O24" s="18" t="s">
        <v>57</v>
      </c>
      <c r="P24" s="18" t="s">
        <v>63</v>
      </c>
      <c r="Q24" s="10">
        <f t="shared" si="1"/>
        <v>0</v>
      </c>
    </row>
    <row r="25">
      <c r="A25" s="18" t="s">
        <v>58</v>
      </c>
      <c r="B25" s="18" t="s">
        <v>59</v>
      </c>
      <c r="C25" s="18" t="s">
        <v>53</v>
      </c>
      <c r="D25" s="18" t="s">
        <v>104</v>
      </c>
      <c r="E25" s="18" t="s">
        <v>105</v>
      </c>
      <c r="G25" s="24">
        <v>15.04</v>
      </c>
      <c r="H25" s="18" t="s">
        <v>62</v>
      </c>
      <c r="I25" s="19">
        <v>6430.0</v>
      </c>
      <c r="J25" s="19">
        <v>6450.0</v>
      </c>
      <c r="O25" s="18" t="s">
        <v>57</v>
      </c>
      <c r="P25" s="18" t="s">
        <v>63</v>
      </c>
      <c r="Q25" s="10">
        <f t="shared" si="1"/>
        <v>0</v>
      </c>
    </row>
    <row r="26">
      <c r="A26" s="18" t="s">
        <v>58</v>
      </c>
      <c r="B26" s="18" t="s">
        <v>59</v>
      </c>
      <c r="C26" s="18" t="s">
        <v>64</v>
      </c>
      <c r="D26" s="18" t="s">
        <v>106</v>
      </c>
      <c r="E26" s="18" t="s">
        <v>107</v>
      </c>
      <c r="G26" s="18">
        <v>17.06</v>
      </c>
      <c r="H26" s="18" t="s">
        <v>67</v>
      </c>
      <c r="I26" s="19">
        <v>6861.0</v>
      </c>
      <c r="J26" s="19">
        <v>6900.0</v>
      </c>
      <c r="O26" s="18" t="s">
        <v>57</v>
      </c>
      <c r="P26" s="18" t="s">
        <v>63</v>
      </c>
      <c r="Q26" s="10">
        <f t="shared" si="1"/>
        <v>0</v>
      </c>
    </row>
    <row r="27">
      <c r="A27" s="18" t="s">
        <v>58</v>
      </c>
      <c r="B27" s="18" t="s">
        <v>59</v>
      </c>
      <c r="C27" s="18" t="s">
        <v>64</v>
      </c>
      <c r="D27" s="18" t="s">
        <v>108</v>
      </c>
      <c r="E27" s="18" t="s">
        <v>109</v>
      </c>
      <c r="G27" s="18">
        <v>17.06</v>
      </c>
      <c r="H27" s="18" t="s">
        <v>67</v>
      </c>
      <c r="I27" s="19">
        <v>6861.0</v>
      </c>
      <c r="J27" s="19">
        <v>6900.0</v>
      </c>
      <c r="O27" s="18" t="s">
        <v>57</v>
      </c>
      <c r="P27" s="18" t="s">
        <v>63</v>
      </c>
      <c r="Q27" s="10">
        <f t="shared" si="1"/>
        <v>0</v>
      </c>
    </row>
    <row r="28">
      <c r="A28" s="18" t="s">
        <v>58</v>
      </c>
      <c r="B28" s="18" t="s">
        <v>59</v>
      </c>
      <c r="C28" s="18" t="s">
        <v>53</v>
      </c>
      <c r="D28" s="18" t="s">
        <v>110</v>
      </c>
      <c r="E28" s="18" t="s">
        <v>111</v>
      </c>
      <c r="G28" s="24">
        <v>15.04</v>
      </c>
      <c r="H28" s="18" t="s">
        <v>62</v>
      </c>
      <c r="I28" s="19">
        <v>6430.0</v>
      </c>
      <c r="J28" s="19">
        <v>6450.0</v>
      </c>
      <c r="K28" s="19"/>
      <c r="O28" s="18" t="s">
        <v>57</v>
      </c>
      <c r="P28" s="18" t="s">
        <v>63</v>
      </c>
      <c r="Q28" s="10">
        <f t="shared" si="1"/>
        <v>0</v>
      </c>
    </row>
    <row r="29">
      <c r="A29" s="18" t="s">
        <v>112</v>
      </c>
      <c r="B29" s="18" t="s">
        <v>44</v>
      </c>
      <c r="C29" s="18" t="s">
        <v>113</v>
      </c>
      <c r="D29" s="18" t="s">
        <v>114</v>
      </c>
      <c r="E29" s="18" t="s">
        <v>115</v>
      </c>
      <c r="G29" s="18">
        <v>11.9</v>
      </c>
      <c r="H29" s="18" t="s">
        <v>116</v>
      </c>
      <c r="I29" s="19">
        <v>5148.0</v>
      </c>
      <c r="J29" s="19">
        <v>7250.0</v>
      </c>
      <c r="K29" s="19">
        <v>6200.0</v>
      </c>
      <c r="O29" s="18" t="s">
        <v>117</v>
      </c>
      <c r="P29" s="18" t="s">
        <v>42</v>
      </c>
      <c r="Q29" s="10">
        <f t="shared" si="1"/>
        <v>0</v>
      </c>
    </row>
    <row r="30">
      <c r="A30" s="18" t="s">
        <v>112</v>
      </c>
      <c r="B30" s="18" t="s">
        <v>44</v>
      </c>
      <c r="C30" s="18" t="s">
        <v>53</v>
      </c>
      <c r="D30" s="18" t="s">
        <v>118</v>
      </c>
      <c r="E30" s="18" t="s">
        <v>119</v>
      </c>
      <c r="G30" s="18">
        <v>16.9</v>
      </c>
      <c r="H30" s="18" t="s">
        <v>120</v>
      </c>
      <c r="I30" s="19">
        <v>6437.0</v>
      </c>
      <c r="J30" s="19">
        <v>9050.0</v>
      </c>
      <c r="K30" s="19">
        <v>7750.0</v>
      </c>
      <c r="O30" s="18" t="s">
        <v>117</v>
      </c>
      <c r="P30" s="18" t="s">
        <v>42</v>
      </c>
      <c r="Q30" s="10">
        <f t="shared" si="1"/>
        <v>0</v>
      </c>
    </row>
    <row r="31">
      <c r="A31" s="18" t="s">
        <v>112</v>
      </c>
      <c r="B31" s="18" t="s">
        <v>44</v>
      </c>
      <c r="C31" s="18" t="s">
        <v>53</v>
      </c>
      <c r="D31" s="18" t="s">
        <v>121</v>
      </c>
      <c r="E31" s="18" t="s">
        <v>122</v>
      </c>
      <c r="G31" s="18">
        <v>16.0</v>
      </c>
      <c r="H31" s="18" t="s">
        <v>56</v>
      </c>
      <c r="I31" s="19">
        <v>6008.0</v>
      </c>
      <c r="J31" s="19">
        <v>8450.0</v>
      </c>
      <c r="K31" s="19">
        <v>7300.0</v>
      </c>
      <c r="O31" s="18" t="s">
        <v>117</v>
      </c>
      <c r="P31" s="18" t="s">
        <v>42</v>
      </c>
      <c r="Q31" s="10">
        <f t="shared" si="1"/>
        <v>0</v>
      </c>
    </row>
    <row r="32">
      <c r="A32" s="18" t="s">
        <v>112</v>
      </c>
      <c r="B32" s="18" t="s">
        <v>44</v>
      </c>
      <c r="C32" s="18" t="s">
        <v>113</v>
      </c>
      <c r="D32" s="18" t="s">
        <v>123</v>
      </c>
      <c r="E32" s="18" t="s">
        <v>124</v>
      </c>
      <c r="G32" s="18">
        <v>11.3</v>
      </c>
      <c r="H32" s="18" t="s">
        <v>116</v>
      </c>
      <c r="I32" s="19">
        <v>5148.0</v>
      </c>
      <c r="J32" s="19">
        <v>7250.0</v>
      </c>
      <c r="K32" s="19">
        <v>6200.0</v>
      </c>
      <c r="O32" s="18" t="s">
        <v>41</v>
      </c>
      <c r="P32" s="18" t="s">
        <v>42</v>
      </c>
      <c r="Q32" s="10">
        <f t="shared" si="1"/>
        <v>0</v>
      </c>
    </row>
    <row r="33">
      <c r="A33" s="18" t="s">
        <v>125</v>
      </c>
      <c r="B33" s="18" t="s">
        <v>44</v>
      </c>
      <c r="C33" s="18" t="s">
        <v>76</v>
      </c>
      <c r="D33" s="18" t="s">
        <v>126</v>
      </c>
      <c r="E33" s="18" t="s">
        <v>127</v>
      </c>
      <c r="F33" s="18" t="s">
        <v>128</v>
      </c>
      <c r="G33" s="18">
        <v>21.06</v>
      </c>
      <c r="H33" s="18" t="s">
        <v>120</v>
      </c>
      <c r="I33" s="19">
        <v>3229.0</v>
      </c>
      <c r="J33" s="19">
        <v>2750.0</v>
      </c>
      <c r="K33" s="19">
        <v>3900.0</v>
      </c>
      <c r="L33" s="18" t="s">
        <v>129</v>
      </c>
      <c r="M33" s="18" t="s">
        <v>130</v>
      </c>
      <c r="N33" s="18" t="s">
        <v>131</v>
      </c>
      <c r="O33" s="18" t="s">
        <v>83</v>
      </c>
      <c r="P33" s="18"/>
      <c r="Q33" s="10">
        <f t="shared" si="1"/>
        <v>1</v>
      </c>
    </row>
    <row r="34">
      <c r="A34" s="18" t="s">
        <v>132</v>
      </c>
      <c r="B34" s="18" t="s">
        <v>44</v>
      </c>
      <c r="C34" s="18" t="s">
        <v>133</v>
      </c>
      <c r="D34" s="18" t="s">
        <v>134</v>
      </c>
      <c r="E34" s="18" t="s">
        <v>135</v>
      </c>
      <c r="F34" s="18" t="s">
        <v>128</v>
      </c>
      <c r="G34" s="18">
        <v>14.78</v>
      </c>
      <c r="H34" s="18" t="s">
        <v>62</v>
      </c>
      <c r="I34" s="19">
        <v>2975.44</v>
      </c>
      <c r="J34" s="19">
        <v>2400.0</v>
      </c>
      <c r="K34" s="19">
        <v>3500.0</v>
      </c>
      <c r="L34" s="18" t="s">
        <v>136</v>
      </c>
      <c r="M34" s="18" t="s">
        <v>137</v>
      </c>
      <c r="N34" s="18" t="s">
        <v>131</v>
      </c>
      <c r="O34" s="18" t="s">
        <v>41</v>
      </c>
      <c r="P34" s="18"/>
      <c r="Q34" s="10">
        <f t="shared" si="1"/>
        <v>1</v>
      </c>
    </row>
    <row r="35">
      <c r="A35" s="18" t="s">
        <v>138</v>
      </c>
      <c r="B35" s="18" t="s">
        <v>44</v>
      </c>
      <c r="C35" s="18" t="s">
        <v>113</v>
      </c>
      <c r="D35" s="18" t="s">
        <v>139</v>
      </c>
      <c r="E35" s="18" t="s">
        <v>140</v>
      </c>
      <c r="F35" s="18" t="s">
        <v>128</v>
      </c>
      <c r="G35" s="18">
        <v>11.97</v>
      </c>
      <c r="H35" s="18" t="s">
        <v>116</v>
      </c>
      <c r="I35" s="19">
        <v>2482.0</v>
      </c>
      <c r="J35" s="19">
        <v>3600.0</v>
      </c>
      <c r="K35" s="19">
        <v>3000.0</v>
      </c>
      <c r="L35" s="18" t="s">
        <v>141</v>
      </c>
      <c r="M35" s="18" t="s">
        <v>142</v>
      </c>
      <c r="N35" s="18" t="s">
        <v>143</v>
      </c>
      <c r="O35" s="18" t="s">
        <v>57</v>
      </c>
      <c r="P35" s="18" t="s">
        <v>144</v>
      </c>
      <c r="Q35" s="10">
        <f t="shared" si="1"/>
        <v>1</v>
      </c>
    </row>
    <row r="36">
      <c r="A36" s="18" t="s">
        <v>145</v>
      </c>
      <c r="B36" s="18" t="s">
        <v>44</v>
      </c>
      <c r="C36" s="18" t="s">
        <v>53</v>
      </c>
      <c r="D36" s="18" t="s">
        <v>146</v>
      </c>
      <c r="E36" s="18" t="s">
        <v>147</v>
      </c>
      <c r="F36" s="18" t="s">
        <v>128</v>
      </c>
      <c r="G36" s="18">
        <v>16.0</v>
      </c>
      <c r="H36" s="18" t="s">
        <v>56</v>
      </c>
      <c r="I36" s="19">
        <v>8592.0</v>
      </c>
      <c r="J36" s="19">
        <v>9500.0</v>
      </c>
      <c r="K36" s="19">
        <v>10350.0</v>
      </c>
      <c r="L36" s="18"/>
      <c r="M36" s="18"/>
      <c r="N36" s="18"/>
      <c r="O36" s="18" t="s">
        <v>57</v>
      </c>
      <c r="P36" s="18" t="s">
        <v>63</v>
      </c>
      <c r="Q36" s="10">
        <f t="shared" si="1"/>
        <v>1</v>
      </c>
    </row>
    <row r="37">
      <c r="A37" s="18" t="s">
        <v>148</v>
      </c>
      <c r="B37" s="18" t="s">
        <v>44</v>
      </c>
      <c r="C37" s="18" t="s">
        <v>64</v>
      </c>
      <c r="D37" s="18" t="s">
        <v>149</v>
      </c>
      <c r="E37" s="18" t="s">
        <v>150</v>
      </c>
      <c r="F37" s="18" t="s">
        <v>128</v>
      </c>
      <c r="G37" s="18">
        <v>18.1</v>
      </c>
      <c r="H37" s="18" t="s">
        <v>56</v>
      </c>
      <c r="I37" s="19">
        <v>7096.0</v>
      </c>
      <c r="J37" s="19">
        <v>7100.0</v>
      </c>
      <c r="K37" s="19">
        <v>8550.0</v>
      </c>
      <c r="O37" s="18" t="s">
        <v>151</v>
      </c>
      <c r="P37" s="18" t="s">
        <v>48</v>
      </c>
      <c r="Q37" s="10">
        <f t="shared" si="1"/>
        <v>1</v>
      </c>
    </row>
    <row r="38">
      <c r="A38" s="18" t="s">
        <v>148</v>
      </c>
      <c r="B38" s="18" t="s">
        <v>44</v>
      </c>
      <c r="C38" s="18" t="s">
        <v>76</v>
      </c>
      <c r="D38" s="18" t="s">
        <v>152</v>
      </c>
      <c r="E38" s="18" t="s">
        <v>153</v>
      </c>
      <c r="F38" s="18" t="s">
        <v>128</v>
      </c>
      <c r="G38" s="18">
        <v>20.8</v>
      </c>
      <c r="H38" s="18" t="s">
        <v>56</v>
      </c>
      <c r="I38" s="19">
        <v>7514.0</v>
      </c>
      <c r="J38" s="19">
        <v>7550.0</v>
      </c>
      <c r="K38" s="19">
        <v>9100.0</v>
      </c>
      <c r="O38" s="18" t="s">
        <v>57</v>
      </c>
      <c r="P38" s="18" t="s">
        <v>48</v>
      </c>
      <c r="Q38" s="10">
        <f t="shared" si="1"/>
        <v>1</v>
      </c>
    </row>
    <row r="39">
      <c r="A39" s="18" t="s">
        <v>154</v>
      </c>
      <c r="B39" s="18" t="s">
        <v>44</v>
      </c>
      <c r="C39" s="18" t="s">
        <v>53</v>
      </c>
      <c r="D39" s="18" t="s">
        <v>155</v>
      </c>
      <c r="E39" s="18" t="s">
        <v>156</v>
      </c>
      <c r="F39" s="18" t="s">
        <v>128</v>
      </c>
      <c r="G39" s="18">
        <v>16.0</v>
      </c>
      <c r="H39" s="18" t="s">
        <v>56</v>
      </c>
      <c r="I39" s="19">
        <v>4799.0</v>
      </c>
      <c r="J39" s="19">
        <v>6750.0</v>
      </c>
      <c r="K39" s="19">
        <v>5800.0</v>
      </c>
      <c r="O39" s="18" t="s">
        <v>151</v>
      </c>
      <c r="P39" s="18" t="s">
        <v>157</v>
      </c>
      <c r="Q39" s="10">
        <f t="shared" si="1"/>
        <v>1</v>
      </c>
    </row>
    <row r="40">
      <c r="A40" s="18" t="s">
        <v>158</v>
      </c>
      <c r="B40" s="18" t="s">
        <v>44</v>
      </c>
      <c r="C40" s="18" t="s">
        <v>133</v>
      </c>
      <c r="D40" s="18" t="s">
        <v>159</v>
      </c>
      <c r="E40" s="18" t="s">
        <v>160</v>
      </c>
      <c r="F40" s="18" t="s">
        <v>128</v>
      </c>
      <c r="G40" s="18">
        <v>14.54</v>
      </c>
      <c r="H40" s="18" t="s">
        <v>56</v>
      </c>
      <c r="I40" s="19">
        <v>4666.0</v>
      </c>
      <c r="J40" s="19">
        <v>4700.0</v>
      </c>
      <c r="K40" s="19">
        <v>5650.0</v>
      </c>
      <c r="L40" s="18"/>
      <c r="M40" s="18"/>
      <c r="N40" s="18"/>
      <c r="O40" s="18" t="s">
        <v>161</v>
      </c>
      <c r="P40" s="18" t="s">
        <v>162</v>
      </c>
      <c r="Q40" s="10">
        <f t="shared" si="1"/>
        <v>1</v>
      </c>
    </row>
    <row r="41">
      <c r="A41" s="18" t="s">
        <v>148</v>
      </c>
      <c r="B41" s="18" t="s">
        <v>44</v>
      </c>
      <c r="C41" s="18" t="s">
        <v>64</v>
      </c>
      <c r="D41" s="18" t="s">
        <v>163</v>
      </c>
      <c r="E41" s="18" t="s">
        <v>164</v>
      </c>
      <c r="F41" s="18" t="s">
        <v>128</v>
      </c>
      <c r="G41" s="18">
        <v>18.1</v>
      </c>
      <c r="H41" s="18" t="s">
        <v>56</v>
      </c>
      <c r="I41" s="19">
        <v>7096.0</v>
      </c>
      <c r="J41" s="19">
        <v>7100.0</v>
      </c>
      <c r="K41" s="19">
        <v>8550.0</v>
      </c>
      <c r="L41" s="18"/>
      <c r="M41" s="18"/>
      <c r="N41" s="18"/>
      <c r="O41" s="18" t="s">
        <v>151</v>
      </c>
      <c r="P41" s="18" t="s">
        <v>48</v>
      </c>
      <c r="Q41" s="10">
        <f t="shared" si="1"/>
        <v>1</v>
      </c>
    </row>
    <row r="42">
      <c r="A42" s="18" t="s">
        <v>165</v>
      </c>
      <c r="B42" s="18" t="s">
        <v>44</v>
      </c>
      <c r="C42" s="18" t="s">
        <v>151</v>
      </c>
      <c r="D42" s="18" t="s">
        <v>166</v>
      </c>
      <c r="E42" s="18" t="s">
        <v>167</v>
      </c>
      <c r="F42" s="18" t="s">
        <v>128</v>
      </c>
      <c r="G42" s="18">
        <v>24.71</v>
      </c>
      <c r="H42" s="18" t="s">
        <v>168</v>
      </c>
      <c r="I42" s="19">
        <v>4750.0</v>
      </c>
      <c r="J42" s="19">
        <v>5700.0</v>
      </c>
      <c r="K42" s="19">
        <v>5700.0</v>
      </c>
      <c r="L42" s="18"/>
      <c r="M42" s="18"/>
      <c r="N42" s="18"/>
      <c r="O42" s="18" t="s">
        <v>117</v>
      </c>
      <c r="P42" s="18"/>
      <c r="Q42" s="10">
        <f t="shared" si="1"/>
        <v>1</v>
      </c>
    </row>
    <row r="43">
      <c r="A43" s="18" t="s">
        <v>138</v>
      </c>
      <c r="B43" s="18" t="s">
        <v>44</v>
      </c>
      <c r="C43" s="18" t="s">
        <v>64</v>
      </c>
      <c r="D43" s="18" t="s">
        <v>169</v>
      </c>
      <c r="E43" s="18" t="s">
        <v>170</v>
      </c>
      <c r="F43" s="18" t="s">
        <v>128</v>
      </c>
      <c r="G43" s="18">
        <v>19.55</v>
      </c>
      <c r="H43" s="18" t="s">
        <v>120</v>
      </c>
      <c r="I43" s="19">
        <v>3944.0</v>
      </c>
      <c r="J43" s="19">
        <v>5750.0</v>
      </c>
      <c r="K43" s="19">
        <v>4750.0</v>
      </c>
      <c r="O43" s="18" t="s">
        <v>57</v>
      </c>
      <c r="P43" s="18" t="s">
        <v>144</v>
      </c>
      <c r="Q43" s="10">
        <f t="shared" si="1"/>
        <v>1</v>
      </c>
    </row>
    <row r="44">
      <c r="A44" s="18" t="s">
        <v>171</v>
      </c>
      <c r="B44" s="18" t="s">
        <v>44</v>
      </c>
      <c r="C44" s="18" t="s">
        <v>53</v>
      </c>
      <c r="D44" s="18" t="s">
        <v>172</v>
      </c>
      <c r="E44" s="18" t="s">
        <v>173</v>
      </c>
      <c r="F44" s="18" t="s">
        <v>128</v>
      </c>
      <c r="G44" s="18">
        <v>15.43</v>
      </c>
      <c r="H44" s="18" t="s">
        <v>56</v>
      </c>
      <c r="I44" s="19">
        <v>4250.0</v>
      </c>
      <c r="J44" s="19">
        <v>4900.0</v>
      </c>
      <c r="K44" s="19">
        <v>5100.0</v>
      </c>
      <c r="O44" s="18" t="s">
        <v>117</v>
      </c>
      <c r="P44" s="18"/>
      <c r="Q44" s="10">
        <f t="shared" si="1"/>
        <v>1</v>
      </c>
    </row>
    <row r="45">
      <c r="A45" s="18" t="s">
        <v>171</v>
      </c>
      <c r="B45" s="18" t="s">
        <v>44</v>
      </c>
      <c r="C45" s="18" t="s">
        <v>53</v>
      </c>
      <c r="D45" s="18" t="s">
        <v>174</v>
      </c>
      <c r="E45" s="18" t="s">
        <v>175</v>
      </c>
      <c r="F45" s="18" t="s">
        <v>128</v>
      </c>
      <c r="G45" s="18">
        <v>15.67</v>
      </c>
      <c r="H45" s="18" t="s">
        <v>56</v>
      </c>
      <c r="I45" s="19">
        <v>4250.0</v>
      </c>
      <c r="J45" s="19">
        <v>4900.0</v>
      </c>
      <c r="K45" s="19">
        <v>5100.0</v>
      </c>
      <c r="O45" s="18" t="s">
        <v>117</v>
      </c>
      <c r="P45" s="18"/>
      <c r="Q45" s="10">
        <f t="shared" si="1"/>
        <v>1</v>
      </c>
    </row>
    <row r="46">
      <c r="A46" s="18" t="s">
        <v>171</v>
      </c>
      <c r="B46" s="18" t="s">
        <v>44</v>
      </c>
      <c r="C46" s="18" t="s">
        <v>64</v>
      </c>
      <c r="D46" s="18" t="s">
        <v>176</v>
      </c>
      <c r="E46" s="18" t="s">
        <v>177</v>
      </c>
      <c r="F46" s="18" t="s">
        <v>128</v>
      </c>
      <c r="G46" s="18">
        <v>18.31</v>
      </c>
      <c r="H46" s="18" t="s">
        <v>120</v>
      </c>
      <c r="I46" s="19">
        <v>4990.0</v>
      </c>
      <c r="J46" s="19">
        <v>5750.0</v>
      </c>
      <c r="K46" s="19">
        <v>6000.0</v>
      </c>
      <c r="O46" s="18" t="s">
        <v>41</v>
      </c>
      <c r="P46" s="18"/>
      <c r="Q46" s="10">
        <f t="shared" si="1"/>
        <v>1</v>
      </c>
    </row>
    <row r="47">
      <c r="A47" s="18" t="s">
        <v>154</v>
      </c>
      <c r="B47" s="18" t="s">
        <v>44</v>
      </c>
      <c r="C47" s="18" t="s">
        <v>53</v>
      </c>
      <c r="D47" s="18" t="s">
        <v>178</v>
      </c>
      <c r="E47" s="18" t="s">
        <v>179</v>
      </c>
      <c r="F47" s="18" t="s">
        <v>128</v>
      </c>
      <c r="G47" s="18">
        <v>16.0</v>
      </c>
      <c r="H47" s="18" t="s">
        <v>56</v>
      </c>
      <c r="I47" s="19">
        <v>4799.0</v>
      </c>
      <c r="J47" s="19">
        <v>6750.0</v>
      </c>
      <c r="K47" s="19">
        <v>5800.0</v>
      </c>
      <c r="O47" s="18" t="s">
        <v>151</v>
      </c>
      <c r="P47" s="18" t="s">
        <v>157</v>
      </c>
      <c r="Q47" s="10">
        <f t="shared" si="1"/>
        <v>1</v>
      </c>
    </row>
    <row r="48">
      <c r="A48" s="18" t="s">
        <v>154</v>
      </c>
      <c r="B48" s="18" t="s">
        <v>44</v>
      </c>
      <c r="C48" s="18" t="s">
        <v>180</v>
      </c>
      <c r="D48" s="18" t="s">
        <v>181</v>
      </c>
      <c r="E48" s="18" t="s">
        <v>182</v>
      </c>
      <c r="F48" s="18" t="s">
        <v>128</v>
      </c>
      <c r="G48" s="18">
        <v>22.0</v>
      </c>
      <c r="H48" s="18" t="s">
        <v>56</v>
      </c>
      <c r="I48" s="19">
        <v>6090.0</v>
      </c>
      <c r="J48" s="19">
        <v>8550.0</v>
      </c>
      <c r="K48" s="19">
        <v>7350.0</v>
      </c>
      <c r="O48" s="18" t="s">
        <v>151</v>
      </c>
      <c r="P48" s="18" t="s">
        <v>157</v>
      </c>
      <c r="Q48" s="10">
        <f t="shared" si="1"/>
        <v>1</v>
      </c>
    </row>
    <row r="49">
      <c r="A49" s="18" t="s">
        <v>154</v>
      </c>
      <c r="B49" s="18" t="s">
        <v>44</v>
      </c>
      <c r="C49" s="18" t="s">
        <v>180</v>
      </c>
      <c r="D49" s="18" t="s">
        <v>183</v>
      </c>
      <c r="E49" s="18" t="s">
        <v>184</v>
      </c>
      <c r="F49" s="18" t="s">
        <v>128</v>
      </c>
      <c r="G49" s="18">
        <v>22.0</v>
      </c>
      <c r="H49" s="18" t="s">
        <v>56</v>
      </c>
      <c r="I49" s="19">
        <v>6090.0</v>
      </c>
      <c r="J49" s="19">
        <v>8550.0</v>
      </c>
      <c r="K49" s="19">
        <v>7350.0</v>
      </c>
      <c r="L49" s="18"/>
      <c r="M49" s="18"/>
      <c r="N49" s="18"/>
      <c r="O49" s="18" t="s">
        <v>151</v>
      </c>
      <c r="P49" s="18" t="s">
        <v>157</v>
      </c>
      <c r="Q49" s="10">
        <f t="shared" si="1"/>
        <v>1</v>
      </c>
    </row>
    <row r="50">
      <c r="A50" s="18" t="s">
        <v>154</v>
      </c>
      <c r="B50" s="18" t="s">
        <v>44</v>
      </c>
      <c r="C50" s="18" t="s">
        <v>64</v>
      </c>
      <c r="D50" s="18" t="s">
        <v>185</v>
      </c>
      <c r="E50" s="18" t="s">
        <v>186</v>
      </c>
      <c r="F50" s="18" t="s">
        <v>128</v>
      </c>
      <c r="G50" s="18">
        <v>17.0</v>
      </c>
      <c r="H50" s="18" t="s">
        <v>56</v>
      </c>
      <c r="I50" s="19">
        <v>5731.0</v>
      </c>
      <c r="J50" s="19">
        <v>8050.0</v>
      </c>
      <c r="K50" s="19">
        <v>6900.0</v>
      </c>
      <c r="L50" s="18"/>
      <c r="M50" s="18"/>
      <c r="N50" s="18"/>
      <c r="O50" s="18" t="s">
        <v>151</v>
      </c>
      <c r="P50" s="18" t="s">
        <v>157</v>
      </c>
      <c r="Q50" s="10">
        <f t="shared" si="1"/>
        <v>1</v>
      </c>
    </row>
    <row r="51">
      <c r="A51" s="18" t="s">
        <v>154</v>
      </c>
      <c r="B51" s="18" t="s">
        <v>45</v>
      </c>
      <c r="C51" s="18" t="s">
        <v>45</v>
      </c>
      <c r="D51" s="18" t="s">
        <v>187</v>
      </c>
      <c r="E51" s="18" t="s">
        <v>188</v>
      </c>
      <c r="F51" s="18" t="s">
        <v>128</v>
      </c>
      <c r="G51" s="18">
        <v>11.0</v>
      </c>
      <c r="H51" s="18" t="s">
        <v>45</v>
      </c>
      <c r="I51" s="19">
        <v>3580.0</v>
      </c>
      <c r="J51" s="19">
        <v>5050.0</v>
      </c>
      <c r="K51" s="19">
        <v>4350.0</v>
      </c>
      <c r="L51" s="18"/>
      <c r="M51" s="18"/>
      <c r="N51" s="18"/>
      <c r="O51" s="18" t="s">
        <v>151</v>
      </c>
      <c r="P51" s="18" t="s">
        <v>157</v>
      </c>
      <c r="Q51" s="10">
        <f t="shared" si="1"/>
        <v>1</v>
      </c>
    </row>
    <row r="52">
      <c r="A52" s="18" t="s">
        <v>43</v>
      </c>
      <c r="B52" s="18" t="s">
        <v>44</v>
      </c>
      <c r="C52" s="18" t="s">
        <v>133</v>
      </c>
      <c r="D52" s="18" t="s">
        <v>189</v>
      </c>
      <c r="E52" s="18" t="s">
        <v>190</v>
      </c>
      <c r="F52" s="18" t="s">
        <v>128</v>
      </c>
      <c r="G52" s="18">
        <v>14.04</v>
      </c>
      <c r="H52" s="18" t="s">
        <v>56</v>
      </c>
      <c r="I52" s="19">
        <v>6000.0</v>
      </c>
      <c r="J52" s="19">
        <v>7200.0</v>
      </c>
      <c r="K52" s="19"/>
      <c r="L52" s="18"/>
      <c r="M52" s="18"/>
      <c r="N52" s="18"/>
      <c r="O52" s="18" t="s">
        <v>41</v>
      </c>
      <c r="P52" s="18" t="s">
        <v>48</v>
      </c>
      <c r="Q52" s="10">
        <f t="shared" si="1"/>
        <v>1</v>
      </c>
    </row>
    <row r="53">
      <c r="A53" s="18" t="s">
        <v>191</v>
      </c>
      <c r="B53" s="18" t="s">
        <v>45</v>
      </c>
      <c r="C53" s="18" t="s">
        <v>45</v>
      </c>
      <c r="D53" s="18" t="s">
        <v>192</v>
      </c>
      <c r="E53" s="18" t="s">
        <v>193</v>
      </c>
      <c r="F53" s="18" t="s">
        <v>128</v>
      </c>
      <c r="G53" s="18">
        <v>12.04</v>
      </c>
      <c r="H53" s="18" t="s">
        <v>45</v>
      </c>
      <c r="I53" s="19">
        <v>3900.0</v>
      </c>
      <c r="J53" s="19">
        <v>5100.0</v>
      </c>
      <c r="K53" s="19"/>
      <c r="L53" s="18"/>
      <c r="M53" s="18"/>
      <c r="N53" s="18"/>
      <c r="O53" s="18" t="s">
        <v>57</v>
      </c>
      <c r="P53" s="18" t="s">
        <v>48</v>
      </c>
      <c r="Q53" s="10">
        <f t="shared" si="1"/>
        <v>1</v>
      </c>
    </row>
    <row r="54">
      <c r="A54" s="18" t="s">
        <v>191</v>
      </c>
      <c r="B54" s="18" t="s">
        <v>44</v>
      </c>
      <c r="C54" s="18" t="s">
        <v>64</v>
      </c>
      <c r="D54" s="18" t="s">
        <v>194</v>
      </c>
      <c r="E54" s="18" t="s">
        <v>195</v>
      </c>
      <c r="F54" s="18" t="s">
        <v>128</v>
      </c>
      <c r="G54" s="18">
        <v>18.84</v>
      </c>
      <c r="H54" s="18" t="s">
        <v>120</v>
      </c>
      <c r="I54" s="19">
        <v>6200.0</v>
      </c>
      <c r="J54" s="19">
        <v>8100.0</v>
      </c>
      <c r="K54" s="19"/>
      <c r="L54" s="18"/>
      <c r="M54" s="18"/>
      <c r="N54" s="18"/>
      <c r="O54" s="18" t="s">
        <v>57</v>
      </c>
      <c r="P54" s="18" t="s">
        <v>48</v>
      </c>
      <c r="Q54" s="10">
        <f t="shared" si="1"/>
        <v>1</v>
      </c>
    </row>
    <row r="55">
      <c r="A55" s="18" t="s">
        <v>112</v>
      </c>
      <c r="B55" s="18" t="s">
        <v>45</v>
      </c>
      <c r="C55" s="18" t="s">
        <v>45</v>
      </c>
      <c r="D55" s="18" t="s">
        <v>196</v>
      </c>
      <c r="E55" s="18" t="s">
        <v>197</v>
      </c>
      <c r="F55" s="18" t="s">
        <v>128</v>
      </c>
      <c r="G55" s="18">
        <v>10.4</v>
      </c>
      <c r="H55" s="18" t="s">
        <v>45</v>
      </c>
      <c r="I55" s="19">
        <v>3257.0</v>
      </c>
      <c r="J55" s="19">
        <v>4600.0</v>
      </c>
      <c r="K55" s="19">
        <v>4000.0</v>
      </c>
      <c r="O55" s="18" t="s">
        <v>198</v>
      </c>
      <c r="P55" s="18" t="s">
        <v>42</v>
      </c>
      <c r="Q55" s="10">
        <f t="shared" si="1"/>
        <v>1</v>
      </c>
    </row>
    <row r="56">
      <c r="A56" s="18" t="s">
        <v>112</v>
      </c>
      <c r="B56" s="18" t="s">
        <v>45</v>
      </c>
      <c r="C56" s="18" t="s">
        <v>45</v>
      </c>
      <c r="D56" s="18" t="s">
        <v>199</v>
      </c>
      <c r="E56" s="18" t="s">
        <v>200</v>
      </c>
      <c r="F56" s="18" t="s">
        <v>128</v>
      </c>
      <c r="G56" s="18">
        <v>10.6</v>
      </c>
      <c r="H56" s="18" t="s">
        <v>45</v>
      </c>
      <c r="I56" s="19">
        <v>3257.0</v>
      </c>
      <c r="J56" s="19">
        <v>4600.0</v>
      </c>
      <c r="K56" s="19">
        <v>4000.0</v>
      </c>
      <c r="L56" s="18"/>
      <c r="M56" s="18"/>
      <c r="N56" s="18"/>
      <c r="O56" s="18" t="s">
        <v>117</v>
      </c>
      <c r="P56" s="18" t="s">
        <v>42</v>
      </c>
      <c r="Q56" s="10">
        <f t="shared" si="1"/>
        <v>1</v>
      </c>
    </row>
    <row r="57">
      <c r="A57" s="18" t="s">
        <v>201</v>
      </c>
      <c r="B57" s="18" t="s">
        <v>44</v>
      </c>
      <c r="C57" s="18" t="s">
        <v>53</v>
      </c>
      <c r="D57" s="18" t="s">
        <v>202</v>
      </c>
      <c r="E57" s="18" t="s">
        <v>203</v>
      </c>
      <c r="F57" s="18" t="s">
        <v>128</v>
      </c>
      <c r="G57" s="18">
        <v>15.44</v>
      </c>
      <c r="H57" s="18" t="s">
        <v>56</v>
      </c>
      <c r="I57" s="19">
        <v>3150.0</v>
      </c>
      <c r="J57" s="19">
        <v>3800.0</v>
      </c>
      <c r="K57" s="19">
        <v>3700.0</v>
      </c>
      <c r="L57" s="18"/>
      <c r="M57" s="18"/>
      <c r="N57" s="18"/>
      <c r="O57" s="18" t="s">
        <v>57</v>
      </c>
      <c r="P57" s="18"/>
      <c r="Q57" s="10">
        <f t="shared" si="1"/>
        <v>1</v>
      </c>
    </row>
    <row r="58">
      <c r="A58" s="18" t="s">
        <v>201</v>
      </c>
      <c r="B58" s="18" t="s">
        <v>44</v>
      </c>
      <c r="C58" s="18" t="s">
        <v>180</v>
      </c>
      <c r="D58" s="18" t="s">
        <v>204</v>
      </c>
      <c r="E58" s="18" t="s">
        <v>205</v>
      </c>
      <c r="F58" s="18" t="s">
        <v>128</v>
      </c>
      <c r="G58" s="18">
        <v>22.69</v>
      </c>
      <c r="H58" s="18" t="s">
        <v>168</v>
      </c>
      <c r="I58" s="19">
        <v>4150.0</v>
      </c>
      <c r="J58" s="19">
        <v>5000.0</v>
      </c>
      <c r="K58" s="19">
        <v>4800.0</v>
      </c>
      <c r="L58" s="18"/>
      <c r="M58" s="18"/>
      <c r="N58" s="18"/>
      <c r="O58" s="18" t="s">
        <v>41</v>
      </c>
      <c r="P58" s="18"/>
      <c r="Q58" s="10">
        <f t="shared" si="1"/>
        <v>1</v>
      </c>
    </row>
    <row r="59">
      <c r="A59" s="18" t="s">
        <v>201</v>
      </c>
      <c r="B59" s="18" t="s">
        <v>45</v>
      </c>
      <c r="C59" s="18" t="s">
        <v>45</v>
      </c>
      <c r="D59" s="18" t="s">
        <v>206</v>
      </c>
      <c r="E59" s="18" t="s">
        <v>207</v>
      </c>
      <c r="F59" s="18" t="s">
        <v>128</v>
      </c>
      <c r="G59" s="18">
        <v>10.13</v>
      </c>
      <c r="H59" s="18" t="s">
        <v>45</v>
      </c>
      <c r="I59" s="19">
        <v>1900.0</v>
      </c>
      <c r="J59" s="19">
        <v>2300.0</v>
      </c>
      <c r="K59" s="19">
        <v>2300.0</v>
      </c>
      <c r="L59" s="18"/>
      <c r="M59" s="18"/>
      <c r="N59" s="18"/>
      <c r="O59" s="18" t="s">
        <v>57</v>
      </c>
      <c r="P59" s="18"/>
      <c r="Q59" s="10">
        <f t="shared" si="1"/>
        <v>1</v>
      </c>
    </row>
    <row r="60">
      <c r="A60" s="18" t="s">
        <v>201</v>
      </c>
      <c r="B60" s="18" t="s">
        <v>44</v>
      </c>
      <c r="C60" s="18" t="s">
        <v>64</v>
      </c>
      <c r="D60" s="18" t="s">
        <v>208</v>
      </c>
      <c r="E60" s="18" t="s">
        <v>209</v>
      </c>
      <c r="F60" s="18" t="s">
        <v>128</v>
      </c>
      <c r="G60" s="18">
        <v>18.46</v>
      </c>
      <c r="H60" s="18" t="s">
        <v>120</v>
      </c>
      <c r="I60" s="19">
        <v>3500.0</v>
      </c>
      <c r="J60" s="19">
        <v>4200.0</v>
      </c>
      <c r="K60" s="19">
        <v>4100.0</v>
      </c>
      <c r="L60" s="18"/>
      <c r="M60" s="18"/>
      <c r="N60" s="18"/>
      <c r="O60" s="18" t="s">
        <v>41</v>
      </c>
      <c r="P60" s="18"/>
      <c r="Q60" s="10">
        <f t="shared" si="1"/>
        <v>1</v>
      </c>
    </row>
    <row r="61">
      <c r="A61" s="18" t="s">
        <v>210</v>
      </c>
      <c r="B61" s="18" t="s">
        <v>44</v>
      </c>
      <c r="C61" s="18" t="s">
        <v>64</v>
      </c>
      <c r="D61" s="18" t="s">
        <v>211</v>
      </c>
      <c r="E61" s="18" t="s">
        <v>212</v>
      </c>
      <c r="F61" s="18" t="s">
        <v>128</v>
      </c>
      <c r="G61" s="18">
        <v>18.15</v>
      </c>
      <c r="H61" s="18" t="s">
        <v>120</v>
      </c>
      <c r="I61" s="19">
        <v>6250.0</v>
      </c>
      <c r="J61" s="19">
        <v>8150.0</v>
      </c>
      <c r="K61" s="19">
        <v>7500.0</v>
      </c>
      <c r="L61" s="18"/>
      <c r="M61" s="18"/>
      <c r="N61" s="18"/>
      <c r="O61" s="18" t="s">
        <v>213</v>
      </c>
      <c r="P61" s="18" t="s">
        <v>63</v>
      </c>
      <c r="Q61" s="10">
        <f t="shared" si="1"/>
        <v>1</v>
      </c>
    </row>
    <row r="62">
      <c r="A62" s="18" t="s">
        <v>165</v>
      </c>
      <c r="B62" s="18" t="s">
        <v>44</v>
      </c>
      <c r="C62" s="18" t="s">
        <v>53</v>
      </c>
      <c r="D62" s="18" t="s">
        <v>214</v>
      </c>
      <c r="E62" s="18" t="s">
        <v>215</v>
      </c>
      <c r="F62" s="18" t="s">
        <v>128</v>
      </c>
      <c r="G62" s="18">
        <v>16.38</v>
      </c>
      <c r="H62" s="18" t="s">
        <v>56</v>
      </c>
      <c r="I62" s="19">
        <v>3563.0</v>
      </c>
      <c r="J62" s="19">
        <v>4300.0</v>
      </c>
      <c r="K62" s="19">
        <v>4450.0</v>
      </c>
      <c r="L62" s="18"/>
      <c r="M62" s="18"/>
      <c r="N62" s="18"/>
      <c r="O62" s="18" t="s">
        <v>117</v>
      </c>
      <c r="P62" s="18"/>
      <c r="Q62" s="10">
        <f t="shared" si="1"/>
        <v>1</v>
      </c>
    </row>
    <row r="63">
      <c r="A63" s="18" t="s">
        <v>216</v>
      </c>
      <c r="B63" s="18" t="s">
        <v>44</v>
      </c>
      <c r="C63" s="18" t="s">
        <v>53</v>
      </c>
      <c r="D63" s="18" t="s">
        <v>217</v>
      </c>
      <c r="E63" s="18" t="s">
        <v>218</v>
      </c>
      <c r="F63" s="18" t="s">
        <v>128</v>
      </c>
      <c r="G63" s="18">
        <v>15.6</v>
      </c>
      <c r="H63" s="18" t="s">
        <v>120</v>
      </c>
      <c r="I63" s="19">
        <v>5494.0</v>
      </c>
      <c r="J63" s="19">
        <v>7700.0</v>
      </c>
      <c r="K63" s="19">
        <v>6600.0</v>
      </c>
      <c r="L63" s="18"/>
      <c r="M63" s="18"/>
      <c r="N63" s="18"/>
      <c r="O63" s="18" t="s">
        <v>57</v>
      </c>
      <c r="P63" s="18" t="s">
        <v>42</v>
      </c>
      <c r="Q63" s="10">
        <f t="shared" si="1"/>
        <v>1</v>
      </c>
    </row>
    <row r="64">
      <c r="A64" s="18" t="s">
        <v>216</v>
      </c>
      <c r="B64" s="18" t="s">
        <v>44</v>
      </c>
      <c r="C64" s="18" t="s">
        <v>113</v>
      </c>
      <c r="D64" s="18" t="s">
        <v>219</v>
      </c>
      <c r="E64" s="18" t="s">
        <v>220</v>
      </c>
      <c r="F64" s="18" t="s">
        <v>128</v>
      </c>
      <c r="G64" s="18">
        <v>10.22</v>
      </c>
      <c r="H64" s="18" t="s">
        <v>116</v>
      </c>
      <c r="I64" s="19">
        <v>4173.0</v>
      </c>
      <c r="J64" s="19">
        <v>5850.0</v>
      </c>
      <c r="K64" s="19">
        <v>5050.0</v>
      </c>
      <c r="L64" s="18"/>
      <c r="M64" s="18"/>
      <c r="N64" s="18"/>
      <c r="O64" s="18" t="s">
        <v>41</v>
      </c>
      <c r="P64" s="18" t="s">
        <v>42</v>
      </c>
      <c r="Q64" s="10">
        <f t="shared" si="1"/>
        <v>1</v>
      </c>
    </row>
    <row r="65">
      <c r="A65" s="18" t="s">
        <v>216</v>
      </c>
      <c r="B65" s="18" t="s">
        <v>44</v>
      </c>
      <c r="C65" s="18" t="s">
        <v>133</v>
      </c>
      <c r="D65" s="18" t="s">
        <v>221</v>
      </c>
      <c r="E65" s="18" t="s">
        <v>222</v>
      </c>
      <c r="F65" s="18" t="s">
        <v>128</v>
      </c>
      <c r="G65" s="18">
        <v>11.75</v>
      </c>
      <c r="H65" s="18" t="s">
        <v>56</v>
      </c>
      <c r="I65" s="19">
        <v>4684.0</v>
      </c>
      <c r="J65" s="19">
        <v>6600.0</v>
      </c>
      <c r="K65" s="19">
        <v>5650.0</v>
      </c>
      <c r="L65" s="18"/>
      <c r="M65" s="18"/>
      <c r="N65" s="18"/>
      <c r="O65" s="18" t="s">
        <v>41</v>
      </c>
      <c r="P65" s="18" t="s">
        <v>42</v>
      </c>
      <c r="Q65" s="10">
        <f t="shared" si="1"/>
        <v>1</v>
      </c>
    </row>
    <row r="66">
      <c r="A66" s="18" t="s">
        <v>35</v>
      </c>
      <c r="B66" s="18" t="s">
        <v>44</v>
      </c>
      <c r="C66" s="18" t="s">
        <v>53</v>
      </c>
      <c r="D66" s="18" t="s">
        <v>223</v>
      </c>
      <c r="E66" s="18" t="s">
        <v>224</v>
      </c>
      <c r="F66" s="18" t="s">
        <v>128</v>
      </c>
      <c r="G66" s="18">
        <v>18.68</v>
      </c>
      <c r="H66" s="18" t="s">
        <v>120</v>
      </c>
      <c r="I66" s="19">
        <v>6230.0</v>
      </c>
      <c r="J66" s="19">
        <v>8450.0</v>
      </c>
      <c r="K66" s="19">
        <v>7500.0</v>
      </c>
      <c r="L66" s="18"/>
      <c r="M66" s="18"/>
      <c r="N66" s="18"/>
      <c r="O66" s="18" t="s">
        <v>57</v>
      </c>
      <c r="P66" s="18" t="s">
        <v>42</v>
      </c>
      <c r="Q66" s="10">
        <f t="shared" si="1"/>
        <v>1</v>
      </c>
    </row>
    <row r="67">
      <c r="A67" s="18" t="s">
        <v>225</v>
      </c>
      <c r="B67" s="18" t="s">
        <v>44</v>
      </c>
      <c r="C67" s="18" t="s">
        <v>133</v>
      </c>
      <c r="D67" s="18" t="s">
        <v>226</v>
      </c>
      <c r="E67" s="18" t="s">
        <v>227</v>
      </c>
      <c r="F67" s="18" t="s">
        <v>228</v>
      </c>
      <c r="G67" s="18">
        <v>13.5</v>
      </c>
      <c r="H67" s="18" t="s">
        <v>56</v>
      </c>
      <c r="I67" s="19">
        <v>4150.0</v>
      </c>
      <c r="J67" s="19">
        <v>5400.0</v>
      </c>
      <c r="K67" s="19">
        <v>4800.0</v>
      </c>
      <c r="L67" s="18" t="s">
        <v>229</v>
      </c>
      <c r="M67" s="18" t="s">
        <v>230</v>
      </c>
      <c r="N67" s="18" t="s">
        <v>231</v>
      </c>
      <c r="O67" s="18" t="s">
        <v>41</v>
      </c>
      <c r="P67" s="18" t="s">
        <v>162</v>
      </c>
      <c r="Q67" s="10">
        <f t="shared" si="1"/>
        <v>1</v>
      </c>
    </row>
    <row r="68">
      <c r="A68" s="18" t="s">
        <v>225</v>
      </c>
      <c r="B68" s="18" t="s">
        <v>44</v>
      </c>
      <c r="C68" s="18" t="s">
        <v>133</v>
      </c>
      <c r="D68" s="18" t="s">
        <v>232</v>
      </c>
      <c r="E68" s="18" t="s">
        <v>233</v>
      </c>
      <c r="F68" s="18" t="s">
        <v>228</v>
      </c>
      <c r="G68" s="18">
        <v>14.0</v>
      </c>
      <c r="H68" s="18" t="s">
        <v>56</v>
      </c>
      <c r="I68" s="19">
        <v>4650.0</v>
      </c>
      <c r="J68" s="19">
        <v>6050.0</v>
      </c>
      <c r="K68" s="19">
        <v>5400.0</v>
      </c>
      <c r="L68" s="18" t="s">
        <v>234</v>
      </c>
      <c r="M68" s="18" t="s">
        <v>235</v>
      </c>
      <c r="N68" s="18" t="s">
        <v>231</v>
      </c>
      <c r="O68" s="18" t="s">
        <v>41</v>
      </c>
      <c r="P68" s="18" t="s">
        <v>162</v>
      </c>
      <c r="Q68" s="10">
        <f t="shared" si="1"/>
        <v>1</v>
      </c>
    </row>
    <row r="69">
      <c r="A69" s="18" t="s">
        <v>148</v>
      </c>
      <c r="B69" s="18" t="s">
        <v>44</v>
      </c>
      <c r="C69" s="18" t="s">
        <v>180</v>
      </c>
      <c r="D69" s="18" t="s">
        <v>236</v>
      </c>
      <c r="E69" s="18" t="s">
        <v>237</v>
      </c>
      <c r="F69" s="18" t="s">
        <v>228</v>
      </c>
      <c r="G69" s="18">
        <v>22.2</v>
      </c>
      <c r="H69" s="18" t="s">
        <v>56</v>
      </c>
      <c r="I69" s="19">
        <v>8349.0</v>
      </c>
      <c r="J69" s="19">
        <v>8350.0</v>
      </c>
      <c r="K69" s="19">
        <v>10050.0</v>
      </c>
      <c r="L69" s="18" t="s">
        <v>238</v>
      </c>
      <c r="M69" s="18" t="s">
        <v>239</v>
      </c>
      <c r="N69" s="18" t="s">
        <v>240</v>
      </c>
      <c r="O69" s="18" t="s">
        <v>151</v>
      </c>
      <c r="P69" s="18" t="s">
        <v>48</v>
      </c>
      <c r="Q69" s="10">
        <f t="shared" si="1"/>
        <v>1</v>
      </c>
    </row>
    <row r="70">
      <c r="A70" s="18" t="s">
        <v>225</v>
      </c>
      <c r="B70" s="18" t="s">
        <v>45</v>
      </c>
      <c r="C70" s="18" t="s">
        <v>45</v>
      </c>
      <c r="D70" s="18" t="s">
        <v>241</v>
      </c>
      <c r="E70" s="18" t="s">
        <v>242</v>
      </c>
      <c r="F70" s="18" t="s">
        <v>228</v>
      </c>
      <c r="G70" s="18">
        <v>9.0</v>
      </c>
      <c r="H70" s="18" t="s">
        <v>45</v>
      </c>
      <c r="I70" s="19">
        <v>3100.0</v>
      </c>
      <c r="J70" s="19">
        <v>4050.0</v>
      </c>
      <c r="K70" s="19">
        <v>3600.0</v>
      </c>
      <c r="L70" s="18" t="s">
        <v>243</v>
      </c>
      <c r="M70" s="18" t="s">
        <v>244</v>
      </c>
      <c r="N70" s="18" t="s">
        <v>245</v>
      </c>
      <c r="O70" s="18" t="s">
        <v>161</v>
      </c>
      <c r="P70" s="18" t="s">
        <v>162</v>
      </c>
      <c r="Q70" s="10">
        <f t="shared" si="1"/>
        <v>1</v>
      </c>
    </row>
    <row r="71">
      <c r="A71" s="18" t="s">
        <v>112</v>
      </c>
      <c r="B71" s="18" t="s">
        <v>45</v>
      </c>
      <c r="C71" s="18" t="s">
        <v>45</v>
      </c>
      <c r="D71" s="18" t="s">
        <v>246</v>
      </c>
      <c r="E71" s="18" t="s">
        <v>247</v>
      </c>
      <c r="F71" s="18" t="s">
        <v>228</v>
      </c>
      <c r="G71" s="18">
        <v>10.3</v>
      </c>
      <c r="H71" s="18" t="s">
        <v>45</v>
      </c>
      <c r="I71" s="19">
        <v>3257.0</v>
      </c>
      <c r="J71" s="19">
        <v>4600.0</v>
      </c>
      <c r="K71" s="19">
        <v>4000.0</v>
      </c>
      <c r="L71" s="18" t="s">
        <v>248</v>
      </c>
      <c r="M71" s="18" t="s">
        <v>249</v>
      </c>
      <c r="N71" s="18" t="s">
        <v>250</v>
      </c>
      <c r="O71" s="18" t="s">
        <v>198</v>
      </c>
      <c r="P71" s="18" t="s">
        <v>42</v>
      </c>
      <c r="Q71" s="10">
        <f t="shared" si="1"/>
        <v>1</v>
      </c>
    </row>
    <row r="72">
      <c r="A72" s="18" t="s">
        <v>138</v>
      </c>
      <c r="B72" s="18" t="s">
        <v>45</v>
      </c>
      <c r="C72" s="18" t="s">
        <v>45</v>
      </c>
      <c r="D72" s="18" t="s">
        <v>251</v>
      </c>
      <c r="E72" s="18" t="s">
        <v>252</v>
      </c>
      <c r="F72" s="18" t="s">
        <v>228</v>
      </c>
      <c r="G72" s="18">
        <v>9.3</v>
      </c>
      <c r="H72" s="18" t="s">
        <v>45</v>
      </c>
      <c r="I72" s="19">
        <v>1652.0</v>
      </c>
      <c r="J72" s="19">
        <v>2400.0</v>
      </c>
      <c r="K72" s="19">
        <v>2050.0</v>
      </c>
      <c r="L72" s="18" t="s">
        <v>253</v>
      </c>
      <c r="M72" s="18" t="s">
        <v>254</v>
      </c>
      <c r="N72" s="18" t="s">
        <v>143</v>
      </c>
      <c r="O72" s="18" t="s">
        <v>41</v>
      </c>
      <c r="P72" s="18" t="s">
        <v>144</v>
      </c>
      <c r="Q72" s="10">
        <f t="shared" si="1"/>
        <v>1</v>
      </c>
    </row>
    <row r="73">
      <c r="A73" s="18" t="s">
        <v>225</v>
      </c>
      <c r="B73" s="18" t="s">
        <v>44</v>
      </c>
      <c r="C73" s="18" t="s">
        <v>53</v>
      </c>
      <c r="D73" s="18" t="s">
        <v>255</v>
      </c>
      <c r="E73" s="18" t="s">
        <v>256</v>
      </c>
      <c r="F73" s="18" t="s">
        <v>228</v>
      </c>
      <c r="G73" s="18">
        <v>16.2</v>
      </c>
      <c r="H73" s="18" t="s">
        <v>120</v>
      </c>
      <c r="I73" s="19">
        <v>5700.0</v>
      </c>
      <c r="J73" s="19">
        <v>7450.0</v>
      </c>
      <c r="K73" s="19">
        <v>6600.0</v>
      </c>
      <c r="L73" s="18" t="s">
        <v>257</v>
      </c>
      <c r="M73" s="18" t="s">
        <v>239</v>
      </c>
      <c r="N73" s="18" t="s">
        <v>240</v>
      </c>
      <c r="O73" s="18" t="s">
        <v>41</v>
      </c>
      <c r="P73" s="18" t="s">
        <v>162</v>
      </c>
      <c r="Q73" s="10">
        <f t="shared" si="1"/>
        <v>1</v>
      </c>
    </row>
    <row r="74">
      <c r="A74" s="18" t="s">
        <v>145</v>
      </c>
      <c r="B74" s="18" t="s">
        <v>44</v>
      </c>
      <c r="C74" s="18" t="s">
        <v>53</v>
      </c>
      <c r="D74" s="18" t="s">
        <v>258</v>
      </c>
      <c r="E74" s="18" t="s">
        <v>259</v>
      </c>
      <c r="F74" s="18" t="s">
        <v>228</v>
      </c>
      <c r="G74" s="18">
        <v>16.4</v>
      </c>
      <c r="H74" s="18" t="s">
        <v>56</v>
      </c>
      <c r="I74" s="19">
        <v>8592.0</v>
      </c>
      <c r="J74" s="19">
        <v>9500.0</v>
      </c>
      <c r="K74" s="19">
        <v>10350.0</v>
      </c>
      <c r="L74" s="18" t="s">
        <v>260</v>
      </c>
      <c r="M74" s="18" t="s">
        <v>261</v>
      </c>
      <c r="N74" s="18" t="s">
        <v>245</v>
      </c>
      <c r="O74" s="18" t="s">
        <v>57</v>
      </c>
      <c r="P74" s="18" t="s">
        <v>63</v>
      </c>
      <c r="Q74" s="10">
        <f t="shared" si="1"/>
        <v>1</v>
      </c>
    </row>
    <row r="75">
      <c r="A75" s="18" t="s">
        <v>216</v>
      </c>
      <c r="B75" s="18" t="s">
        <v>44</v>
      </c>
      <c r="C75" s="18" t="s">
        <v>64</v>
      </c>
      <c r="D75" s="18" t="s">
        <v>262</v>
      </c>
      <c r="E75" s="18" t="s">
        <v>263</v>
      </c>
      <c r="F75" s="18" t="s">
        <v>228</v>
      </c>
      <c r="G75" s="18">
        <v>18.64</v>
      </c>
      <c r="H75" s="18" t="s">
        <v>120</v>
      </c>
      <c r="I75" s="19">
        <v>6345.0</v>
      </c>
      <c r="J75" s="19">
        <v>8900.0</v>
      </c>
      <c r="K75" s="19">
        <v>7650.0</v>
      </c>
      <c r="L75" s="18" t="s">
        <v>264</v>
      </c>
      <c r="M75" s="18" t="s">
        <v>265</v>
      </c>
      <c r="N75" s="18" t="s">
        <v>240</v>
      </c>
      <c r="O75" s="18" t="s">
        <v>57</v>
      </c>
      <c r="P75" s="18" t="s">
        <v>42</v>
      </c>
      <c r="Q75" s="10">
        <f t="shared" si="1"/>
        <v>1</v>
      </c>
    </row>
    <row r="76">
      <c r="A76" s="18" t="s">
        <v>148</v>
      </c>
      <c r="B76" s="18" t="s">
        <v>44</v>
      </c>
      <c r="C76" s="18" t="s">
        <v>76</v>
      </c>
      <c r="D76" s="18" t="s">
        <v>266</v>
      </c>
      <c r="E76" s="18" t="s">
        <v>267</v>
      </c>
      <c r="F76" s="18" t="s">
        <v>228</v>
      </c>
      <c r="G76" s="18">
        <v>21.9</v>
      </c>
      <c r="H76" s="18" t="s">
        <v>56</v>
      </c>
      <c r="I76" s="19">
        <v>8349.0</v>
      </c>
      <c r="J76" s="19">
        <v>8350.0</v>
      </c>
      <c r="K76" s="19">
        <v>10050.0</v>
      </c>
      <c r="L76" s="18" t="s">
        <v>268</v>
      </c>
      <c r="M76" s="18" t="s">
        <v>269</v>
      </c>
      <c r="N76" s="18" t="s">
        <v>270</v>
      </c>
      <c r="O76" s="18" t="s">
        <v>151</v>
      </c>
      <c r="P76" s="18" t="s">
        <v>48</v>
      </c>
      <c r="Q76" s="10">
        <f t="shared" si="1"/>
        <v>1</v>
      </c>
    </row>
    <row r="77">
      <c r="A77" s="18" t="s">
        <v>154</v>
      </c>
      <c r="B77" s="18" t="s">
        <v>44</v>
      </c>
      <c r="C77" s="18" t="s">
        <v>180</v>
      </c>
      <c r="D77" s="18" t="s">
        <v>271</v>
      </c>
      <c r="E77" s="18" t="s">
        <v>272</v>
      </c>
      <c r="F77" s="18" t="s">
        <v>228</v>
      </c>
      <c r="G77" s="18">
        <v>22.0</v>
      </c>
      <c r="H77" s="18" t="s">
        <v>56</v>
      </c>
      <c r="I77" s="19">
        <v>6090.0</v>
      </c>
      <c r="J77" s="19">
        <v>8550.0</v>
      </c>
      <c r="K77" s="19">
        <v>7350.0</v>
      </c>
      <c r="L77" s="18" t="s">
        <v>273</v>
      </c>
      <c r="M77" s="18" t="s">
        <v>239</v>
      </c>
      <c r="N77" s="18" t="s">
        <v>240</v>
      </c>
      <c r="O77" s="18" t="s">
        <v>151</v>
      </c>
      <c r="P77" s="18" t="s">
        <v>157</v>
      </c>
      <c r="Q77" s="10">
        <f t="shared" si="1"/>
        <v>1</v>
      </c>
    </row>
    <row r="78">
      <c r="A78" s="18" t="s">
        <v>138</v>
      </c>
      <c r="B78" s="18" t="s">
        <v>44</v>
      </c>
      <c r="C78" s="18" t="s">
        <v>151</v>
      </c>
      <c r="D78" s="18" t="s">
        <v>274</v>
      </c>
      <c r="E78" s="18" t="s">
        <v>275</v>
      </c>
      <c r="F78" s="18" t="s">
        <v>228</v>
      </c>
      <c r="G78" s="18">
        <v>28.95</v>
      </c>
      <c r="H78" s="18" t="s">
        <v>168</v>
      </c>
      <c r="I78" s="19">
        <v>4973.0</v>
      </c>
      <c r="J78" s="19">
        <v>7250.0</v>
      </c>
      <c r="K78" s="19">
        <v>6000.0</v>
      </c>
      <c r="L78" s="18" t="s">
        <v>276</v>
      </c>
      <c r="M78" s="18" t="s">
        <v>277</v>
      </c>
      <c r="N78" s="18" t="s">
        <v>270</v>
      </c>
      <c r="O78" s="18" t="s">
        <v>57</v>
      </c>
      <c r="P78" s="18" t="s">
        <v>144</v>
      </c>
      <c r="Q78" s="10">
        <f t="shared" si="1"/>
        <v>1</v>
      </c>
    </row>
    <row r="79">
      <c r="A79" s="18" t="s">
        <v>158</v>
      </c>
      <c r="B79" s="18" t="s">
        <v>45</v>
      </c>
      <c r="C79" s="18" t="s">
        <v>45</v>
      </c>
      <c r="D79" s="18" t="s">
        <v>278</v>
      </c>
      <c r="E79" s="18" t="s">
        <v>279</v>
      </c>
      <c r="F79" s="18" t="s">
        <v>228</v>
      </c>
      <c r="G79" s="18">
        <v>10.44</v>
      </c>
      <c r="H79" s="18" t="s">
        <v>45</v>
      </c>
      <c r="I79" s="19">
        <v>2542.0</v>
      </c>
      <c r="J79" s="19">
        <v>2550.0</v>
      </c>
      <c r="K79" s="19">
        <v>3100.0</v>
      </c>
      <c r="L79" s="18" t="s">
        <v>280</v>
      </c>
      <c r="M79" s="18" t="s">
        <v>281</v>
      </c>
      <c r="N79" s="18" t="s">
        <v>245</v>
      </c>
      <c r="O79" s="18" t="s">
        <v>41</v>
      </c>
      <c r="P79" s="18" t="s">
        <v>162</v>
      </c>
      <c r="Q79" s="10">
        <f t="shared" si="1"/>
        <v>1</v>
      </c>
    </row>
    <row r="80">
      <c r="A80" s="18" t="s">
        <v>282</v>
      </c>
      <c r="B80" s="18" t="s">
        <v>44</v>
      </c>
      <c r="C80" s="18" t="s">
        <v>76</v>
      </c>
      <c r="D80" s="18" t="s">
        <v>283</v>
      </c>
      <c r="E80" s="18" t="s">
        <v>284</v>
      </c>
      <c r="F80" s="18" t="s">
        <v>228</v>
      </c>
      <c r="G80" s="18">
        <v>20.03</v>
      </c>
      <c r="H80" s="18" t="s">
        <v>168</v>
      </c>
      <c r="I80" s="19">
        <v>6499.0</v>
      </c>
      <c r="J80" s="19">
        <v>7800.0</v>
      </c>
      <c r="K80" s="19">
        <v>7800.0</v>
      </c>
      <c r="L80" s="18" t="s">
        <v>285</v>
      </c>
      <c r="M80" s="18" t="s">
        <v>286</v>
      </c>
      <c r="N80" s="18" t="s">
        <v>270</v>
      </c>
      <c r="O80" s="18" t="s">
        <v>57</v>
      </c>
      <c r="P80" s="18" t="s">
        <v>63</v>
      </c>
      <c r="Q80" s="10">
        <f t="shared" si="1"/>
        <v>1</v>
      </c>
    </row>
    <row r="81">
      <c r="A81" s="18" t="s">
        <v>225</v>
      </c>
      <c r="B81" s="18" t="s">
        <v>44</v>
      </c>
      <c r="C81" s="18" t="s">
        <v>53</v>
      </c>
      <c r="D81" s="18" t="s">
        <v>287</v>
      </c>
      <c r="E81" s="18" t="s">
        <v>288</v>
      </c>
      <c r="F81" s="18" t="s">
        <v>228</v>
      </c>
      <c r="G81" s="18">
        <v>15.6</v>
      </c>
      <c r="H81" s="18" t="s">
        <v>120</v>
      </c>
      <c r="I81" s="19">
        <v>5700.0</v>
      </c>
      <c r="J81" s="19">
        <v>7450.0</v>
      </c>
      <c r="K81" s="19">
        <v>6600.0</v>
      </c>
      <c r="L81" s="18" t="s">
        <v>289</v>
      </c>
      <c r="M81" s="18" t="s">
        <v>290</v>
      </c>
      <c r="N81" s="18" t="s">
        <v>270</v>
      </c>
      <c r="O81" s="18" t="s">
        <v>41</v>
      </c>
      <c r="P81" s="18" t="s">
        <v>162</v>
      </c>
      <c r="Q81" s="10">
        <f t="shared" si="1"/>
        <v>1</v>
      </c>
    </row>
    <row r="82">
      <c r="A82" s="18" t="s">
        <v>171</v>
      </c>
      <c r="B82" s="18" t="s">
        <v>45</v>
      </c>
      <c r="C82" s="18" t="s">
        <v>45</v>
      </c>
      <c r="D82" s="18" t="s">
        <v>291</v>
      </c>
      <c r="E82" s="18" t="s">
        <v>292</v>
      </c>
      <c r="F82" s="18" t="s">
        <v>228</v>
      </c>
      <c r="G82" s="18">
        <v>17.44</v>
      </c>
      <c r="H82" s="18" t="s">
        <v>45</v>
      </c>
      <c r="I82" s="19">
        <v>2490.0</v>
      </c>
      <c r="J82" s="19">
        <v>2900.0</v>
      </c>
      <c r="K82" s="19">
        <v>3000.0</v>
      </c>
      <c r="L82" s="18" t="s">
        <v>293</v>
      </c>
      <c r="M82" s="18" t="s">
        <v>294</v>
      </c>
      <c r="N82" s="18" t="s">
        <v>240</v>
      </c>
      <c r="O82" s="18" t="s">
        <v>198</v>
      </c>
      <c r="P82" s="18"/>
      <c r="Q82" s="10">
        <f t="shared" si="1"/>
        <v>1</v>
      </c>
    </row>
    <row r="83">
      <c r="A83" s="18" t="s">
        <v>138</v>
      </c>
      <c r="B83" s="18" t="s">
        <v>45</v>
      </c>
      <c r="C83" s="18" t="s">
        <v>45</v>
      </c>
      <c r="D83" s="18" t="s">
        <v>295</v>
      </c>
      <c r="E83" s="18" t="s">
        <v>296</v>
      </c>
      <c r="F83" s="18" t="s">
        <v>228</v>
      </c>
      <c r="G83" s="18">
        <v>10.09</v>
      </c>
      <c r="H83" s="18" t="s">
        <v>45</v>
      </c>
      <c r="I83" s="19">
        <v>1652.0</v>
      </c>
      <c r="J83" s="19">
        <v>2400.0</v>
      </c>
      <c r="K83" s="19">
        <v>2050.0</v>
      </c>
      <c r="L83" s="18" t="s">
        <v>297</v>
      </c>
      <c r="M83" s="18" t="s">
        <v>298</v>
      </c>
      <c r="N83" s="18" t="s">
        <v>250</v>
      </c>
      <c r="O83" s="18" t="s">
        <v>57</v>
      </c>
      <c r="P83" s="18" t="s">
        <v>144</v>
      </c>
      <c r="Q83" s="10">
        <f t="shared" si="1"/>
        <v>1</v>
      </c>
    </row>
    <row r="84">
      <c r="A84" s="18" t="s">
        <v>138</v>
      </c>
      <c r="B84" s="18" t="s">
        <v>44</v>
      </c>
      <c r="C84" s="18" t="s">
        <v>133</v>
      </c>
      <c r="D84" s="18" t="s">
        <v>299</v>
      </c>
      <c r="E84" s="18" t="s">
        <v>300</v>
      </c>
      <c r="F84" s="18" t="s">
        <v>228</v>
      </c>
      <c r="G84" s="18">
        <v>13.04</v>
      </c>
      <c r="H84" s="18" t="s">
        <v>56</v>
      </c>
      <c r="I84" s="19">
        <v>3113.0</v>
      </c>
      <c r="J84" s="19">
        <v>4550.0</v>
      </c>
      <c r="K84" s="19">
        <v>3800.0</v>
      </c>
      <c r="L84" s="18" t="s">
        <v>301</v>
      </c>
      <c r="M84" s="18" t="s">
        <v>302</v>
      </c>
      <c r="N84" s="18" t="s">
        <v>245</v>
      </c>
      <c r="O84" s="18" t="s">
        <v>57</v>
      </c>
      <c r="P84" s="18" t="s">
        <v>144</v>
      </c>
      <c r="Q84" s="10">
        <f t="shared" si="1"/>
        <v>1</v>
      </c>
    </row>
    <row r="85">
      <c r="A85" s="18" t="s">
        <v>35</v>
      </c>
      <c r="B85" s="18" t="s">
        <v>44</v>
      </c>
      <c r="C85" s="18" t="s">
        <v>64</v>
      </c>
      <c r="D85" s="18" t="s">
        <v>303</v>
      </c>
      <c r="E85" s="18" t="s">
        <v>304</v>
      </c>
      <c r="F85" s="18" t="s">
        <v>228</v>
      </c>
      <c r="G85" s="18">
        <v>19.46</v>
      </c>
      <c r="H85" s="18" t="s">
        <v>168</v>
      </c>
      <c r="I85" s="19">
        <v>6648.0</v>
      </c>
      <c r="J85" s="19">
        <v>9000.0</v>
      </c>
      <c r="K85" s="19">
        <v>8000.0</v>
      </c>
      <c r="L85" s="18" t="s">
        <v>305</v>
      </c>
      <c r="M85" s="18" t="s">
        <v>306</v>
      </c>
      <c r="N85" s="18" t="s">
        <v>231</v>
      </c>
      <c r="O85" s="18" t="s">
        <v>57</v>
      </c>
      <c r="P85" s="18" t="s">
        <v>42</v>
      </c>
      <c r="Q85" s="10">
        <f t="shared" si="1"/>
        <v>1</v>
      </c>
    </row>
    <row r="86">
      <c r="A86" s="18" t="s">
        <v>35</v>
      </c>
      <c r="B86" s="18" t="s">
        <v>45</v>
      </c>
      <c r="C86" s="18" t="s">
        <v>45</v>
      </c>
      <c r="D86" s="18" t="s">
        <v>307</v>
      </c>
      <c r="E86" s="18" t="s">
        <v>308</v>
      </c>
      <c r="F86" s="18" t="s">
        <v>228</v>
      </c>
      <c r="G86" s="18">
        <v>8.66</v>
      </c>
      <c r="H86" s="18" t="s">
        <v>45</v>
      </c>
      <c r="I86" s="19">
        <v>2885.0</v>
      </c>
      <c r="J86" s="19">
        <v>3900.0</v>
      </c>
      <c r="K86" s="19">
        <v>3500.0</v>
      </c>
      <c r="L86" s="18" t="s">
        <v>309</v>
      </c>
      <c r="M86" s="18" t="s">
        <v>310</v>
      </c>
      <c r="N86" s="18" t="s">
        <v>311</v>
      </c>
      <c r="O86" s="18" t="s">
        <v>83</v>
      </c>
      <c r="P86" s="18" t="s">
        <v>42</v>
      </c>
      <c r="Q86" s="10">
        <f t="shared" si="1"/>
        <v>1</v>
      </c>
    </row>
    <row r="87">
      <c r="A87" s="18" t="s">
        <v>216</v>
      </c>
      <c r="B87" s="18" t="s">
        <v>44</v>
      </c>
      <c r="C87" s="18" t="s">
        <v>53</v>
      </c>
      <c r="D87" s="18" t="s">
        <v>312</v>
      </c>
      <c r="E87" s="18" t="s">
        <v>313</v>
      </c>
      <c r="F87" s="18" t="s">
        <v>228</v>
      </c>
      <c r="G87" s="18">
        <v>17.19</v>
      </c>
      <c r="H87" s="18" t="s">
        <v>120</v>
      </c>
      <c r="I87" s="19">
        <v>5494.0</v>
      </c>
      <c r="J87" s="19">
        <v>7700.0</v>
      </c>
      <c r="K87" s="19">
        <v>6600.0</v>
      </c>
      <c r="L87" s="18" t="s">
        <v>314</v>
      </c>
      <c r="M87" s="18" t="s">
        <v>315</v>
      </c>
      <c r="N87" s="18" t="s">
        <v>316</v>
      </c>
      <c r="O87" s="18" t="s">
        <v>41</v>
      </c>
      <c r="P87" s="18" t="s">
        <v>42</v>
      </c>
      <c r="Q87" s="10">
        <f t="shared" si="1"/>
        <v>1</v>
      </c>
    </row>
    <row r="88">
      <c r="A88" s="18" t="s">
        <v>216</v>
      </c>
      <c r="B88" s="18" t="s">
        <v>45</v>
      </c>
      <c r="C88" s="18" t="s">
        <v>45</v>
      </c>
      <c r="D88" s="18" t="s">
        <v>317</v>
      </c>
      <c r="E88" s="18" t="s">
        <v>318</v>
      </c>
      <c r="F88" s="18" t="s">
        <v>228</v>
      </c>
      <c r="G88" s="18">
        <v>9.63</v>
      </c>
      <c r="H88" s="18" t="s">
        <v>45</v>
      </c>
      <c r="I88" s="19">
        <v>3194.0</v>
      </c>
      <c r="J88" s="19">
        <v>4500.0</v>
      </c>
      <c r="K88" s="19">
        <v>3850.0</v>
      </c>
      <c r="L88" s="18" t="s">
        <v>319</v>
      </c>
      <c r="M88" s="18" t="s">
        <v>320</v>
      </c>
      <c r="N88" s="18" t="s">
        <v>143</v>
      </c>
      <c r="O88" s="18" t="s">
        <v>57</v>
      </c>
      <c r="P88" s="18" t="s">
        <v>42</v>
      </c>
      <c r="Q88" s="10">
        <f t="shared" si="1"/>
        <v>1</v>
      </c>
    </row>
    <row r="89">
      <c r="A89" s="18" t="s">
        <v>112</v>
      </c>
      <c r="B89" s="18" t="s">
        <v>44</v>
      </c>
      <c r="C89" s="18" t="s">
        <v>180</v>
      </c>
      <c r="D89" s="18" t="s">
        <v>321</v>
      </c>
      <c r="E89" s="18" t="s">
        <v>322</v>
      </c>
      <c r="F89" s="18" t="s">
        <v>228</v>
      </c>
      <c r="G89" s="18">
        <v>22.9</v>
      </c>
      <c r="H89" s="18" t="s">
        <v>168</v>
      </c>
      <c r="I89" s="19">
        <v>6867.0</v>
      </c>
      <c r="J89" s="19">
        <v>9650.0</v>
      </c>
      <c r="K89" s="19">
        <v>8300.0</v>
      </c>
      <c r="L89" s="18" t="s">
        <v>323</v>
      </c>
      <c r="M89" s="18" t="s">
        <v>324</v>
      </c>
      <c r="N89" s="18" t="s">
        <v>270</v>
      </c>
      <c r="O89" s="18" t="s">
        <v>41</v>
      </c>
      <c r="P89" s="18" t="s">
        <v>42</v>
      </c>
      <c r="Q89" s="10">
        <f t="shared" si="1"/>
        <v>1</v>
      </c>
    </row>
    <row r="90">
      <c r="A90" s="18" t="s">
        <v>282</v>
      </c>
      <c r="B90" s="18" t="s">
        <v>44</v>
      </c>
      <c r="C90" s="18" t="s">
        <v>76</v>
      </c>
      <c r="D90" s="18" t="s">
        <v>325</v>
      </c>
      <c r="E90" s="18" t="s">
        <v>326</v>
      </c>
      <c r="F90" s="18" t="s">
        <v>228</v>
      </c>
      <c r="G90" s="18">
        <v>20.7</v>
      </c>
      <c r="H90" s="18" t="s">
        <v>168</v>
      </c>
      <c r="I90" s="19">
        <v>6499.0</v>
      </c>
      <c r="J90" s="19">
        <v>7800.0</v>
      </c>
      <c r="K90" s="19">
        <v>7800.0</v>
      </c>
      <c r="L90" s="18" t="s">
        <v>327</v>
      </c>
      <c r="M90" s="18" t="s">
        <v>328</v>
      </c>
      <c r="N90" s="18" t="s">
        <v>240</v>
      </c>
      <c r="O90" s="18" t="s">
        <v>41</v>
      </c>
      <c r="P90" s="18" t="s">
        <v>63</v>
      </c>
      <c r="Q90" s="10">
        <f t="shared" si="1"/>
        <v>1</v>
      </c>
    </row>
    <row r="91">
      <c r="A91" s="18" t="s">
        <v>225</v>
      </c>
      <c r="B91" s="18" t="s">
        <v>44</v>
      </c>
      <c r="C91" s="18" t="s">
        <v>53</v>
      </c>
      <c r="D91" s="18" t="s">
        <v>329</v>
      </c>
      <c r="E91" s="18" t="s">
        <v>330</v>
      </c>
      <c r="F91" s="18" t="s">
        <v>228</v>
      </c>
      <c r="G91" s="18">
        <v>15.0</v>
      </c>
      <c r="H91" s="18" t="s">
        <v>120</v>
      </c>
      <c r="I91" s="19">
        <v>5150.0</v>
      </c>
      <c r="J91" s="19">
        <v>6700.0</v>
      </c>
      <c r="K91" s="19">
        <v>6000.0</v>
      </c>
      <c r="L91" s="18" t="s">
        <v>331</v>
      </c>
      <c r="M91" s="18" t="s">
        <v>332</v>
      </c>
      <c r="N91" s="18" t="s">
        <v>333</v>
      </c>
      <c r="O91" s="18" t="s">
        <v>161</v>
      </c>
      <c r="P91" s="18" t="s">
        <v>162</v>
      </c>
      <c r="Q91" s="10">
        <f t="shared" si="1"/>
        <v>1</v>
      </c>
    </row>
    <row r="92">
      <c r="A92" s="18" t="s">
        <v>35</v>
      </c>
      <c r="B92" s="18" t="s">
        <v>44</v>
      </c>
      <c r="C92" s="18" t="s">
        <v>64</v>
      </c>
      <c r="D92" s="18" t="s">
        <v>334</v>
      </c>
      <c r="E92" s="18" t="s">
        <v>335</v>
      </c>
      <c r="F92" s="18" t="s">
        <v>228</v>
      </c>
      <c r="G92" s="18">
        <v>19.6</v>
      </c>
      <c r="H92" s="18" t="s">
        <v>168</v>
      </c>
      <c r="I92" s="19">
        <v>6648.0</v>
      </c>
      <c r="J92" s="19">
        <v>9000.0</v>
      </c>
      <c r="K92" s="19">
        <v>8000.0</v>
      </c>
      <c r="L92" s="18" t="s">
        <v>336</v>
      </c>
      <c r="M92" s="18" t="s">
        <v>337</v>
      </c>
      <c r="N92" s="18" t="s">
        <v>338</v>
      </c>
      <c r="O92" s="18" t="s">
        <v>57</v>
      </c>
      <c r="P92" s="18" t="s">
        <v>42</v>
      </c>
      <c r="Q92" s="10">
        <f t="shared" si="1"/>
        <v>1</v>
      </c>
    </row>
    <row r="93">
      <c r="A93" s="18" t="s">
        <v>165</v>
      </c>
      <c r="B93" s="18" t="s">
        <v>44</v>
      </c>
      <c r="C93" s="18" t="s">
        <v>37</v>
      </c>
      <c r="D93" s="18" t="s">
        <v>339</v>
      </c>
      <c r="E93" s="18" t="s">
        <v>340</v>
      </c>
      <c r="F93" s="18" t="s">
        <v>228</v>
      </c>
      <c r="G93" s="18">
        <v>62.84</v>
      </c>
      <c r="H93" s="18" t="s">
        <v>168</v>
      </c>
      <c r="I93" s="19">
        <v>7150.0</v>
      </c>
      <c r="J93" s="19">
        <v>8600.0</v>
      </c>
      <c r="K93" s="19">
        <v>8600.0</v>
      </c>
      <c r="L93" s="18" t="s">
        <v>341</v>
      </c>
      <c r="M93" s="18" t="s">
        <v>342</v>
      </c>
      <c r="N93" s="18" t="s">
        <v>343</v>
      </c>
      <c r="O93" s="18" t="s">
        <v>117</v>
      </c>
      <c r="P93" s="18"/>
      <c r="Q93" s="10">
        <f t="shared" si="1"/>
        <v>1</v>
      </c>
    </row>
    <row r="94">
      <c r="A94" s="18" t="s">
        <v>148</v>
      </c>
      <c r="B94" s="18" t="s">
        <v>44</v>
      </c>
      <c r="C94" s="18" t="s">
        <v>76</v>
      </c>
      <c r="D94" s="18" t="s">
        <v>344</v>
      </c>
      <c r="E94" s="18" t="s">
        <v>345</v>
      </c>
      <c r="F94" s="18" t="s">
        <v>228</v>
      </c>
      <c r="G94" s="18">
        <v>20.8</v>
      </c>
      <c r="H94" s="18" t="s">
        <v>56</v>
      </c>
      <c r="I94" s="19">
        <v>7514.0</v>
      </c>
      <c r="J94" s="19">
        <v>7550.0</v>
      </c>
      <c r="K94" s="19">
        <v>9100.0</v>
      </c>
      <c r="L94" s="18" t="s">
        <v>346</v>
      </c>
      <c r="M94" s="18" t="s">
        <v>328</v>
      </c>
      <c r="N94" s="18" t="s">
        <v>240</v>
      </c>
      <c r="O94" s="18" t="s">
        <v>151</v>
      </c>
      <c r="P94" s="18" t="s">
        <v>48</v>
      </c>
      <c r="Q94" s="10">
        <f t="shared" si="1"/>
        <v>1</v>
      </c>
    </row>
    <row r="95">
      <c r="A95" s="18" t="s">
        <v>112</v>
      </c>
      <c r="B95" s="18" t="s">
        <v>45</v>
      </c>
      <c r="C95" s="18" t="s">
        <v>45</v>
      </c>
      <c r="D95" s="18" t="s">
        <v>347</v>
      </c>
      <c r="E95" s="18" t="s">
        <v>348</v>
      </c>
      <c r="F95" s="18" t="s">
        <v>228</v>
      </c>
      <c r="G95" s="18">
        <v>10.4</v>
      </c>
      <c r="H95" s="18" t="s">
        <v>45</v>
      </c>
      <c r="I95" s="19">
        <v>3257.0</v>
      </c>
      <c r="J95" s="19">
        <v>4600.0</v>
      </c>
      <c r="K95" s="19">
        <v>4000.0</v>
      </c>
      <c r="L95" s="18" t="s">
        <v>349</v>
      </c>
      <c r="M95" s="18" t="s">
        <v>350</v>
      </c>
      <c r="N95" s="18" t="s">
        <v>245</v>
      </c>
      <c r="O95" s="18" t="s">
        <v>41</v>
      </c>
      <c r="P95" s="18" t="s">
        <v>42</v>
      </c>
      <c r="Q95" s="10">
        <f t="shared" si="1"/>
        <v>1</v>
      </c>
    </row>
    <row r="96">
      <c r="A96" s="18" t="s">
        <v>112</v>
      </c>
      <c r="B96" s="18" t="s">
        <v>44</v>
      </c>
      <c r="C96" s="18" t="s">
        <v>64</v>
      </c>
      <c r="D96" s="18" t="s">
        <v>351</v>
      </c>
      <c r="E96" s="18" t="s">
        <v>352</v>
      </c>
      <c r="F96" s="18" t="s">
        <v>228</v>
      </c>
      <c r="G96" s="18">
        <v>17.6</v>
      </c>
      <c r="H96" s="18" t="s">
        <v>120</v>
      </c>
      <c r="I96" s="19">
        <v>6437.0</v>
      </c>
      <c r="J96" s="19">
        <v>9050.0</v>
      </c>
      <c r="K96" s="19">
        <v>7750.0</v>
      </c>
      <c r="L96" s="18" t="s">
        <v>353</v>
      </c>
      <c r="M96" s="18" t="s">
        <v>354</v>
      </c>
      <c r="N96" s="18" t="s">
        <v>245</v>
      </c>
      <c r="O96" s="18" t="s">
        <v>41</v>
      </c>
      <c r="P96" s="18" t="s">
        <v>42</v>
      </c>
      <c r="Q96" s="10">
        <f t="shared" si="1"/>
        <v>1</v>
      </c>
    </row>
    <row r="97">
      <c r="A97" s="18" t="s">
        <v>171</v>
      </c>
      <c r="B97" s="18" t="s">
        <v>44</v>
      </c>
      <c r="C97" s="18" t="s">
        <v>180</v>
      </c>
      <c r="D97" s="18" t="s">
        <v>355</v>
      </c>
      <c r="E97" s="18" t="s">
        <v>356</v>
      </c>
      <c r="F97" s="18" t="s">
        <v>228</v>
      </c>
      <c r="G97" s="18">
        <v>23.57</v>
      </c>
      <c r="H97" s="18" t="s">
        <v>120</v>
      </c>
      <c r="I97" s="19">
        <v>5490.0</v>
      </c>
      <c r="J97" s="19">
        <v>6350.0</v>
      </c>
      <c r="K97" s="19">
        <v>6600.0</v>
      </c>
      <c r="L97" s="18" t="s">
        <v>357</v>
      </c>
      <c r="M97" s="18" t="s">
        <v>358</v>
      </c>
      <c r="N97" s="18" t="s">
        <v>231</v>
      </c>
      <c r="O97" s="18" t="s">
        <v>41</v>
      </c>
      <c r="P97" s="18"/>
      <c r="Q97" s="10">
        <f t="shared" si="1"/>
        <v>1</v>
      </c>
    </row>
    <row r="98">
      <c r="A98" s="18" t="s">
        <v>201</v>
      </c>
      <c r="B98" s="18" t="s">
        <v>44</v>
      </c>
      <c r="C98" s="18" t="s">
        <v>180</v>
      </c>
      <c r="D98" s="18" t="s">
        <v>359</v>
      </c>
      <c r="E98" s="18" t="s">
        <v>360</v>
      </c>
      <c r="F98" s="18" t="s">
        <v>228</v>
      </c>
      <c r="G98" s="18">
        <v>22.54</v>
      </c>
      <c r="H98" s="18" t="s">
        <v>168</v>
      </c>
      <c r="I98" s="19">
        <v>4000.0</v>
      </c>
      <c r="J98" s="19">
        <v>4800.0</v>
      </c>
      <c r="K98" s="19">
        <v>4800.0</v>
      </c>
      <c r="L98" s="18" t="s">
        <v>361</v>
      </c>
      <c r="M98" s="18" t="s">
        <v>362</v>
      </c>
      <c r="N98" s="18" t="s">
        <v>363</v>
      </c>
      <c r="O98" s="18" t="s">
        <v>41</v>
      </c>
      <c r="P98" s="18"/>
      <c r="Q98" s="10">
        <f t="shared" si="1"/>
        <v>1</v>
      </c>
    </row>
    <row r="99">
      <c r="A99" s="18" t="s">
        <v>364</v>
      </c>
      <c r="B99" s="18" t="s">
        <v>44</v>
      </c>
      <c r="C99" s="18" t="s">
        <v>180</v>
      </c>
      <c r="D99" s="18" t="s">
        <v>365</v>
      </c>
      <c r="E99" s="18" t="s">
        <v>366</v>
      </c>
      <c r="F99" s="18" t="s">
        <v>228</v>
      </c>
      <c r="G99" s="18">
        <v>22.59</v>
      </c>
      <c r="H99" s="18" t="s">
        <v>168</v>
      </c>
      <c r="I99" s="19">
        <v>5600.0</v>
      </c>
      <c r="J99" s="19">
        <v>5600.0</v>
      </c>
      <c r="K99" s="19">
        <v>6500.0</v>
      </c>
      <c r="L99" s="18" t="s">
        <v>367</v>
      </c>
      <c r="M99" s="18" t="s">
        <v>368</v>
      </c>
      <c r="N99" s="18" t="s">
        <v>245</v>
      </c>
      <c r="O99" s="18" t="s">
        <v>117</v>
      </c>
      <c r="P99" s="18" t="s">
        <v>369</v>
      </c>
      <c r="Q99" s="10">
        <f t="shared" si="1"/>
        <v>1</v>
      </c>
    </row>
    <row r="100">
      <c r="A100" s="18" t="s">
        <v>201</v>
      </c>
      <c r="B100" s="18" t="s">
        <v>44</v>
      </c>
      <c r="C100" s="18" t="s">
        <v>64</v>
      </c>
      <c r="D100" s="18" t="s">
        <v>370</v>
      </c>
      <c r="E100" s="18" t="s">
        <v>371</v>
      </c>
      <c r="F100" s="18" t="s">
        <v>228</v>
      </c>
      <c r="G100" s="18">
        <v>18.81</v>
      </c>
      <c r="H100" s="18" t="s">
        <v>120</v>
      </c>
      <c r="I100" s="19">
        <v>3400.0</v>
      </c>
      <c r="J100" s="19">
        <v>4100.0</v>
      </c>
      <c r="K100" s="19">
        <v>4100.0</v>
      </c>
      <c r="L100" s="18" t="s">
        <v>372</v>
      </c>
      <c r="M100" s="18" t="s">
        <v>373</v>
      </c>
      <c r="N100" s="18" t="s">
        <v>240</v>
      </c>
      <c r="O100" s="18" t="s">
        <v>41</v>
      </c>
      <c r="P100" s="18"/>
      <c r="Q100" s="10">
        <f t="shared" si="1"/>
        <v>1</v>
      </c>
    </row>
    <row r="101">
      <c r="A101" s="18" t="s">
        <v>112</v>
      </c>
      <c r="B101" s="18" t="s">
        <v>44</v>
      </c>
      <c r="C101" s="18" t="s">
        <v>76</v>
      </c>
      <c r="D101" s="18" t="s">
        <v>374</v>
      </c>
      <c r="E101" s="18" t="s">
        <v>375</v>
      </c>
      <c r="F101" s="18" t="s">
        <v>228</v>
      </c>
      <c r="G101" s="18">
        <v>19.3</v>
      </c>
      <c r="H101" s="18" t="s">
        <v>120</v>
      </c>
      <c r="I101" s="19">
        <v>6437.0</v>
      </c>
      <c r="J101" s="19">
        <v>9050.0</v>
      </c>
      <c r="K101" s="19">
        <v>7750.0</v>
      </c>
      <c r="L101" s="18" t="s">
        <v>376</v>
      </c>
      <c r="M101" s="18" t="s">
        <v>377</v>
      </c>
      <c r="N101" s="18" t="s">
        <v>378</v>
      </c>
      <c r="O101" s="18" t="s">
        <v>117</v>
      </c>
      <c r="P101" s="18" t="s">
        <v>42</v>
      </c>
      <c r="Q101" s="10">
        <f t="shared" si="1"/>
        <v>1</v>
      </c>
    </row>
    <row r="102">
      <c r="A102" s="18" t="s">
        <v>35</v>
      </c>
      <c r="B102" s="18" t="s">
        <v>45</v>
      </c>
      <c r="C102" s="18" t="s">
        <v>45</v>
      </c>
      <c r="D102" s="18" t="s">
        <v>379</v>
      </c>
      <c r="E102" s="18" t="s">
        <v>380</v>
      </c>
      <c r="F102" s="18" t="s">
        <v>228</v>
      </c>
      <c r="G102" s="18">
        <v>9.22</v>
      </c>
      <c r="H102" s="18" t="s">
        <v>45</v>
      </c>
      <c r="I102" s="19">
        <v>2885.0</v>
      </c>
      <c r="J102" s="19">
        <v>3900.0</v>
      </c>
      <c r="K102" s="19">
        <v>3500.0</v>
      </c>
      <c r="L102" s="18" t="s">
        <v>381</v>
      </c>
      <c r="M102" s="18" t="s">
        <v>382</v>
      </c>
      <c r="N102" s="18" t="s">
        <v>240</v>
      </c>
      <c r="O102" s="18" t="s">
        <v>83</v>
      </c>
      <c r="P102" s="18" t="s">
        <v>42</v>
      </c>
      <c r="Q102" s="10">
        <f t="shared" si="1"/>
        <v>1</v>
      </c>
    </row>
    <row r="103">
      <c r="A103" s="18" t="s">
        <v>158</v>
      </c>
      <c r="B103" s="18" t="s">
        <v>44</v>
      </c>
      <c r="C103" s="18" t="s">
        <v>64</v>
      </c>
      <c r="D103" s="18" t="s">
        <v>383</v>
      </c>
      <c r="E103" s="18" t="s">
        <v>384</v>
      </c>
      <c r="F103" s="18" t="s">
        <v>228</v>
      </c>
      <c r="G103" s="18">
        <v>17.2</v>
      </c>
      <c r="H103" s="18" t="s">
        <v>120</v>
      </c>
      <c r="I103" s="19">
        <v>5516.0</v>
      </c>
      <c r="J103" s="19">
        <v>5550.0</v>
      </c>
      <c r="K103" s="19">
        <v>6700.0</v>
      </c>
      <c r="L103" s="18" t="s">
        <v>385</v>
      </c>
      <c r="M103" s="18" t="s">
        <v>386</v>
      </c>
      <c r="N103" s="18" t="s">
        <v>378</v>
      </c>
      <c r="O103" s="18" t="s">
        <v>41</v>
      </c>
      <c r="P103" s="18" t="s">
        <v>162</v>
      </c>
      <c r="Q103" s="10">
        <f t="shared" si="1"/>
        <v>1</v>
      </c>
    </row>
    <row r="104">
      <c r="A104" s="18" t="s">
        <v>282</v>
      </c>
      <c r="B104" s="18" t="s">
        <v>45</v>
      </c>
      <c r="C104" s="18" t="s">
        <v>45</v>
      </c>
      <c r="D104" s="18" t="s">
        <v>387</v>
      </c>
      <c r="E104" s="18" t="s">
        <v>388</v>
      </c>
      <c r="F104" s="18" t="s">
        <v>228</v>
      </c>
      <c r="G104" s="18">
        <v>9.95</v>
      </c>
      <c r="H104" s="18" t="s">
        <v>45</v>
      </c>
      <c r="I104" s="19">
        <v>2838.0</v>
      </c>
      <c r="J104" s="19">
        <v>3450.0</v>
      </c>
      <c r="K104" s="19">
        <v>3450.0</v>
      </c>
      <c r="L104" s="18" t="s">
        <v>389</v>
      </c>
      <c r="M104" s="18" t="s">
        <v>390</v>
      </c>
      <c r="N104" s="18" t="s">
        <v>338</v>
      </c>
      <c r="O104" s="18" t="s">
        <v>41</v>
      </c>
      <c r="P104" s="18" t="s">
        <v>63</v>
      </c>
      <c r="Q104" s="10">
        <f t="shared" si="1"/>
        <v>1</v>
      </c>
    </row>
    <row r="105">
      <c r="A105" s="18" t="s">
        <v>138</v>
      </c>
      <c r="B105" s="18" t="s">
        <v>45</v>
      </c>
      <c r="C105" s="18" t="s">
        <v>45</v>
      </c>
      <c r="D105" s="18" t="s">
        <v>391</v>
      </c>
      <c r="E105" s="18" t="s">
        <v>392</v>
      </c>
      <c r="F105" s="18" t="s">
        <v>228</v>
      </c>
      <c r="G105" s="18">
        <v>9.0</v>
      </c>
      <c r="H105" s="18" t="s">
        <v>45</v>
      </c>
      <c r="I105" s="19">
        <v>1652.0</v>
      </c>
      <c r="J105" s="19">
        <v>2400.0</v>
      </c>
      <c r="K105" s="19">
        <v>2050.0</v>
      </c>
      <c r="L105" s="18" t="s">
        <v>393</v>
      </c>
      <c r="M105" s="18" t="s">
        <v>394</v>
      </c>
      <c r="N105" s="18" t="s">
        <v>231</v>
      </c>
      <c r="O105" s="18" t="s">
        <v>41</v>
      </c>
      <c r="P105" s="18" t="s">
        <v>144</v>
      </c>
      <c r="Q105" s="10">
        <f t="shared" si="1"/>
        <v>1</v>
      </c>
    </row>
    <row r="106">
      <c r="A106" s="18" t="s">
        <v>49</v>
      </c>
      <c r="B106" s="18" t="s">
        <v>44</v>
      </c>
      <c r="C106" s="18" t="s">
        <v>180</v>
      </c>
      <c r="D106" s="18" t="s">
        <v>395</v>
      </c>
      <c r="E106" s="18" t="s">
        <v>396</v>
      </c>
      <c r="F106" s="18" t="s">
        <v>228</v>
      </c>
      <c r="G106" s="18">
        <v>23.06</v>
      </c>
      <c r="H106" s="18" t="s">
        <v>168</v>
      </c>
      <c r="I106" s="19">
        <v>8300.0</v>
      </c>
      <c r="J106" s="19">
        <v>9550.0</v>
      </c>
      <c r="K106" s="19">
        <v>10000.0</v>
      </c>
      <c r="L106" s="18" t="s">
        <v>397</v>
      </c>
      <c r="M106" s="18" t="s">
        <v>386</v>
      </c>
      <c r="N106" s="18" t="s">
        <v>378</v>
      </c>
      <c r="O106" s="18" t="s">
        <v>57</v>
      </c>
      <c r="P106" s="18" t="s">
        <v>48</v>
      </c>
      <c r="Q106" s="10">
        <f t="shared" si="1"/>
        <v>1</v>
      </c>
    </row>
    <row r="107">
      <c r="A107" s="18" t="s">
        <v>132</v>
      </c>
      <c r="B107" s="18" t="s">
        <v>45</v>
      </c>
      <c r="C107" s="18" t="s">
        <v>45</v>
      </c>
      <c r="D107" s="18" t="s">
        <v>398</v>
      </c>
      <c r="E107" s="18" t="s">
        <v>399</v>
      </c>
      <c r="F107" s="18" t="s">
        <v>228</v>
      </c>
      <c r="G107" s="18">
        <v>10.55</v>
      </c>
      <c r="H107" s="18" t="s">
        <v>400</v>
      </c>
      <c r="I107" s="19">
        <v>1822.08</v>
      </c>
      <c r="J107" s="19">
        <v>1500.0</v>
      </c>
      <c r="K107" s="19">
        <v>3500.0</v>
      </c>
      <c r="L107" s="18" t="s">
        <v>401</v>
      </c>
      <c r="M107" s="18" t="s">
        <v>402</v>
      </c>
      <c r="N107" s="18" t="s">
        <v>403</v>
      </c>
      <c r="O107" s="18" t="s">
        <v>41</v>
      </c>
      <c r="P107" s="18"/>
      <c r="Q107" s="10">
        <f t="shared" si="1"/>
        <v>1</v>
      </c>
    </row>
    <row r="108">
      <c r="A108" s="18" t="s">
        <v>138</v>
      </c>
      <c r="B108" s="18" t="s">
        <v>44</v>
      </c>
      <c r="C108" s="18" t="s">
        <v>64</v>
      </c>
      <c r="D108" s="18" t="s">
        <v>404</v>
      </c>
      <c r="E108" s="18" t="s">
        <v>405</v>
      </c>
      <c r="F108" s="18" t="s">
        <v>228</v>
      </c>
      <c r="G108" s="18">
        <v>18.24</v>
      </c>
      <c r="H108" s="18" t="s">
        <v>120</v>
      </c>
      <c r="I108" s="19">
        <v>3944.0</v>
      </c>
      <c r="J108" s="19">
        <v>5750.0</v>
      </c>
      <c r="K108" s="19">
        <v>4750.0</v>
      </c>
      <c r="L108" s="18" t="s">
        <v>406</v>
      </c>
      <c r="M108" s="18" t="s">
        <v>265</v>
      </c>
      <c r="N108" s="18" t="s">
        <v>240</v>
      </c>
      <c r="O108" s="18" t="s">
        <v>41</v>
      </c>
      <c r="P108" s="18" t="s">
        <v>144</v>
      </c>
      <c r="Q108" s="10">
        <f t="shared" si="1"/>
        <v>1</v>
      </c>
    </row>
    <row r="109">
      <c r="A109" s="18" t="s">
        <v>125</v>
      </c>
      <c r="B109" s="18" t="s">
        <v>36</v>
      </c>
      <c r="C109" s="18" t="s">
        <v>37</v>
      </c>
      <c r="D109" s="18" t="s">
        <v>407</v>
      </c>
      <c r="E109" s="18" t="s">
        <v>408</v>
      </c>
      <c r="F109" s="18" t="s">
        <v>228</v>
      </c>
      <c r="G109" s="18">
        <v>45.97</v>
      </c>
      <c r="H109" s="18" t="s">
        <v>168</v>
      </c>
      <c r="I109" s="19">
        <v>4500.0</v>
      </c>
      <c r="J109" s="19">
        <v>3850.0</v>
      </c>
      <c r="K109" s="19">
        <v>5700.0</v>
      </c>
      <c r="L109" s="18" t="s">
        <v>409</v>
      </c>
      <c r="M109" s="18" t="s">
        <v>410</v>
      </c>
      <c r="N109" s="18" t="s">
        <v>231</v>
      </c>
      <c r="O109" s="18" t="s">
        <v>57</v>
      </c>
      <c r="P109" s="18"/>
      <c r="Q109" s="10">
        <f t="shared" si="1"/>
        <v>1</v>
      </c>
    </row>
    <row r="110">
      <c r="A110" s="18" t="s">
        <v>158</v>
      </c>
      <c r="B110" s="18" t="s">
        <v>44</v>
      </c>
      <c r="C110" s="18" t="s">
        <v>133</v>
      </c>
      <c r="D110" s="18" t="s">
        <v>411</v>
      </c>
      <c r="E110" s="18" t="s">
        <v>412</v>
      </c>
      <c r="F110" s="18" t="s">
        <v>228</v>
      </c>
      <c r="G110" s="18">
        <v>14.49</v>
      </c>
      <c r="H110" s="18" t="s">
        <v>56</v>
      </c>
      <c r="I110" s="19">
        <v>4666.0</v>
      </c>
      <c r="J110" s="19">
        <v>4700.0</v>
      </c>
      <c r="K110" s="19">
        <v>5650.0</v>
      </c>
      <c r="L110" s="18" t="s">
        <v>413</v>
      </c>
      <c r="M110" s="18" t="s">
        <v>414</v>
      </c>
      <c r="N110" s="18" t="s">
        <v>143</v>
      </c>
      <c r="O110" s="18" t="s">
        <v>41</v>
      </c>
      <c r="P110" s="18" t="s">
        <v>162</v>
      </c>
      <c r="Q110" s="10">
        <f t="shared" si="1"/>
        <v>1</v>
      </c>
    </row>
    <row r="111">
      <c r="A111" s="18" t="s">
        <v>225</v>
      </c>
      <c r="B111" s="18" t="s">
        <v>45</v>
      </c>
      <c r="C111" s="18" t="s">
        <v>45</v>
      </c>
      <c r="D111" s="18" t="s">
        <v>415</v>
      </c>
      <c r="E111" s="18" t="s">
        <v>416</v>
      </c>
      <c r="F111" s="18" t="s">
        <v>228</v>
      </c>
      <c r="G111" s="18">
        <v>9.0</v>
      </c>
      <c r="H111" s="18" t="s">
        <v>45</v>
      </c>
      <c r="I111" s="19">
        <v>3100.0</v>
      </c>
      <c r="J111" s="19">
        <v>4050.0</v>
      </c>
      <c r="K111" s="19">
        <v>3600.0</v>
      </c>
      <c r="L111" s="18" t="s">
        <v>417</v>
      </c>
      <c r="M111" s="18" t="s">
        <v>418</v>
      </c>
      <c r="N111" s="18" t="s">
        <v>343</v>
      </c>
      <c r="O111" s="18" t="s">
        <v>41</v>
      </c>
      <c r="P111" s="18" t="s">
        <v>162</v>
      </c>
      <c r="Q111" s="10">
        <f t="shared" si="1"/>
        <v>1</v>
      </c>
    </row>
    <row r="112">
      <c r="A112" s="18" t="s">
        <v>282</v>
      </c>
      <c r="B112" s="18" t="s">
        <v>44</v>
      </c>
      <c r="C112" s="18" t="s">
        <v>133</v>
      </c>
      <c r="D112" s="18" t="s">
        <v>419</v>
      </c>
      <c r="E112" s="18" t="s">
        <v>420</v>
      </c>
      <c r="F112" s="18" t="s">
        <v>228</v>
      </c>
      <c r="G112" s="18">
        <v>14.15</v>
      </c>
      <c r="H112" s="18" t="s">
        <v>56</v>
      </c>
      <c r="I112" s="19">
        <v>4851.0</v>
      </c>
      <c r="J112" s="19">
        <v>5850.0</v>
      </c>
      <c r="K112" s="19">
        <v>5900.0</v>
      </c>
      <c r="L112" s="18" t="s">
        <v>421</v>
      </c>
      <c r="M112" s="18" t="s">
        <v>422</v>
      </c>
      <c r="N112" s="18" t="s">
        <v>363</v>
      </c>
      <c r="O112" s="18" t="s">
        <v>57</v>
      </c>
      <c r="P112" s="18" t="s">
        <v>63</v>
      </c>
      <c r="Q112" s="10">
        <f t="shared" si="1"/>
        <v>1</v>
      </c>
    </row>
    <row r="113">
      <c r="A113" s="18" t="s">
        <v>148</v>
      </c>
      <c r="B113" s="18" t="s">
        <v>44</v>
      </c>
      <c r="C113" s="18" t="s">
        <v>423</v>
      </c>
      <c r="D113" s="18" t="s">
        <v>424</v>
      </c>
      <c r="E113" s="18" t="s">
        <v>425</v>
      </c>
      <c r="F113" s="18" t="s">
        <v>228</v>
      </c>
      <c r="G113" s="18">
        <v>29.9</v>
      </c>
      <c r="H113" s="18" t="s">
        <v>168</v>
      </c>
      <c r="I113" s="19">
        <v>10857.0</v>
      </c>
      <c r="J113" s="19">
        <v>10900.0</v>
      </c>
      <c r="K113" s="19">
        <v>13100.0</v>
      </c>
      <c r="L113" s="18" t="s">
        <v>426</v>
      </c>
      <c r="M113" s="18" t="s">
        <v>427</v>
      </c>
      <c r="N113" s="18" t="s">
        <v>245</v>
      </c>
      <c r="O113" s="18" t="s">
        <v>57</v>
      </c>
      <c r="P113" s="18" t="s">
        <v>48</v>
      </c>
      <c r="Q113" s="10">
        <f t="shared" si="1"/>
        <v>1</v>
      </c>
    </row>
    <row r="114">
      <c r="A114" s="18" t="s">
        <v>35</v>
      </c>
      <c r="B114" s="18" t="s">
        <v>45</v>
      </c>
      <c r="C114" s="18" t="s">
        <v>45</v>
      </c>
      <c r="D114" s="18" t="s">
        <v>428</v>
      </c>
      <c r="E114" s="18" t="s">
        <v>429</v>
      </c>
      <c r="F114" s="18" t="s">
        <v>228</v>
      </c>
      <c r="G114" s="18">
        <v>8.38</v>
      </c>
      <c r="H114" s="18" t="s">
        <v>45</v>
      </c>
      <c r="I114" s="19">
        <v>2885.0</v>
      </c>
      <c r="J114" s="19">
        <v>3900.0</v>
      </c>
      <c r="K114" s="19">
        <v>3500.0</v>
      </c>
      <c r="L114" s="18" t="s">
        <v>430</v>
      </c>
      <c r="M114" s="18" t="s">
        <v>431</v>
      </c>
      <c r="N114" s="18" t="s">
        <v>363</v>
      </c>
      <c r="O114" s="18" t="s">
        <v>83</v>
      </c>
      <c r="P114" s="18" t="s">
        <v>42</v>
      </c>
      <c r="Q114" s="10">
        <f t="shared" si="1"/>
        <v>1</v>
      </c>
    </row>
    <row r="115">
      <c r="A115" s="18" t="s">
        <v>158</v>
      </c>
      <c r="B115" s="18" t="s">
        <v>44</v>
      </c>
      <c r="C115" s="18" t="s">
        <v>53</v>
      </c>
      <c r="D115" s="18" t="s">
        <v>432</v>
      </c>
      <c r="E115" s="18" t="s">
        <v>433</v>
      </c>
      <c r="F115" s="18" t="s">
        <v>228</v>
      </c>
      <c r="G115" s="18">
        <v>16.2</v>
      </c>
      <c r="H115" s="18" t="s">
        <v>120</v>
      </c>
      <c r="I115" s="19">
        <v>5091.0</v>
      </c>
      <c r="J115" s="19">
        <v>5100.0</v>
      </c>
      <c r="K115" s="19">
        <v>6150.0</v>
      </c>
      <c r="L115" s="18" t="s">
        <v>434</v>
      </c>
      <c r="M115" s="18" t="s">
        <v>435</v>
      </c>
      <c r="N115" s="18" t="s">
        <v>231</v>
      </c>
      <c r="O115" s="18" t="s">
        <v>41</v>
      </c>
      <c r="P115" s="18" t="s">
        <v>162</v>
      </c>
      <c r="Q115" s="10">
        <f t="shared" si="1"/>
        <v>1</v>
      </c>
    </row>
    <row r="116">
      <c r="A116" s="18" t="s">
        <v>158</v>
      </c>
      <c r="B116" s="18" t="s">
        <v>44</v>
      </c>
      <c r="C116" s="18" t="s">
        <v>133</v>
      </c>
      <c r="D116" s="18" t="s">
        <v>436</v>
      </c>
      <c r="E116" s="18" t="s">
        <v>437</v>
      </c>
      <c r="F116" s="18" t="s">
        <v>228</v>
      </c>
      <c r="G116" s="18">
        <v>14.49</v>
      </c>
      <c r="H116" s="18" t="s">
        <v>56</v>
      </c>
      <c r="I116" s="19">
        <v>4666.0</v>
      </c>
      <c r="J116" s="19">
        <v>4700.0</v>
      </c>
      <c r="K116" s="19">
        <v>5650.0</v>
      </c>
      <c r="L116" s="18" t="s">
        <v>438</v>
      </c>
      <c r="M116" s="18" t="s">
        <v>439</v>
      </c>
      <c r="N116" s="18" t="s">
        <v>270</v>
      </c>
      <c r="O116" s="18" t="s">
        <v>41</v>
      </c>
      <c r="P116" s="18" t="s">
        <v>162</v>
      </c>
      <c r="Q116" s="10">
        <f t="shared" si="1"/>
        <v>1</v>
      </c>
    </row>
    <row r="117">
      <c r="A117" s="18" t="s">
        <v>35</v>
      </c>
      <c r="B117" s="18" t="s">
        <v>44</v>
      </c>
      <c r="C117" s="18" t="s">
        <v>133</v>
      </c>
      <c r="D117" s="18" t="s">
        <v>440</v>
      </c>
      <c r="E117" s="18" t="s">
        <v>441</v>
      </c>
      <c r="F117" s="18" t="s">
        <v>228</v>
      </c>
      <c r="G117" s="18">
        <v>13.8</v>
      </c>
      <c r="H117" s="18" t="s">
        <v>56</v>
      </c>
      <c r="I117" s="19">
        <v>5436.0</v>
      </c>
      <c r="J117" s="19">
        <v>7350.0</v>
      </c>
      <c r="K117" s="19">
        <v>6550.0</v>
      </c>
      <c r="L117" s="18" t="s">
        <v>442</v>
      </c>
      <c r="M117" s="18" t="s">
        <v>443</v>
      </c>
      <c r="N117" s="18" t="s">
        <v>338</v>
      </c>
      <c r="O117" s="18" t="s">
        <v>41</v>
      </c>
      <c r="P117" s="18" t="s">
        <v>42</v>
      </c>
      <c r="Q117" s="10">
        <f t="shared" si="1"/>
        <v>1</v>
      </c>
    </row>
    <row r="118">
      <c r="A118" s="18" t="s">
        <v>112</v>
      </c>
      <c r="B118" s="18" t="s">
        <v>44</v>
      </c>
      <c r="C118" s="18" t="s">
        <v>76</v>
      </c>
      <c r="D118" s="18" t="s">
        <v>444</v>
      </c>
      <c r="E118" s="18" t="s">
        <v>445</v>
      </c>
      <c r="F118" s="18" t="s">
        <v>228</v>
      </c>
      <c r="G118" s="18">
        <v>20.6</v>
      </c>
      <c r="H118" s="18" t="s">
        <v>168</v>
      </c>
      <c r="I118" s="19">
        <v>6867.0</v>
      </c>
      <c r="J118" s="19">
        <v>9650.0</v>
      </c>
      <c r="K118" s="19">
        <v>8300.0</v>
      </c>
      <c r="L118" s="18" t="s">
        <v>446</v>
      </c>
      <c r="M118" s="18" t="s">
        <v>447</v>
      </c>
      <c r="N118" s="18" t="s">
        <v>240</v>
      </c>
      <c r="O118" s="18" t="s">
        <v>41</v>
      </c>
      <c r="P118" s="18" t="s">
        <v>42</v>
      </c>
      <c r="Q118" s="10">
        <f t="shared" si="1"/>
        <v>1</v>
      </c>
    </row>
    <row r="119">
      <c r="A119" s="18" t="s">
        <v>145</v>
      </c>
      <c r="B119" s="18" t="s">
        <v>44</v>
      </c>
      <c r="C119" s="18" t="s">
        <v>53</v>
      </c>
      <c r="D119" s="18" t="s">
        <v>448</v>
      </c>
      <c r="E119" s="18" t="s">
        <v>449</v>
      </c>
      <c r="F119" s="18" t="s">
        <v>228</v>
      </c>
      <c r="G119" s="18">
        <v>16.7</v>
      </c>
      <c r="H119" s="18" t="s">
        <v>56</v>
      </c>
      <c r="I119" s="19">
        <v>8592.0</v>
      </c>
      <c r="J119" s="19">
        <v>9500.0</v>
      </c>
      <c r="K119" s="19">
        <v>10350.0</v>
      </c>
      <c r="L119" s="18" t="s">
        <v>450</v>
      </c>
      <c r="M119" s="18" t="s">
        <v>451</v>
      </c>
      <c r="N119" s="18" t="s">
        <v>231</v>
      </c>
      <c r="O119" s="18" t="s">
        <v>151</v>
      </c>
      <c r="P119" s="18" t="s">
        <v>63</v>
      </c>
      <c r="Q119" s="10">
        <f t="shared" si="1"/>
        <v>1</v>
      </c>
    </row>
    <row r="120">
      <c r="A120" s="18" t="s">
        <v>216</v>
      </c>
      <c r="B120" s="18" t="s">
        <v>45</v>
      </c>
      <c r="C120" s="18" t="s">
        <v>45</v>
      </c>
      <c r="D120" s="18" t="s">
        <v>452</v>
      </c>
      <c r="E120" s="18" t="s">
        <v>453</v>
      </c>
      <c r="F120" s="18" t="s">
        <v>228</v>
      </c>
      <c r="G120" s="18">
        <v>8.54</v>
      </c>
      <c r="H120" s="18" t="s">
        <v>45</v>
      </c>
      <c r="I120" s="19">
        <v>3194.0</v>
      </c>
      <c r="J120" s="19">
        <v>4500.0</v>
      </c>
      <c r="K120" s="19">
        <v>3850.0</v>
      </c>
      <c r="L120" s="18" t="s">
        <v>454</v>
      </c>
      <c r="M120" s="18" t="s">
        <v>455</v>
      </c>
      <c r="N120" s="18" t="s">
        <v>456</v>
      </c>
      <c r="O120" s="18" t="s">
        <v>83</v>
      </c>
      <c r="P120" s="18" t="s">
        <v>42</v>
      </c>
      <c r="Q120" s="10">
        <f t="shared" si="1"/>
        <v>1</v>
      </c>
    </row>
    <row r="121">
      <c r="A121" s="18" t="s">
        <v>210</v>
      </c>
      <c r="B121" s="18" t="s">
        <v>44</v>
      </c>
      <c r="C121" s="18" t="s">
        <v>76</v>
      </c>
      <c r="D121" s="18" t="s">
        <v>457</v>
      </c>
      <c r="E121" s="18" t="s">
        <v>458</v>
      </c>
      <c r="F121" s="18" t="s">
        <v>228</v>
      </c>
      <c r="G121" s="18">
        <v>19.29</v>
      </c>
      <c r="H121" s="18" t="s">
        <v>120</v>
      </c>
      <c r="I121" s="19">
        <v>6500.0</v>
      </c>
      <c r="J121" s="19">
        <v>8450.0</v>
      </c>
      <c r="K121" s="19">
        <v>7800.0</v>
      </c>
      <c r="L121" s="18" t="s">
        <v>459</v>
      </c>
      <c r="M121" s="18" t="s">
        <v>460</v>
      </c>
      <c r="N121" s="18" t="s">
        <v>316</v>
      </c>
      <c r="O121" s="18" t="s">
        <v>83</v>
      </c>
      <c r="P121" s="18" t="s">
        <v>63</v>
      </c>
      <c r="Q121" s="10">
        <f t="shared" si="1"/>
        <v>1</v>
      </c>
    </row>
    <row r="122">
      <c r="A122" s="18" t="s">
        <v>216</v>
      </c>
      <c r="B122" s="18" t="s">
        <v>44</v>
      </c>
      <c r="C122" s="18" t="s">
        <v>133</v>
      </c>
      <c r="D122" s="18" t="s">
        <v>461</v>
      </c>
      <c r="E122" s="18" t="s">
        <v>462</v>
      </c>
      <c r="F122" s="18" t="s">
        <v>228</v>
      </c>
      <c r="G122" s="18">
        <v>13.5</v>
      </c>
      <c r="H122" s="18" t="s">
        <v>56</v>
      </c>
      <c r="I122" s="19">
        <v>5323.0</v>
      </c>
      <c r="J122" s="19">
        <v>7500.0</v>
      </c>
      <c r="K122" s="19">
        <v>6450.0</v>
      </c>
      <c r="L122" s="18" t="s">
        <v>463</v>
      </c>
      <c r="M122" s="18" t="s">
        <v>464</v>
      </c>
      <c r="N122" s="18" t="s">
        <v>240</v>
      </c>
      <c r="O122" s="18" t="s">
        <v>57</v>
      </c>
      <c r="P122" s="18" t="s">
        <v>42</v>
      </c>
      <c r="Q122" s="10">
        <f t="shared" si="1"/>
        <v>1</v>
      </c>
    </row>
    <row r="123">
      <c r="A123" s="18" t="s">
        <v>282</v>
      </c>
      <c r="B123" s="18" t="s">
        <v>44</v>
      </c>
      <c r="C123" s="18" t="s">
        <v>53</v>
      </c>
      <c r="D123" s="18" t="s">
        <v>465</v>
      </c>
      <c r="E123" s="18" t="s">
        <v>466</v>
      </c>
      <c r="F123" s="18" t="s">
        <v>228</v>
      </c>
      <c r="G123" s="18">
        <v>15.44</v>
      </c>
      <c r="H123" s="18" t="s">
        <v>56</v>
      </c>
      <c r="I123" s="19">
        <v>4851.0</v>
      </c>
      <c r="J123" s="19">
        <v>5850.0</v>
      </c>
      <c r="K123" s="19">
        <v>5900.0</v>
      </c>
      <c r="L123" s="18" t="s">
        <v>467</v>
      </c>
      <c r="M123" s="18" t="s">
        <v>468</v>
      </c>
      <c r="N123" s="18" t="s">
        <v>363</v>
      </c>
      <c r="O123" s="18" t="s">
        <v>57</v>
      </c>
      <c r="P123" s="18" t="s">
        <v>63</v>
      </c>
      <c r="Q123" s="10">
        <f t="shared" si="1"/>
        <v>1</v>
      </c>
    </row>
    <row r="124">
      <c r="A124" s="18" t="s">
        <v>171</v>
      </c>
      <c r="B124" s="18" t="s">
        <v>36</v>
      </c>
      <c r="C124" s="18" t="s">
        <v>37</v>
      </c>
      <c r="D124" s="18" t="s">
        <v>469</v>
      </c>
      <c r="E124" s="18" t="s">
        <v>470</v>
      </c>
      <c r="F124" s="18" t="s">
        <v>228</v>
      </c>
      <c r="G124" s="18">
        <v>60.1</v>
      </c>
      <c r="H124" s="18" t="s">
        <v>471</v>
      </c>
      <c r="I124" s="19">
        <v>6000.0</v>
      </c>
      <c r="J124" s="19">
        <v>6900.0</v>
      </c>
      <c r="K124" s="19"/>
      <c r="L124" s="18" t="s">
        <v>472</v>
      </c>
      <c r="M124" s="18" t="s">
        <v>473</v>
      </c>
      <c r="N124" s="18" t="s">
        <v>270</v>
      </c>
      <c r="O124" s="18" t="s">
        <v>198</v>
      </c>
      <c r="P124" s="18"/>
      <c r="Q124" s="10">
        <f t="shared" si="1"/>
        <v>1</v>
      </c>
    </row>
    <row r="125">
      <c r="A125" s="18" t="s">
        <v>125</v>
      </c>
      <c r="B125" s="18" t="s">
        <v>45</v>
      </c>
      <c r="C125" s="18" t="s">
        <v>45</v>
      </c>
      <c r="D125" s="18" t="s">
        <v>474</v>
      </c>
      <c r="E125" s="18" t="s">
        <v>475</v>
      </c>
      <c r="F125" s="18" t="s">
        <v>228</v>
      </c>
      <c r="G125" s="18">
        <v>8.63</v>
      </c>
      <c r="H125" s="18" t="s">
        <v>45</v>
      </c>
      <c r="I125" s="19">
        <v>1995.0</v>
      </c>
      <c r="J125" s="19">
        <v>1700.0</v>
      </c>
      <c r="K125" s="19">
        <v>3550.0</v>
      </c>
      <c r="L125" s="18" t="s">
        <v>476</v>
      </c>
      <c r="M125" s="18" t="s">
        <v>477</v>
      </c>
      <c r="N125" s="18" t="s">
        <v>403</v>
      </c>
      <c r="O125" s="18" t="s">
        <v>57</v>
      </c>
      <c r="P125" s="18"/>
      <c r="Q125" s="10">
        <f t="shared" si="1"/>
        <v>1</v>
      </c>
    </row>
    <row r="126">
      <c r="A126" s="18" t="s">
        <v>145</v>
      </c>
      <c r="B126" s="18" t="s">
        <v>44</v>
      </c>
      <c r="C126" s="18" t="s">
        <v>53</v>
      </c>
      <c r="D126" s="18" t="s">
        <v>478</v>
      </c>
      <c r="E126" s="18" t="s">
        <v>479</v>
      </c>
      <c r="F126" s="18" t="s">
        <v>228</v>
      </c>
      <c r="G126" s="18">
        <v>16.5</v>
      </c>
      <c r="H126" s="18" t="s">
        <v>56</v>
      </c>
      <c r="I126" s="19">
        <v>8592.0</v>
      </c>
      <c r="J126" s="19">
        <v>9500.0</v>
      </c>
      <c r="K126" s="19">
        <v>10350.0</v>
      </c>
      <c r="L126" s="18" t="s">
        <v>480</v>
      </c>
      <c r="M126" s="18" t="s">
        <v>481</v>
      </c>
      <c r="N126" s="18" t="s">
        <v>270</v>
      </c>
      <c r="O126" s="18" t="s">
        <v>151</v>
      </c>
      <c r="P126" s="18" t="s">
        <v>63</v>
      </c>
      <c r="Q126" s="10">
        <f t="shared" si="1"/>
        <v>1</v>
      </c>
    </row>
    <row r="127">
      <c r="A127" s="18" t="s">
        <v>216</v>
      </c>
      <c r="B127" s="18" t="s">
        <v>45</v>
      </c>
      <c r="C127" s="18" t="s">
        <v>45</v>
      </c>
      <c r="D127" s="18" t="s">
        <v>482</v>
      </c>
      <c r="E127" s="18" t="s">
        <v>483</v>
      </c>
      <c r="F127" s="18" t="s">
        <v>228</v>
      </c>
      <c r="G127" s="18">
        <v>9.85</v>
      </c>
      <c r="H127" s="18" t="s">
        <v>45</v>
      </c>
      <c r="I127" s="19">
        <v>3194.0</v>
      </c>
      <c r="J127" s="19">
        <v>4500.0</v>
      </c>
      <c r="K127" s="19">
        <v>3850.0</v>
      </c>
      <c r="L127" s="18" t="s">
        <v>484</v>
      </c>
      <c r="M127" s="18" t="s">
        <v>464</v>
      </c>
      <c r="N127" s="18" t="s">
        <v>240</v>
      </c>
      <c r="O127" s="18" t="s">
        <v>57</v>
      </c>
      <c r="P127" s="18" t="s">
        <v>42</v>
      </c>
      <c r="Q127" s="10">
        <f t="shared" si="1"/>
        <v>1</v>
      </c>
    </row>
    <row r="128">
      <c r="A128" s="18" t="s">
        <v>485</v>
      </c>
      <c r="B128" s="18" t="s">
        <v>36</v>
      </c>
      <c r="C128" s="18" t="s">
        <v>37</v>
      </c>
      <c r="D128" s="18" t="s">
        <v>486</v>
      </c>
      <c r="E128" s="18" t="s">
        <v>487</v>
      </c>
      <c r="F128" s="18" t="s">
        <v>228</v>
      </c>
      <c r="G128" s="18">
        <v>49.88</v>
      </c>
      <c r="H128" s="18" t="s">
        <v>488</v>
      </c>
      <c r="I128" s="19">
        <v>2160.0</v>
      </c>
      <c r="J128" s="19">
        <v>2400.0</v>
      </c>
      <c r="K128" s="19"/>
      <c r="L128" s="18" t="s">
        <v>489</v>
      </c>
      <c r="M128" s="18" t="s">
        <v>490</v>
      </c>
      <c r="N128" s="18" t="s">
        <v>491</v>
      </c>
      <c r="O128" s="18" t="s">
        <v>83</v>
      </c>
      <c r="P128" s="18" t="s">
        <v>48</v>
      </c>
      <c r="Q128" s="10">
        <f t="shared" si="1"/>
        <v>1</v>
      </c>
    </row>
    <row r="129">
      <c r="A129" s="18" t="s">
        <v>485</v>
      </c>
      <c r="B129" s="18" t="s">
        <v>44</v>
      </c>
      <c r="C129" s="18" t="s">
        <v>151</v>
      </c>
      <c r="D129" s="18" t="s">
        <v>492</v>
      </c>
      <c r="E129" s="18" t="s">
        <v>493</v>
      </c>
      <c r="F129" s="18" t="s">
        <v>228</v>
      </c>
      <c r="G129" s="18">
        <v>24.12</v>
      </c>
      <c r="H129" s="18" t="s">
        <v>488</v>
      </c>
      <c r="I129" s="19">
        <v>2142.0</v>
      </c>
      <c r="J129" s="19">
        <v>2400.0</v>
      </c>
      <c r="K129" s="19"/>
      <c r="L129" s="18" t="s">
        <v>494</v>
      </c>
      <c r="M129" s="18" t="s">
        <v>495</v>
      </c>
      <c r="N129" s="18" t="s">
        <v>491</v>
      </c>
      <c r="O129" s="18" t="s">
        <v>41</v>
      </c>
      <c r="P129" s="18" t="s">
        <v>48</v>
      </c>
      <c r="Q129" s="10">
        <f t="shared" si="1"/>
        <v>1</v>
      </c>
    </row>
    <row r="130">
      <c r="A130" s="18" t="s">
        <v>485</v>
      </c>
      <c r="B130" s="18" t="s">
        <v>44</v>
      </c>
      <c r="C130" s="18" t="s">
        <v>64</v>
      </c>
      <c r="D130" s="18" t="s">
        <v>496</v>
      </c>
      <c r="E130" s="18" t="s">
        <v>497</v>
      </c>
      <c r="F130" s="18" t="s">
        <v>228</v>
      </c>
      <c r="G130" s="18">
        <v>17.01</v>
      </c>
      <c r="H130" s="18" t="s">
        <v>67</v>
      </c>
      <c r="I130" s="19">
        <v>2142.0</v>
      </c>
      <c r="J130" s="19">
        <v>2400.0</v>
      </c>
      <c r="K130" s="19"/>
      <c r="L130" s="18" t="s">
        <v>498</v>
      </c>
      <c r="M130" s="18" t="s">
        <v>499</v>
      </c>
      <c r="N130" s="18" t="s">
        <v>491</v>
      </c>
      <c r="O130" s="18" t="s">
        <v>57</v>
      </c>
      <c r="P130" s="18" t="s">
        <v>48</v>
      </c>
      <c r="Q130" s="10">
        <f t="shared" si="1"/>
        <v>1</v>
      </c>
    </row>
    <row r="131">
      <c r="A131" s="18" t="s">
        <v>485</v>
      </c>
      <c r="B131" s="18" t="s">
        <v>44</v>
      </c>
      <c r="C131" s="18" t="s">
        <v>64</v>
      </c>
      <c r="D131" s="18" t="s">
        <v>500</v>
      </c>
      <c r="E131" s="18" t="s">
        <v>501</v>
      </c>
      <c r="F131" s="18" t="s">
        <v>228</v>
      </c>
      <c r="G131" s="18">
        <v>17.24</v>
      </c>
      <c r="H131" s="18" t="s">
        <v>67</v>
      </c>
      <c r="I131" s="19">
        <v>2142.0</v>
      </c>
      <c r="J131" s="19">
        <v>2400.0</v>
      </c>
      <c r="K131" s="19"/>
      <c r="L131" s="18" t="s">
        <v>502</v>
      </c>
      <c r="M131" s="18" t="s">
        <v>503</v>
      </c>
      <c r="N131" s="18" t="s">
        <v>491</v>
      </c>
      <c r="O131" s="18" t="s">
        <v>57</v>
      </c>
      <c r="P131" s="18" t="s">
        <v>48</v>
      </c>
      <c r="Q131" s="10">
        <f t="shared" si="1"/>
        <v>1</v>
      </c>
    </row>
    <row r="132">
      <c r="A132" s="18" t="s">
        <v>485</v>
      </c>
      <c r="B132" s="18" t="s">
        <v>44</v>
      </c>
      <c r="C132" s="18" t="s">
        <v>53</v>
      </c>
      <c r="D132" s="18" t="s">
        <v>504</v>
      </c>
      <c r="E132" s="18" t="s">
        <v>505</v>
      </c>
      <c r="F132" s="18" t="s">
        <v>228</v>
      </c>
      <c r="G132" s="18">
        <v>15.02</v>
      </c>
      <c r="H132" s="18" t="s">
        <v>62</v>
      </c>
      <c r="I132" s="19">
        <v>2142.0</v>
      </c>
      <c r="J132" s="19">
        <v>2400.0</v>
      </c>
      <c r="K132" s="19"/>
      <c r="L132" s="18" t="s">
        <v>506</v>
      </c>
      <c r="M132" s="18" t="s">
        <v>507</v>
      </c>
      <c r="N132" s="18" t="s">
        <v>491</v>
      </c>
      <c r="O132" s="18" t="s">
        <v>41</v>
      </c>
      <c r="P132" s="18" t="s">
        <v>48</v>
      </c>
      <c r="Q132" s="10">
        <f t="shared" si="1"/>
        <v>1</v>
      </c>
    </row>
    <row r="133">
      <c r="A133" s="18" t="s">
        <v>485</v>
      </c>
      <c r="B133" s="18" t="s">
        <v>44</v>
      </c>
      <c r="C133" s="18" t="s">
        <v>133</v>
      </c>
      <c r="D133" s="18" t="s">
        <v>508</v>
      </c>
      <c r="E133" s="18" t="s">
        <v>509</v>
      </c>
      <c r="F133" s="18" t="s">
        <v>228</v>
      </c>
      <c r="G133" s="18">
        <v>14.56</v>
      </c>
      <c r="H133" s="18" t="s">
        <v>62</v>
      </c>
      <c r="I133" s="19">
        <v>2142.0</v>
      </c>
      <c r="J133" s="19">
        <v>2400.0</v>
      </c>
      <c r="K133" s="19"/>
      <c r="L133" s="18" t="s">
        <v>510</v>
      </c>
      <c r="M133" s="18" t="s">
        <v>511</v>
      </c>
      <c r="N133" s="18" t="s">
        <v>491</v>
      </c>
      <c r="O133" s="18" t="s">
        <v>41</v>
      </c>
      <c r="P133" s="18" t="s">
        <v>48</v>
      </c>
      <c r="Q133" s="10">
        <f t="shared" si="1"/>
        <v>1</v>
      </c>
    </row>
    <row r="134">
      <c r="A134" s="18" t="s">
        <v>485</v>
      </c>
      <c r="B134" s="18" t="s">
        <v>44</v>
      </c>
      <c r="C134" s="18" t="s">
        <v>50</v>
      </c>
      <c r="D134" s="18" t="s">
        <v>512</v>
      </c>
      <c r="E134" s="18" t="s">
        <v>513</v>
      </c>
      <c r="F134" s="18" t="s">
        <v>228</v>
      </c>
      <c r="G134" s="18">
        <v>11.5</v>
      </c>
      <c r="H134" s="18" t="s">
        <v>50</v>
      </c>
      <c r="I134" s="19">
        <v>2142.0</v>
      </c>
      <c r="J134" s="19">
        <v>2400.0</v>
      </c>
      <c r="K134" s="19"/>
      <c r="L134" s="18" t="s">
        <v>514</v>
      </c>
      <c r="M134" s="18" t="s">
        <v>515</v>
      </c>
      <c r="N134" s="18" t="s">
        <v>491</v>
      </c>
      <c r="O134" s="18" t="s">
        <v>57</v>
      </c>
      <c r="P134" s="18" t="s">
        <v>48</v>
      </c>
      <c r="Q134" s="10">
        <f t="shared" si="1"/>
        <v>1</v>
      </c>
    </row>
    <row r="135">
      <c r="A135" s="18" t="s">
        <v>485</v>
      </c>
      <c r="B135" s="18" t="s">
        <v>44</v>
      </c>
      <c r="C135" s="18" t="s">
        <v>76</v>
      </c>
      <c r="D135" s="18" t="s">
        <v>516</v>
      </c>
      <c r="E135" s="18" t="s">
        <v>517</v>
      </c>
      <c r="F135" s="18" t="s">
        <v>228</v>
      </c>
      <c r="G135" s="18">
        <v>20.86</v>
      </c>
      <c r="H135" s="18" t="s">
        <v>67</v>
      </c>
      <c r="I135" s="19">
        <v>2142.0</v>
      </c>
      <c r="J135" s="19">
        <v>2400.0</v>
      </c>
      <c r="K135" s="19"/>
      <c r="L135" s="18" t="s">
        <v>518</v>
      </c>
      <c r="M135" s="18" t="s">
        <v>519</v>
      </c>
      <c r="N135" s="18" t="s">
        <v>491</v>
      </c>
      <c r="O135" s="18" t="s">
        <v>41</v>
      </c>
      <c r="P135" s="18" t="s">
        <v>48</v>
      </c>
      <c r="Q135" s="10">
        <f t="shared" si="1"/>
        <v>1</v>
      </c>
    </row>
    <row r="136">
      <c r="A136" s="18" t="s">
        <v>485</v>
      </c>
      <c r="B136" s="18" t="s">
        <v>44</v>
      </c>
      <c r="C136" s="18" t="s">
        <v>64</v>
      </c>
      <c r="D136" s="18" t="s">
        <v>520</v>
      </c>
      <c r="E136" s="18" t="s">
        <v>521</v>
      </c>
      <c r="F136" s="18" t="s">
        <v>228</v>
      </c>
      <c r="G136" s="18">
        <v>17.02</v>
      </c>
      <c r="H136" s="18" t="s">
        <v>67</v>
      </c>
      <c r="I136" s="19">
        <v>2142.0</v>
      </c>
      <c r="J136" s="19">
        <v>2400.0</v>
      </c>
      <c r="K136" s="19"/>
      <c r="L136" s="18" t="s">
        <v>522</v>
      </c>
      <c r="M136" s="18" t="s">
        <v>523</v>
      </c>
      <c r="N136" s="18" t="s">
        <v>491</v>
      </c>
      <c r="O136" s="18" t="s">
        <v>57</v>
      </c>
      <c r="P136" s="18" t="s">
        <v>48</v>
      </c>
      <c r="Q136" s="10">
        <f t="shared" si="1"/>
        <v>1</v>
      </c>
    </row>
    <row r="137">
      <c r="A137" s="18" t="s">
        <v>485</v>
      </c>
      <c r="B137" s="18" t="s">
        <v>44</v>
      </c>
      <c r="C137" s="18" t="s">
        <v>53</v>
      </c>
      <c r="D137" s="18" t="s">
        <v>524</v>
      </c>
      <c r="E137" s="18" t="s">
        <v>525</v>
      </c>
      <c r="F137" s="18" t="s">
        <v>228</v>
      </c>
      <c r="G137" s="18">
        <v>16.01</v>
      </c>
      <c r="H137" s="18" t="s">
        <v>62</v>
      </c>
      <c r="I137" s="19">
        <v>2142.0</v>
      </c>
      <c r="J137" s="19">
        <v>2400.0</v>
      </c>
      <c r="K137" s="19"/>
      <c r="L137" s="18" t="s">
        <v>526</v>
      </c>
      <c r="M137" s="18" t="s">
        <v>527</v>
      </c>
      <c r="N137" s="18" t="s">
        <v>491</v>
      </c>
      <c r="O137" s="18" t="s">
        <v>41</v>
      </c>
      <c r="P137" s="18" t="s">
        <v>48</v>
      </c>
      <c r="Q137" s="10">
        <f t="shared" si="1"/>
        <v>1</v>
      </c>
    </row>
    <row r="138">
      <c r="A138" s="18" t="s">
        <v>485</v>
      </c>
      <c r="B138" s="18" t="s">
        <v>44</v>
      </c>
      <c r="C138" s="18" t="s">
        <v>64</v>
      </c>
      <c r="D138" s="18" t="s">
        <v>528</v>
      </c>
      <c r="E138" s="18" t="s">
        <v>529</v>
      </c>
      <c r="F138" s="18" t="s">
        <v>228</v>
      </c>
      <c r="G138" s="18">
        <v>18.31</v>
      </c>
      <c r="H138" s="18" t="s">
        <v>67</v>
      </c>
      <c r="I138" s="19">
        <v>2142.0</v>
      </c>
      <c r="J138" s="19">
        <v>2400.0</v>
      </c>
      <c r="K138" s="19"/>
      <c r="L138" s="18" t="s">
        <v>530</v>
      </c>
      <c r="M138" s="18" t="s">
        <v>531</v>
      </c>
      <c r="N138" s="18" t="s">
        <v>491</v>
      </c>
      <c r="O138" s="18" t="s">
        <v>41</v>
      </c>
      <c r="P138" s="18" t="s">
        <v>48</v>
      </c>
      <c r="Q138" s="10">
        <f t="shared" si="1"/>
        <v>1</v>
      </c>
    </row>
    <row r="139">
      <c r="A139" s="18" t="s">
        <v>485</v>
      </c>
      <c r="B139" s="18" t="s">
        <v>44</v>
      </c>
      <c r="C139" s="18" t="s">
        <v>53</v>
      </c>
      <c r="D139" s="18" t="s">
        <v>532</v>
      </c>
      <c r="E139" s="18" t="s">
        <v>533</v>
      </c>
      <c r="F139" s="18" t="s">
        <v>228</v>
      </c>
      <c r="G139" s="18">
        <v>16.51</v>
      </c>
      <c r="H139" s="18" t="s">
        <v>62</v>
      </c>
      <c r="I139" s="19">
        <v>2142.0</v>
      </c>
      <c r="J139" s="19">
        <v>2400.0</v>
      </c>
      <c r="K139" s="19"/>
      <c r="L139" s="18" t="s">
        <v>534</v>
      </c>
      <c r="M139" s="18" t="s">
        <v>535</v>
      </c>
      <c r="N139" s="18" t="s">
        <v>491</v>
      </c>
      <c r="O139" s="18" t="s">
        <v>41</v>
      </c>
      <c r="P139" s="18" t="s">
        <v>48</v>
      </c>
      <c r="Q139" s="10">
        <f t="shared" si="1"/>
        <v>1</v>
      </c>
    </row>
    <row r="140">
      <c r="A140" s="18" t="s">
        <v>485</v>
      </c>
      <c r="B140" s="18" t="s">
        <v>44</v>
      </c>
      <c r="C140" s="18" t="s">
        <v>133</v>
      </c>
      <c r="D140" s="18" t="s">
        <v>536</v>
      </c>
      <c r="E140" s="18" t="s">
        <v>537</v>
      </c>
      <c r="F140" s="18" t="s">
        <v>228</v>
      </c>
      <c r="G140" s="18">
        <v>14.74</v>
      </c>
      <c r="H140" s="18" t="s">
        <v>62</v>
      </c>
      <c r="I140" s="19">
        <v>2142.0</v>
      </c>
      <c r="J140" s="19">
        <v>2400.0</v>
      </c>
      <c r="K140" s="19"/>
      <c r="L140" s="18" t="s">
        <v>538</v>
      </c>
      <c r="M140" s="18" t="s">
        <v>539</v>
      </c>
      <c r="N140" s="18" t="s">
        <v>491</v>
      </c>
      <c r="O140" s="18" t="s">
        <v>57</v>
      </c>
      <c r="P140" s="18" t="s">
        <v>48</v>
      </c>
      <c r="Q140" s="10">
        <f t="shared" si="1"/>
        <v>1</v>
      </c>
    </row>
    <row r="141">
      <c r="A141" s="18" t="s">
        <v>485</v>
      </c>
      <c r="B141" s="18" t="s">
        <v>44</v>
      </c>
      <c r="C141" s="18" t="s">
        <v>76</v>
      </c>
      <c r="D141" s="18" t="s">
        <v>540</v>
      </c>
      <c r="E141" s="18" t="s">
        <v>541</v>
      </c>
      <c r="F141" s="18" t="s">
        <v>228</v>
      </c>
      <c r="G141" s="18">
        <v>19.97</v>
      </c>
      <c r="H141" s="18" t="s">
        <v>67</v>
      </c>
      <c r="I141" s="19">
        <v>2142.0</v>
      </c>
      <c r="J141" s="19">
        <v>2400.0</v>
      </c>
      <c r="K141" s="19"/>
      <c r="L141" s="18" t="s">
        <v>542</v>
      </c>
      <c r="M141" s="18" t="s">
        <v>543</v>
      </c>
      <c r="N141" s="18" t="s">
        <v>491</v>
      </c>
      <c r="O141" s="18" t="s">
        <v>57</v>
      </c>
      <c r="P141" s="18" t="s">
        <v>48</v>
      </c>
      <c r="Q141" s="10">
        <f t="shared" si="1"/>
        <v>1</v>
      </c>
    </row>
    <row r="142">
      <c r="A142" s="18" t="s">
        <v>485</v>
      </c>
      <c r="B142" s="18" t="s">
        <v>44</v>
      </c>
      <c r="C142" s="18" t="s">
        <v>53</v>
      </c>
      <c r="D142" s="18" t="s">
        <v>544</v>
      </c>
      <c r="E142" s="18" t="s">
        <v>545</v>
      </c>
      <c r="F142" s="18" t="s">
        <v>228</v>
      </c>
      <c r="G142" s="18">
        <v>16.28</v>
      </c>
      <c r="H142" s="18" t="s">
        <v>62</v>
      </c>
      <c r="I142" s="19">
        <v>2142.0</v>
      </c>
      <c r="J142" s="19">
        <v>2400.0</v>
      </c>
      <c r="K142" s="19"/>
      <c r="L142" s="18" t="s">
        <v>546</v>
      </c>
      <c r="M142" s="18" t="s">
        <v>547</v>
      </c>
      <c r="N142" s="18" t="s">
        <v>491</v>
      </c>
      <c r="O142" s="18" t="s">
        <v>57</v>
      </c>
      <c r="P142" s="18" t="s">
        <v>48</v>
      </c>
      <c r="Q142" s="10">
        <f t="shared" si="1"/>
        <v>1</v>
      </c>
    </row>
    <row r="143">
      <c r="A143" s="18" t="s">
        <v>485</v>
      </c>
      <c r="B143" s="18" t="s">
        <v>44</v>
      </c>
      <c r="C143" s="18" t="s">
        <v>64</v>
      </c>
      <c r="D143" s="18" t="s">
        <v>548</v>
      </c>
      <c r="E143" s="18" t="s">
        <v>549</v>
      </c>
      <c r="F143" s="18" t="s">
        <v>228</v>
      </c>
      <c r="G143" s="18">
        <v>18.85</v>
      </c>
      <c r="H143" s="18" t="s">
        <v>67</v>
      </c>
      <c r="I143" s="19">
        <v>2142.0</v>
      </c>
      <c r="J143" s="19">
        <v>2400.0</v>
      </c>
      <c r="K143" s="19"/>
      <c r="L143" s="18" t="s">
        <v>550</v>
      </c>
      <c r="M143" s="18" t="s">
        <v>551</v>
      </c>
      <c r="N143" s="18" t="s">
        <v>491</v>
      </c>
      <c r="O143" s="18" t="s">
        <v>57</v>
      </c>
      <c r="P143" s="18" t="s">
        <v>48</v>
      </c>
      <c r="Q143" s="10">
        <f t="shared" si="1"/>
        <v>1</v>
      </c>
    </row>
    <row r="144">
      <c r="A144" s="18" t="s">
        <v>485</v>
      </c>
      <c r="B144" s="18" t="s">
        <v>44</v>
      </c>
      <c r="C144" s="18" t="s">
        <v>76</v>
      </c>
      <c r="D144" s="18" t="s">
        <v>552</v>
      </c>
      <c r="E144" s="18" t="s">
        <v>553</v>
      </c>
      <c r="F144" s="18" t="s">
        <v>228</v>
      </c>
      <c r="G144" s="18">
        <v>20.69</v>
      </c>
      <c r="H144" s="18" t="s">
        <v>120</v>
      </c>
      <c r="I144" s="19">
        <v>2142.0</v>
      </c>
      <c r="J144" s="19">
        <v>2400.0</v>
      </c>
      <c r="K144" s="19"/>
      <c r="L144" s="18" t="s">
        <v>554</v>
      </c>
      <c r="M144" s="18" t="s">
        <v>555</v>
      </c>
      <c r="N144" s="18" t="s">
        <v>491</v>
      </c>
      <c r="O144" s="18" t="s">
        <v>57</v>
      </c>
      <c r="P144" s="18" t="s">
        <v>48</v>
      </c>
      <c r="Q144" s="10">
        <f t="shared" si="1"/>
        <v>1</v>
      </c>
    </row>
    <row r="145">
      <c r="A145" s="18" t="s">
        <v>485</v>
      </c>
      <c r="B145" s="18" t="s">
        <v>44</v>
      </c>
      <c r="C145" s="18" t="s">
        <v>64</v>
      </c>
      <c r="D145" s="18" t="s">
        <v>556</v>
      </c>
      <c r="E145" s="18" t="s">
        <v>557</v>
      </c>
      <c r="F145" s="18" t="s">
        <v>228</v>
      </c>
      <c r="G145" s="18">
        <v>17.04</v>
      </c>
      <c r="H145" s="18" t="s">
        <v>67</v>
      </c>
      <c r="I145" s="19">
        <v>2142.0</v>
      </c>
      <c r="J145" s="19">
        <v>2400.0</v>
      </c>
      <c r="K145" s="19"/>
      <c r="L145" s="18" t="s">
        <v>558</v>
      </c>
      <c r="M145" s="18" t="s">
        <v>559</v>
      </c>
      <c r="N145" s="18" t="s">
        <v>491</v>
      </c>
      <c r="O145" s="18" t="s">
        <v>57</v>
      </c>
      <c r="P145" s="18" t="s">
        <v>48</v>
      </c>
      <c r="Q145" s="10">
        <f t="shared" si="1"/>
        <v>1</v>
      </c>
    </row>
    <row r="146">
      <c r="A146" s="18" t="s">
        <v>485</v>
      </c>
      <c r="B146" s="18" t="s">
        <v>44</v>
      </c>
      <c r="C146" s="18" t="s">
        <v>76</v>
      </c>
      <c r="D146" s="18" t="s">
        <v>560</v>
      </c>
      <c r="E146" s="18" t="s">
        <v>561</v>
      </c>
      <c r="F146" s="18" t="s">
        <v>228</v>
      </c>
      <c r="G146" s="18">
        <v>19.72</v>
      </c>
      <c r="H146" s="18" t="s">
        <v>67</v>
      </c>
      <c r="I146" s="19">
        <v>2142.0</v>
      </c>
      <c r="J146" s="19">
        <v>2400.0</v>
      </c>
      <c r="K146" s="19"/>
      <c r="L146" s="18" t="s">
        <v>562</v>
      </c>
      <c r="M146" s="18" t="s">
        <v>563</v>
      </c>
      <c r="N146" s="18" t="s">
        <v>491</v>
      </c>
      <c r="O146" s="18" t="s">
        <v>57</v>
      </c>
      <c r="P146" s="18" t="s">
        <v>48</v>
      </c>
      <c r="Q146" s="10">
        <f t="shared" si="1"/>
        <v>1</v>
      </c>
    </row>
    <row r="147">
      <c r="A147" s="18" t="s">
        <v>485</v>
      </c>
      <c r="B147" s="18" t="s">
        <v>44</v>
      </c>
      <c r="C147" s="18" t="s">
        <v>76</v>
      </c>
      <c r="D147" s="18" t="s">
        <v>564</v>
      </c>
      <c r="E147" s="18" t="s">
        <v>565</v>
      </c>
      <c r="F147" s="18" t="s">
        <v>228</v>
      </c>
      <c r="G147" s="18">
        <v>19.41</v>
      </c>
      <c r="H147" s="18" t="s">
        <v>67</v>
      </c>
      <c r="I147" s="19">
        <v>2142.0</v>
      </c>
      <c r="J147" s="19">
        <v>2400.0</v>
      </c>
      <c r="K147" s="19"/>
      <c r="L147" s="18" t="s">
        <v>566</v>
      </c>
      <c r="M147" s="18" t="s">
        <v>567</v>
      </c>
      <c r="N147" s="18" t="s">
        <v>491</v>
      </c>
      <c r="O147" s="18" t="s">
        <v>83</v>
      </c>
      <c r="P147" s="18" t="s">
        <v>48</v>
      </c>
      <c r="Q147" s="10">
        <f t="shared" si="1"/>
        <v>1</v>
      </c>
    </row>
    <row r="148">
      <c r="A148" s="18" t="s">
        <v>485</v>
      </c>
      <c r="B148" s="18" t="s">
        <v>45</v>
      </c>
      <c r="C148" s="18" t="s">
        <v>50</v>
      </c>
      <c r="D148" s="18" t="s">
        <v>568</v>
      </c>
      <c r="E148" s="18" t="s">
        <v>569</v>
      </c>
      <c r="F148" s="18" t="s">
        <v>228</v>
      </c>
      <c r="G148" s="18">
        <v>13.73</v>
      </c>
      <c r="H148" s="18" t="s">
        <v>45</v>
      </c>
      <c r="I148" s="19">
        <v>2142.0</v>
      </c>
      <c r="J148" s="19">
        <v>2400.0</v>
      </c>
      <c r="K148" s="19"/>
      <c r="L148" s="18" t="s">
        <v>570</v>
      </c>
      <c r="M148" s="18" t="s">
        <v>571</v>
      </c>
      <c r="N148" s="18" t="s">
        <v>491</v>
      </c>
      <c r="O148" s="18" t="s">
        <v>83</v>
      </c>
      <c r="P148" s="18" t="s">
        <v>48</v>
      </c>
      <c r="Q148" s="10">
        <f t="shared" si="1"/>
        <v>1</v>
      </c>
    </row>
    <row r="149">
      <c r="A149" s="18" t="s">
        <v>132</v>
      </c>
      <c r="B149" s="18" t="s">
        <v>44</v>
      </c>
      <c r="C149" s="18" t="s">
        <v>37</v>
      </c>
      <c r="D149" s="18" t="s">
        <v>572</v>
      </c>
      <c r="E149" s="18" t="s">
        <v>573</v>
      </c>
      <c r="F149" s="18" t="s">
        <v>228</v>
      </c>
      <c r="G149" s="18">
        <v>58.22</v>
      </c>
      <c r="H149" s="18" t="s">
        <v>574</v>
      </c>
      <c r="I149" s="19">
        <v>5542.5</v>
      </c>
      <c r="J149" s="19">
        <v>4450.0</v>
      </c>
      <c r="K149" s="19"/>
      <c r="L149" s="18" t="s">
        <v>575</v>
      </c>
      <c r="M149" s="18" t="s">
        <v>576</v>
      </c>
      <c r="N149" s="18" t="s">
        <v>343</v>
      </c>
      <c r="O149" s="18" t="s">
        <v>57</v>
      </c>
      <c r="P149" s="18"/>
      <c r="Q149" s="10">
        <f t="shared" si="1"/>
        <v>1</v>
      </c>
    </row>
    <row r="150">
      <c r="A150" s="18" t="s">
        <v>132</v>
      </c>
      <c r="B150" s="18" t="s">
        <v>45</v>
      </c>
      <c r="C150" s="18" t="s">
        <v>45</v>
      </c>
      <c r="D150" s="18" t="s">
        <v>577</v>
      </c>
      <c r="E150" s="18" t="s">
        <v>578</v>
      </c>
      <c r="F150" s="18" t="s">
        <v>228</v>
      </c>
      <c r="G150" s="18">
        <v>10.55</v>
      </c>
      <c r="H150" s="18" t="s">
        <v>400</v>
      </c>
      <c r="I150" s="19">
        <v>1822.08</v>
      </c>
      <c r="J150" s="19">
        <v>1500.0</v>
      </c>
      <c r="K150" s="19">
        <v>3500.0</v>
      </c>
      <c r="L150" s="18" t="s">
        <v>579</v>
      </c>
      <c r="M150" s="18" t="s">
        <v>580</v>
      </c>
      <c r="N150" s="18" t="s">
        <v>240</v>
      </c>
      <c r="O150" s="18" t="s">
        <v>41</v>
      </c>
      <c r="P150" s="18"/>
      <c r="Q150" s="10">
        <f t="shared" si="1"/>
        <v>1</v>
      </c>
    </row>
    <row r="151">
      <c r="A151" s="18" t="s">
        <v>191</v>
      </c>
      <c r="B151" s="18" t="s">
        <v>45</v>
      </c>
      <c r="C151" s="18" t="s">
        <v>45</v>
      </c>
      <c r="D151" s="18" t="s">
        <v>581</v>
      </c>
      <c r="E151" s="18" t="s">
        <v>582</v>
      </c>
      <c r="F151" s="18" t="s">
        <v>228</v>
      </c>
      <c r="G151" s="18">
        <v>14.57</v>
      </c>
      <c r="H151" s="18" t="s">
        <v>45</v>
      </c>
      <c r="I151" s="19">
        <v>3900.0</v>
      </c>
      <c r="J151" s="19">
        <v>5100.0</v>
      </c>
      <c r="K151" s="19"/>
      <c r="L151" s="18" t="s">
        <v>583</v>
      </c>
      <c r="M151" s="18" t="s">
        <v>584</v>
      </c>
      <c r="N151" s="18" t="s">
        <v>343</v>
      </c>
      <c r="O151" s="18" t="s">
        <v>41</v>
      </c>
      <c r="P151" s="18" t="s">
        <v>48</v>
      </c>
      <c r="Q151" s="10">
        <f t="shared" si="1"/>
        <v>1</v>
      </c>
    </row>
    <row r="152">
      <c r="A152" s="18" t="s">
        <v>171</v>
      </c>
      <c r="B152" s="18" t="s">
        <v>36</v>
      </c>
      <c r="C152" s="18" t="s">
        <v>37</v>
      </c>
      <c r="D152" s="18" t="s">
        <v>585</v>
      </c>
      <c r="E152" s="18" t="s">
        <v>586</v>
      </c>
      <c r="F152" s="18" t="s">
        <v>228</v>
      </c>
      <c r="G152" s="18">
        <v>45.02</v>
      </c>
      <c r="H152" s="18" t="s">
        <v>471</v>
      </c>
      <c r="I152" s="19">
        <v>6000.0</v>
      </c>
      <c r="J152" s="19">
        <v>6900.0</v>
      </c>
      <c r="K152" s="19"/>
      <c r="L152" s="18" t="s">
        <v>587</v>
      </c>
      <c r="M152" s="18" t="s">
        <v>588</v>
      </c>
      <c r="N152" s="18" t="s">
        <v>316</v>
      </c>
      <c r="O152" s="18" t="s">
        <v>198</v>
      </c>
      <c r="P152" s="18"/>
      <c r="Q152" s="10">
        <f t="shared" si="1"/>
        <v>1</v>
      </c>
    </row>
    <row r="153">
      <c r="A153" s="18" t="s">
        <v>282</v>
      </c>
      <c r="B153" s="18" t="s">
        <v>44</v>
      </c>
      <c r="C153" s="18" t="s">
        <v>53</v>
      </c>
      <c r="D153" s="18" t="s">
        <v>589</v>
      </c>
      <c r="E153" s="18" t="s">
        <v>590</v>
      </c>
      <c r="F153" s="18" t="s">
        <v>228</v>
      </c>
      <c r="G153" s="18">
        <v>15.63</v>
      </c>
      <c r="H153" s="18" t="s">
        <v>56</v>
      </c>
      <c r="I153" s="19">
        <v>4851.0</v>
      </c>
      <c r="J153" s="19">
        <v>5850.0</v>
      </c>
      <c r="K153" s="19">
        <v>5900.0</v>
      </c>
      <c r="L153" s="18" t="s">
        <v>591</v>
      </c>
      <c r="M153" s="18" t="s">
        <v>592</v>
      </c>
      <c r="N153" s="18" t="s">
        <v>363</v>
      </c>
      <c r="O153" s="18" t="s">
        <v>57</v>
      </c>
      <c r="P153" s="18" t="s">
        <v>63</v>
      </c>
      <c r="Q153" s="10">
        <f t="shared" si="1"/>
        <v>1</v>
      </c>
    </row>
    <row r="154">
      <c r="A154" s="18" t="s">
        <v>35</v>
      </c>
      <c r="B154" s="18" t="s">
        <v>44</v>
      </c>
      <c r="C154" s="18" t="s">
        <v>64</v>
      </c>
      <c r="D154" s="18" t="s">
        <v>593</v>
      </c>
      <c r="E154" s="18" t="s">
        <v>594</v>
      </c>
      <c r="F154" s="18" t="s">
        <v>228</v>
      </c>
      <c r="G154" s="18">
        <v>19.65</v>
      </c>
      <c r="H154" s="18" t="s">
        <v>168</v>
      </c>
      <c r="I154" s="19">
        <v>6648.0</v>
      </c>
      <c r="J154" s="19">
        <v>9000.0</v>
      </c>
      <c r="K154" s="19">
        <v>8000.0</v>
      </c>
      <c r="L154" s="18" t="s">
        <v>595</v>
      </c>
      <c r="M154" s="18" t="s">
        <v>596</v>
      </c>
      <c r="N154" s="18" t="s">
        <v>363</v>
      </c>
      <c r="O154" s="18" t="s">
        <v>41</v>
      </c>
      <c r="P154" s="18" t="s">
        <v>42</v>
      </c>
      <c r="Q154" s="10">
        <f t="shared" si="1"/>
        <v>1</v>
      </c>
    </row>
    <row r="155">
      <c r="A155" s="18" t="s">
        <v>225</v>
      </c>
      <c r="B155" s="18" t="s">
        <v>44</v>
      </c>
      <c r="C155" s="18" t="s">
        <v>64</v>
      </c>
      <c r="D155" s="18" t="s">
        <v>597</v>
      </c>
      <c r="E155" s="18" t="s">
        <v>598</v>
      </c>
      <c r="F155" s="18" t="s">
        <v>228</v>
      </c>
      <c r="G155" s="18">
        <v>18.8</v>
      </c>
      <c r="H155" s="18" t="s">
        <v>120</v>
      </c>
      <c r="I155" s="19">
        <v>6200.0</v>
      </c>
      <c r="J155" s="19">
        <v>8100.0</v>
      </c>
      <c r="K155" s="19">
        <v>7200.0</v>
      </c>
      <c r="L155" s="18" t="s">
        <v>599</v>
      </c>
      <c r="M155" s="18" t="s">
        <v>600</v>
      </c>
      <c r="N155" s="18" t="s">
        <v>316</v>
      </c>
      <c r="O155" s="18" t="s">
        <v>161</v>
      </c>
      <c r="P155" s="18" t="s">
        <v>162</v>
      </c>
      <c r="Q155" s="10">
        <f t="shared" si="1"/>
        <v>1</v>
      </c>
    </row>
    <row r="156">
      <c r="A156" s="18" t="s">
        <v>216</v>
      </c>
      <c r="B156" s="18" t="s">
        <v>45</v>
      </c>
      <c r="C156" s="18" t="s">
        <v>45</v>
      </c>
      <c r="D156" s="18" t="s">
        <v>601</v>
      </c>
      <c r="E156" s="18" t="s">
        <v>602</v>
      </c>
      <c r="F156" s="18" t="s">
        <v>228</v>
      </c>
      <c r="G156" s="18">
        <v>8.65</v>
      </c>
      <c r="H156" s="18" t="s">
        <v>45</v>
      </c>
      <c r="I156" s="19">
        <v>3194.0</v>
      </c>
      <c r="J156" s="19">
        <v>4500.0</v>
      </c>
      <c r="K156" s="19">
        <v>3850.0</v>
      </c>
      <c r="L156" s="18" t="s">
        <v>603</v>
      </c>
      <c r="M156" s="18" t="s">
        <v>604</v>
      </c>
      <c r="N156" s="18" t="s">
        <v>403</v>
      </c>
      <c r="O156" s="18" t="s">
        <v>41</v>
      </c>
      <c r="P156" s="18" t="s">
        <v>42</v>
      </c>
      <c r="Q156" s="10">
        <f t="shared" si="1"/>
        <v>1</v>
      </c>
    </row>
    <row r="157">
      <c r="A157" s="18" t="s">
        <v>191</v>
      </c>
      <c r="B157" s="18" t="s">
        <v>44</v>
      </c>
      <c r="C157" s="18" t="s">
        <v>64</v>
      </c>
      <c r="D157" s="18" t="s">
        <v>605</v>
      </c>
      <c r="E157" s="18" t="s">
        <v>606</v>
      </c>
      <c r="F157" s="18" t="s">
        <v>228</v>
      </c>
      <c r="G157" s="18">
        <v>18.8</v>
      </c>
      <c r="H157" s="18" t="s">
        <v>120</v>
      </c>
      <c r="I157" s="19">
        <v>6200.0</v>
      </c>
      <c r="J157" s="19">
        <v>8100.0</v>
      </c>
      <c r="K157" s="19"/>
      <c r="L157" s="18" t="s">
        <v>607</v>
      </c>
      <c r="M157" s="18" t="s">
        <v>608</v>
      </c>
      <c r="N157" s="18" t="s">
        <v>131</v>
      </c>
      <c r="O157" s="18" t="s">
        <v>57</v>
      </c>
      <c r="P157" s="18" t="s">
        <v>48</v>
      </c>
      <c r="Q157" s="10">
        <f t="shared" si="1"/>
        <v>1</v>
      </c>
    </row>
    <row r="158">
      <c r="A158" s="18" t="s">
        <v>191</v>
      </c>
      <c r="B158" s="18" t="s">
        <v>44</v>
      </c>
      <c r="C158" s="18" t="s">
        <v>37</v>
      </c>
      <c r="D158" s="18" t="s">
        <v>609</v>
      </c>
      <c r="E158" s="18" t="s">
        <v>610</v>
      </c>
      <c r="F158" s="18" t="s">
        <v>228</v>
      </c>
      <c r="G158" s="18">
        <v>50.77</v>
      </c>
      <c r="H158" s="18" t="s">
        <v>168</v>
      </c>
      <c r="I158" s="19">
        <v>8000.0</v>
      </c>
      <c r="J158" s="19">
        <v>10400.0</v>
      </c>
      <c r="K158" s="19"/>
      <c r="L158" s="18" t="s">
        <v>611</v>
      </c>
      <c r="M158" s="18" t="s">
        <v>612</v>
      </c>
      <c r="N158" s="18" t="s">
        <v>316</v>
      </c>
      <c r="O158" s="18" t="s">
        <v>613</v>
      </c>
      <c r="P158" s="18" t="s">
        <v>48</v>
      </c>
      <c r="Q158" s="10">
        <f t="shared" si="1"/>
        <v>1</v>
      </c>
    </row>
    <row r="159">
      <c r="A159" s="18" t="s">
        <v>201</v>
      </c>
      <c r="B159" s="18" t="s">
        <v>44</v>
      </c>
      <c r="C159" s="18" t="s">
        <v>151</v>
      </c>
      <c r="D159" s="18" t="s">
        <v>614</v>
      </c>
      <c r="E159" s="18" t="s">
        <v>615</v>
      </c>
      <c r="F159" s="18" t="s">
        <v>228</v>
      </c>
      <c r="G159" s="18">
        <v>24.98</v>
      </c>
      <c r="H159" s="18" t="s">
        <v>168</v>
      </c>
      <c r="I159" s="19">
        <v>4350.0</v>
      </c>
      <c r="J159" s="19">
        <v>5250.0</v>
      </c>
      <c r="K159" s="19">
        <v>5050.0</v>
      </c>
      <c r="L159" s="18" t="s">
        <v>616</v>
      </c>
      <c r="M159" s="18" t="s">
        <v>617</v>
      </c>
      <c r="N159" s="18" t="s">
        <v>240</v>
      </c>
      <c r="O159" s="18" t="s">
        <v>41</v>
      </c>
      <c r="P159" s="18"/>
      <c r="Q159" s="10">
        <f t="shared" si="1"/>
        <v>1</v>
      </c>
    </row>
    <row r="160">
      <c r="A160" s="18" t="s">
        <v>158</v>
      </c>
      <c r="B160" s="18" t="s">
        <v>44</v>
      </c>
      <c r="C160" s="18" t="s">
        <v>64</v>
      </c>
      <c r="D160" s="18" t="s">
        <v>618</v>
      </c>
      <c r="E160" s="18" t="s">
        <v>619</v>
      </c>
      <c r="F160" s="18" t="s">
        <v>228</v>
      </c>
      <c r="G160" s="18">
        <v>18.3</v>
      </c>
      <c r="H160" s="18" t="s">
        <v>120</v>
      </c>
      <c r="I160" s="19">
        <v>5516.0</v>
      </c>
      <c r="J160" s="19">
        <v>5550.0</v>
      </c>
      <c r="K160" s="19">
        <v>6700.0</v>
      </c>
      <c r="L160" s="18" t="s">
        <v>620</v>
      </c>
      <c r="M160" s="18" t="s">
        <v>621</v>
      </c>
      <c r="N160" s="18" t="s">
        <v>240</v>
      </c>
      <c r="O160" s="18" t="s">
        <v>161</v>
      </c>
      <c r="P160" s="18" t="s">
        <v>162</v>
      </c>
      <c r="Q160" s="10">
        <f t="shared" si="1"/>
        <v>1</v>
      </c>
    </row>
    <row r="161">
      <c r="A161" s="18" t="s">
        <v>191</v>
      </c>
      <c r="B161" s="18" t="s">
        <v>44</v>
      </c>
      <c r="C161" s="18" t="s">
        <v>151</v>
      </c>
      <c r="D161" s="18" t="s">
        <v>622</v>
      </c>
      <c r="E161" s="18" t="s">
        <v>623</v>
      </c>
      <c r="F161" s="18" t="s">
        <v>228</v>
      </c>
      <c r="G161" s="18">
        <v>25.37</v>
      </c>
      <c r="H161" s="18" t="s">
        <v>168</v>
      </c>
      <c r="I161" s="19">
        <v>7300.0</v>
      </c>
      <c r="J161" s="19">
        <v>9500.0</v>
      </c>
      <c r="K161" s="19"/>
      <c r="L161" s="18" t="s">
        <v>624</v>
      </c>
      <c r="M161" s="18" t="s">
        <v>625</v>
      </c>
      <c r="N161" s="18" t="s">
        <v>240</v>
      </c>
      <c r="O161" s="18" t="s">
        <v>57</v>
      </c>
      <c r="P161" s="18" t="s">
        <v>48</v>
      </c>
      <c r="Q161" s="10">
        <f t="shared" si="1"/>
        <v>1</v>
      </c>
    </row>
    <row r="162">
      <c r="A162" s="18" t="s">
        <v>216</v>
      </c>
      <c r="B162" s="18" t="s">
        <v>45</v>
      </c>
      <c r="C162" s="18" t="s">
        <v>53</v>
      </c>
      <c r="D162" s="18" t="s">
        <v>626</v>
      </c>
      <c r="E162" s="18" t="s">
        <v>627</v>
      </c>
      <c r="F162" s="18" t="s">
        <v>228</v>
      </c>
      <c r="G162" s="18">
        <v>9.53</v>
      </c>
      <c r="H162" s="18" t="s">
        <v>120</v>
      </c>
      <c r="I162" s="19">
        <v>3750.0</v>
      </c>
      <c r="J162" s="19">
        <v>5250.0</v>
      </c>
      <c r="K162" s="19">
        <v>6600.0</v>
      </c>
      <c r="L162" s="18" t="s">
        <v>628</v>
      </c>
      <c r="M162" s="18" t="s">
        <v>629</v>
      </c>
      <c r="N162" s="18" t="s">
        <v>143</v>
      </c>
      <c r="O162" s="18" t="s">
        <v>57</v>
      </c>
      <c r="P162" s="18" t="s">
        <v>42</v>
      </c>
      <c r="Q162" s="10">
        <f t="shared" si="1"/>
        <v>1</v>
      </c>
    </row>
    <row r="163">
      <c r="A163" s="18" t="s">
        <v>630</v>
      </c>
      <c r="B163" s="18" t="s">
        <v>44</v>
      </c>
      <c r="C163" s="18" t="s">
        <v>133</v>
      </c>
      <c r="D163" s="18" t="s">
        <v>631</v>
      </c>
      <c r="E163" s="18" t="s">
        <v>632</v>
      </c>
      <c r="F163" s="18" t="s">
        <v>228</v>
      </c>
      <c r="G163" s="18">
        <v>12.65</v>
      </c>
      <c r="H163" s="18" t="s">
        <v>56</v>
      </c>
      <c r="I163" s="19">
        <v>4038.0</v>
      </c>
      <c r="J163" s="19">
        <v>4450.0</v>
      </c>
      <c r="K163" s="19">
        <v>4900.0</v>
      </c>
      <c r="L163" s="18" t="s">
        <v>633</v>
      </c>
      <c r="M163" s="18" t="s">
        <v>634</v>
      </c>
      <c r="N163" s="18" t="s">
        <v>240</v>
      </c>
      <c r="O163" s="18" t="s">
        <v>41</v>
      </c>
      <c r="P163" s="18" t="s">
        <v>144</v>
      </c>
      <c r="Q163" s="10">
        <f t="shared" si="1"/>
        <v>1</v>
      </c>
    </row>
    <row r="164">
      <c r="A164" s="18" t="s">
        <v>138</v>
      </c>
      <c r="B164" s="18" t="s">
        <v>44</v>
      </c>
      <c r="C164" s="18" t="s">
        <v>76</v>
      </c>
      <c r="D164" s="18" t="s">
        <v>635</v>
      </c>
      <c r="E164" s="18" t="s">
        <v>636</v>
      </c>
      <c r="F164" s="18" t="s">
        <v>228</v>
      </c>
      <c r="G164" s="18">
        <v>21.21</v>
      </c>
      <c r="H164" s="18" t="s">
        <v>168</v>
      </c>
      <c r="I164" s="19">
        <v>4359.0</v>
      </c>
      <c r="J164" s="19">
        <v>6350.0</v>
      </c>
      <c r="K164" s="19">
        <v>5300.0</v>
      </c>
      <c r="L164" s="18" t="s">
        <v>637</v>
      </c>
      <c r="M164" s="18" t="s">
        <v>638</v>
      </c>
      <c r="N164" s="18" t="s">
        <v>316</v>
      </c>
      <c r="O164" s="18" t="s">
        <v>41</v>
      </c>
      <c r="P164" s="18" t="s">
        <v>144</v>
      </c>
      <c r="Q164" s="10">
        <f t="shared" si="1"/>
        <v>1</v>
      </c>
    </row>
    <row r="165">
      <c r="A165" s="18" t="s">
        <v>630</v>
      </c>
      <c r="B165" s="18" t="s">
        <v>45</v>
      </c>
      <c r="C165" s="18" t="s">
        <v>45</v>
      </c>
      <c r="D165" s="18" t="s">
        <v>639</v>
      </c>
      <c r="E165" s="18" t="s">
        <v>640</v>
      </c>
      <c r="F165" s="18" t="s">
        <v>228</v>
      </c>
      <c r="G165" s="18">
        <v>11.03</v>
      </c>
      <c r="H165" s="18" t="s">
        <v>45</v>
      </c>
      <c r="I165" s="19">
        <v>2125.0</v>
      </c>
      <c r="J165" s="19">
        <v>2350.0</v>
      </c>
      <c r="K165" s="19">
        <v>2600.0</v>
      </c>
      <c r="L165" s="18" t="s">
        <v>641</v>
      </c>
      <c r="M165" s="18" t="s">
        <v>642</v>
      </c>
      <c r="N165" s="18" t="s">
        <v>240</v>
      </c>
      <c r="O165" s="18" t="s">
        <v>83</v>
      </c>
      <c r="P165" s="18" t="s">
        <v>144</v>
      </c>
      <c r="Q165" s="10">
        <f t="shared" si="1"/>
        <v>1</v>
      </c>
    </row>
    <row r="166">
      <c r="A166" s="18" t="s">
        <v>630</v>
      </c>
      <c r="B166" s="18" t="s">
        <v>44</v>
      </c>
      <c r="C166" s="18" t="s">
        <v>133</v>
      </c>
      <c r="D166" s="18" t="s">
        <v>643</v>
      </c>
      <c r="E166" s="18" t="s">
        <v>644</v>
      </c>
      <c r="F166" s="18" t="s">
        <v>228</v>
      </c>
      <c r="G166" s="18">
        <v>12.78</v>
      </c>
      <c r="H166" s="18" t="s">
        <v>56</v>
      </c>
      <c r="I166" s="19">
        <v>4038.0</v>
      </c>
      <c r="J166" s="19">
        <v>4450.0</v>
      </c>
      <c r="K166" s="19">
        <v>4900.0</v>
      </c>
      <c r="L166" s="18" t="s">
        <v>645</v>
      </c>
      <c r="M166" s="18" t="s">
        <v>646</v>
      </c>
      <c r="N166" s="18" t="s">
        <v>240</v>
      </c>
      <c r="O166" s="18" t="s">
        <v>57</v>
      </c>
      <c r="P166" s="18" t="s">
        <v>144</v>
      </c>
      <c r="Q166" s="10">
        <f t="shared" si="1"/>
        <v>1</v>
      </c>
    </row>
    <row r="167">
      <c r="A167" s="18" t="s">
        <v>630</v>
      </c>
      <c r="B167" s="18" t="s">
        <v>44</v>
      </c>
      <c r="C167" s="18" t="s">
        <v>113</v>
      </c>
      <c r="D167" s="18" t="s">
        <v>647</v>
      </c>
      <c r="E167" s="18" t="s">
        <v>648</v>
      </c>
      <c r="F167" s="18" t="s">
        <v>228</v>
      </c>
      <c r="G167" s="18">
        <v>11.13</v>
      </c>
      <c r="H167" s="18" t="s">
        <v>116</v>
      </c>
      <c r="I167" s="19">
        <v>3188.0</v>
      </c>
      <c r="J167" s="19">
        <v>3550.0</v>
      </c>
      <c r="K167" s="19">
        <v>3850.0</v>
      </c>
      <c r="L167" s="18" t="s">
        <v>649</v>
      </c>
      <c r="M167" s="18" t="s">
        <v>650</v>
      </c>
      <c r="N167" s="18" t="s">
        <v>240</v>
      </c>
      <c r="O167" s="18" t="s">
        <v>57</v>
      </c>
      <c r="P167" s="18" t="s">
        <v>144</v>
      </c>
      <c r="Q167" s="10">
        <f t="shared" si="1"/>
        <v>1</v>
      </c>
    </row>
    <row r="168">
      <c r="A168" s="18" t="s">
        <v>35</v>
      </c>
      <c r="B168" s="18" t="s">
        <v>44</v>
      </c>
      <c r="C168" s="18" t="s">
        <v>53</v>
      </c>
      <c r="D168" s="18" t="s">
        <v>651</v>
      </c>
      <c r="E168" s="18" t="s">
        <v>652</v>
      </c>
      <c r="F168" s="18" t="s">
        <v>228</v>
      </c>
      <c r="G168" s="18">
        <v>16.52</v>
      </c>
      <c r="H168" s="18" t="s">
        <v>120</v>
      </c>
      <c r="I168" s="19">
        <v>6230.0</v>
      </c>
      <c r="J168" s="19">
        <v>8450.0</v>
      </c>
      <c r="K168" s="19">
        <v>7500.0</v>
      </c>
      <c r="L168" s="18" t="s">
        <v>653</v>
      </c>
      <c r="M168" s="18" t="s">
        <v>654</v>
      </c>
      <c r="N168" s="18" t="s">
        <v>338</v>
      </c>
      <c r="O168" s="18" t="s">
        <v>57</v>
      </c>
      <c r="P168" s="18" t="s">
        <v>42</v>
      </c>
      <c r="Q168" s="10">
        <f t="shared" si="1"/>
        <v>1</v>
      </c>
    </row>
    <row r="169">
      <c r="A169" s="18" t="s">
        <v>630</v>
      </c>
      <c r="B169" s="18" t="s">
        <v>44</v>
      </c>
      <c r="C169" s="18" t="s">
        <v>64</v>
      </c>
      <c r="D169" s="18" t="s">
        <v>655</v>
      </c>
      <c r="E169" s="18" t="s">
        <v>656</v>
      </c>
      <c r="F169" s="18" t="s">
        <v>228</v>
      </c>
      <c r="G169" s="18">
        <v>21.69</v>
      </c>
      <c r="H169" s="18" t="s">
        <v>168</v>
      </c>
      <c r="I169" s="19">
        <v>5100.0</v>
      </c>
      <c r="J169" s="19">
        <v>5650.0</v>
      </c>
      <c r="K169" s="19">
        <v>6150.0</v>
      </c>
      <c r="L169" s="18" t="s">
        <v>657</v>
      </c>
      <c r="M169" s="18" t="s">
        <v>658</v>
      </c>
      <c r="N169" s="18" t="s">
        <v>240</v>
      </c>
      <c r="O169" s="18" t="s">
        <v>83</v>
      </c>
      <c r="P169" s="18" t="s">
        <v>144</v>
      </c>
      <c r="Q169" s="10">
        <f t="shared" si="1"/>
        <v>1</v>
      </c>
    </row>
    <row r="170">
      <c r="A170" s="18" t="s">
        <v>630</v>
      </c>
      <c r="B170" s="18" t="s">
        <v>44</v>
      </c>
      <c r="C170" s="18" t="s">
        <v>53</v>
      </c>
      <c r="D170" s="18" t="s">
        <v>659</v>
      </c>
      <c r="E170" s="18" t="s">
        <v>660</v>
      </c>
      <c r="F170" s="18" t="s">
        <v>228</v>
      </c>
      <c r="G170" s="18">
        <v>16.27</v>
      </c>
      <c r="H170" s="18" t="s">
        <v>120</v>
      </c>
      <c r="I170" s="19">
        <v>4463.0</v>
      </c>
      <c r="J170" s="19">
        <v>4950.0</v>
      </c>
      <c r="K170" s="19">
        <v>5400.0</v>
      </c>
      <c r="L170" s="18" t="s">
        <v>661</v>
      </c>
      <c r="M170" s="18" t="s">
        <v>662</v>
      </c>
      <c r="N170" s="18" t="s">
        <v>240</v>
      </c>
      <c r="O170" s="18" t="s">
        <v>57</v>
      </c>
      <c r="P170" s="18" t="s">
        <v>144</v>
      </c>
      <c r="Q170" s="10">
        <f t="shared" si="1"/>
        <v>1</v>
      </c>
    </row>
    <row r="171">
      <c r="A171" s="18" t="s">
        <v>630</v>
      </c>
      <c r="B171" s="18" t="s">
        <v>45</v>
      </c>
      <c r="C171" s="18" t="s">
        <v>45</v>
      </c>
      <c r="D171" s="18" t="s">
        <v>663</v>
      </c>
      <c r="E171" s="18" t="s">
        <v>664</v>
      </c>
      <c r="F171" s="18" t="s">
        <v>228</v>
      </c>
      <c r="G171" s="18">
        <v>10.74</v>
      </c>
      <c r="H171" s="18" t="s">
        <v>45</v>
      </c>
      <c r="I171" s="19">
        <v>2125.0</v>
      </c>
      <c r="J171" s="19">
        <v>2350.0</v>
      </c>
      <c r="K171" s="19">
        <v>2600.0</v>
      </c>
      <c r="L171" s="18" t="s">
        <v>665</v>
      </c>
      <c r="M171" s="18" t="s">
        <v>666</v>
      </c>
      <c r="N171" s="18" t="s">
        <v>240</v>
      </c>
      <c r="O171" s="18" t="s">
        <v>41</v>
      </c>
      <c r="P171" s="18" t="s">
        <v>144</v>
      </c>
      <c r="Q171" s="10">
        <f t="shared" si="1"/>
        <v>1</v>
      </c>
    </row>
    <row r="172">
      <c r="A172" s="18" t="s">
        <v>630</v>
      </c>
      <c r="B172" s="18" t="s">
        <v>44</v>
      </c>
      <c r="C172" s="18" t="s">
        <v>64</v>
      </c>
      <c r="D172" s="18" t="s">
        <v>667</v>
      </c>
      <c r="E172" s="18" t="s">
        <v>668</v>
      </c>
      <c r="F172" s="18" t="s">
        <v>228</v>
      </c>
      <c r="G172" s="18">
        <v>19.12</v>
      </c>
      <c r="H172" s="18" t="s">
        <v>120</v>
      </c>
      <c r="I172" s="19">
        <v>5100.0</v>
      </c>
      <c r="J172" s="19">
        <v>5650.0</v>
      </c>
      <c r="K172" s="19">
        <v>6150.0</v>
      </c>
      <c r="L172" s="18" t="s">
        <v>669</v>
      </c>
      <c r="M172" s="18" t="s">
        <v>670</v>
      </c>
      <c r="N172" s="18" t="s">
        <v>240</v>
      </c>
      <c r="O172" s="18" t="s">
        <v>83</v>
      </c>
      <c r="P172" s="18" t="s">
        <v>144</v>
      </c>
      <c r="Q172" s="10">
        <f t="shared" si="1"/>
        <v>1</v>
      </c>
    </row>
    <row r="173">
      <c r="A173" s="18" t="s">
        <v>630</v>
      </c>
      <c r="B173" s="18" t="s">
        <v>44</v>
      </c>
      <c r="C173" s="18" t="s">
        <v>53</v>
      </c>
      <c r="D173" s="18" t="s">
        <v>671</v>
      </c>
      <c r="E173" s="18" t="s">
        <v>672</v>
      </c>
      <c r="F173" s="18" t="s">
        <v>228</v>
      </c>
      <c r="G173" s="18">
        <v>17.17</v>
      </c>
      <c r="H173" s="18" t="s">
        <v>120</v>
      </c>
      <c r="I173" s="19">
        <v>4463.0</v>
      </c>
      <c r="J173" s="19">
        <v>4950.0</v>
      </c>
      <c r="K173" s="19">
        <v>5400.0</v>
      </c>
      <c r="L173" s="18" t="s">
        <v>673</v>
      </c>
      <c r="M173" s="18" t="s">
        <v>674</v>
      </c>
      <c r="N173" s="18" t="s">
        <v>240</v>
      </c>
      <c r="O173" s="18" t="s">
        <v>41</v>
      </c>
      <c r="P173" s="18" t="s">
        <v>144</v>
      </c>
      <c r="Q173" s="10">
        <f t="shared" si="1"/>
        <v>1</v>
      </c>
    </row>
    <row r="174">
      <c r="A174" s="18" t="s">
        <v>630</v>
      </c>
      <c r="B174" s="18" t="s">
        <v>45</v>
      </c>
      <c r="C174" s="18" t="s">
        <v>45</v>
      </c>
      <c r="D174" s="18" t="s">
        <v>675</v>
      </c>
      <c r="E174" s="18" t="s">
        <v>676</v>
      </c>
      <c r="F174" s="18" t="s">
        <v>228</v>
      </c>
      <c r="G174" s="18">
        <v>11.29</v>
      </c>
      <c r="H174" s="18" t="s">
        <v>45</v>
      </c>
      <c r="I174" s="19">
        <v>2125.0</v>
      </c>
      <c r="J174" s="19">
        <v>2350.0</v>
      </c>
      <c r="K174" s="19">
        <v>2600.0</v>
      </c>
      <c r="L174" s="18" t="s">
        <v>677</v>
      </c>
      <c r="M174" s="18" t="s">
        <v>678</v>
      </c>
      <c r="N174" s="18" t="s">
        <v>240</v>
      </c>
      <c r="O174" s="18" t="s">
        <v>41</v>
      </c>
      <c r="P174" s="18" t="s">
        <v>144</v>
      </c>
      <c r="Q174" s="10">
        <f t="shared" si="1"/>
        <v>1</v>
      </c>
    </row>
    <row r="175">
      <c r="A175" s="18" t="s">
        <v>630</v>
      </c>
      <c r="B175" s="18" t="s">
        <v>44</v>
      </c>
      <c r="C175" s="18" t="s">
        <v>133</v>
      </c>
      <c r="D175" s="18" t="s">
        <v>679</v>
      </c>
      <c r="E175" s="18" t="s">
        <v>680</v>
      </c>
      <c r="F175" s="18" t="s">
        <v>228</v>
      </c>
      <c r="G175" s="18">
        <v>13.93</v>
      </c>
      <c r="H175" s="18" t="s">
        <v>168</v>
      </c>
      <c r="I175" s="19">
        <v>4750.0</v>
      </c>
      <c r="J175" s="19">
        <v>5250.0</v>
      </c>
      <c r="K175" s="19">
        <v>6150.0</v>
      </c>
      <c r="L175" s="18" t="s">
        <v>681</v>
      </c>
      <c r="M175" s="18" t="s">
        <v>682</v>
      </c>
      <c r="N175" s="18" t="s">
        <v>240</v>
      </c>
      <c r="O175" s="18" t="s">
        <v>57</v>
      </c>
      <c r="P175" s="18" t="s">
        <v>144</v>
      </c>
      <c r="Q175" s="10">
        <f t="shared" si="1"/>
        <v>1</v>
      </c>
    </row>
    <row r="176">
      <c r="A176" s="18" t="s">
        <v>630</v>
      </c>
      <c r="B176" s="18" t="s">
        <v>45</v>
      </c>
      <c r="C176" s="18" t="s">
        <v>45</v>
      </c>
      <c r="D176" s="18" t="s">
        <v>683</v>
      </c>
      <c r="E176" s="18" t="s">
        <v>684</v>
      </c>
      <c r="F176" s="18" t="s">
        <v>228</v>
      </c>
      <c r="G176" s="18">
        <v>12.01</v>
      </c>
      <c r="H176" s="18" t="s">
        <v>45</v>
      </c>
      <c r="I176" s="19">
        <v>2125.0</v>
      </c>
      <c r="J176" s="19">
        <v>2350.0</v>
      </c>
      <c r="K176" s="19">
        <v>2600.0</v>
      </c>
      <c r="L176" s="18" t="s">
        <v>685</v>
      </c>
      <c r="M176" s="18" t="s">
        <v>686</v>
      </c>
      <c r="N176" s="18" t="s">
        <v>240</v>
      </c>
      <c r="O176" s="18" t="s">
        <v>41</v>
      </c>
      <c r="P176" s="18" t="s">
        <v>144</v>
      </c>
      <c r="Q176" s="10">
        <f t="shared" si="1"/>
        <v>1</v>
      </c>
    </row>
    <row r="177">
      <c r="A177" s="18" t="s">
        <v>630</v>
      </c>
      <c r="B177" s="18" t="s">
        <v>45</v>
      </c>
      <c r="C177" s="18" t="s">
        <v>45</v>
      </c>
      <c r="D177" s="18" t="s">
        <v>687</v>
      </c>
      <c r="E177" s="18" t="s">
        <v>688</v>
      </c>
      <c r="F177" s="18" t="s">
        <v>228</v>
      </c>
      <c r="G177" s="18">
        <v>12.21</v>
      </c>
      <c r="H177" s="18" t="s">
        <v>45</v>
      </c>
      <c r="I177" s="19">
        <v>2125.0</v>
      </c>
      <c r="J177" s="19">
        <v>2350.0</v>
      </c>
      <c r="K177" s="19">
        <v>2600.0</v>
      </c>
      <c r="L177" s="18" t="s">
        <v>689</v>
      </c>
      <c r="M177" s="18" t="s">
        <v>690</v>
      </c>
      <c r="N177" s="18" t="s">
        <v>240</v>
      </c>
      <c r="O177" s="18" t="s">
        <v>41</v>
      </c>
      <c r="P177" s="18" t="s">
        <v>144</v>
      </c>
      <c r="Q177" s="10">
        <f t="shared" si="1"/>
        <v>1</v>
      </c>
    </row>
    <row r="178">
      <c r="A178" s="18" t="s">
        <v>630</v>
      </c>
      <c r="B178" s="18" t="s">
        <v>44</v>
      </c>
      <c r="C178" s="18" t="s">
        <v>53</v>
      </c>
      <c r="D178" s="18" t="s">
        <v>691</v>
      </c>
      <c r="E178" s="18" t="s">
        <v>692</v>
      </c>
      <c r="F178" s="18" t="s">
        <v>228</v>
      </c>
      <c r="G178" s="18">
        <v>16.54</v>
      </c>
      <c r="H178" s="18" t="s">
        <v>120</v>
      </c>
      <c r="I178" s="19">
        <v>4463.0</v>
      </c>
      <c r="J178" s="19">
        <v>4950.0</v>
      </c>
      <c r="K178" s="19">
        <v>5400.0</v>
      </c>
      <c r="L178" s="18" t="s">
        <v>693</v>
      </c>
      <c r="M178" s="18" t="s">
        <v>694</v>
      </c>
      <c r="N178" s="18" t="s">
        <v>240</v>
      </c>
      <c r="O178" s="18" t="s">
        <v>41</v>
      </c>
      <c r="P178" s="18" t="s">
        <v>144</v>
      </c>
      <c r="Q178" s="10">
        <f t="shared" si="1"/>
        <v>1</v>
      </c>
    </row>
    <row r="179">
      <c r="A179" s="18" t="s">
        <v>630</v>
      </c>
      <c r="B179" s="18" t="s">
        <v>44</v>
      </c>
      <c r="C179" s="18" t="s">
        <v>53</v>
      </c>
      <c r="D179" s="18" t="s">
        <v>695</v>
      </c>
      <c r="E179" s="18" t="s">
        <v>696</v>
      </c>
      <c r="F179" s="18" t="s">
        <v>228</v>
      </c>
      <c r="G179" s="18">
        <v>18.98</v>
      </c>
      <c r="H179" s="18" t="s">
        <v>120</v>
      </c>
      <c r="I179" s="19">
        <v>4463.0</v>
      </c>
      <c r="J179" s="19">
        <v>4950.0</v>
      </c>
      <c r="K179" s="19">
        <v>5400.0</v>
      </c>
      <c r="L179" s="18" t="s">
        <v>697</v>
      </c>
      <c r="M179" s="18" t="s">
        <v>698</v>
      </c>
      <c r="N179" s="18" t="s">
        <v>240</v>
      </c>
      <c r="O179" s="18" t="s">
        <v>57</v>
      </c>
      <c r="P179" s="18" t="s">
        <v>144</v>
      </c>
      <c r="Q179" s="10">
        <f t="shared" si="1"/>
        <v>1</v>
      </c>
    </row>
    <row r="180">
      <c r="A180" s="18" t="s">
        <v>630</v>
      </c>
      <c r="B180" s="18" t="s">
        <v>44</v>
      </c>
      <c r="C180" s="18" t="s">
        <v>133</v>
      </c>
      <c r="D180" s="18" t="s">
        <v>699</v>
      </c>
      <c r="E180" s="18" t="s">
        <v>700</v>
      </c>
      <c r="F180" s="18" t="s">
        <v>228</v>
      </c>
      <c r="G180" s="18">
        <v>12.06</v>
      </c>
      <c r="H180" s="18" t="s">
        <v>56</v>
      </c>
      <c r="I180" s="19">
        <v>4038.0</v>
      </c>
      <c r="J180" s="19">
        <v>4450.0</v>
      </c>
      <c r="K180" s="19">
        <v>4900.0</v>
      </c>
      <c r="L180" s="18" t="s">
        <v>701</v>
      </c>
      <c r="M180" s="18" t="s">
        <v>702</v>
      </c>
      <c r="N180" s="18" t="s">
        <v>240</v>
      </c>
      <c r="O180" s="18" t="s">
        <v>57</v>
      </c>
      <c r="P180" s="18" t="s">
        <v>144</v>
      </c>
      <c r="Q180" s="10">
        <f t="shared" si="1"/>
        <v>1</v>
      </c>
    </row>
    <row r="181">
      <c r="A181" s="18" t="s">
        <v>630</v>
      </c>
      <c r="B181" s="18" t="s">
        <v>44</v>
      </c>
      <c r="C181" s="18" t="s">
        <v>133</v>
      </c>
      <c r="D181" s="18" t="s">
        <v>703</v>
      </c>
      <c r="E181" s="18" t="s">
        <v>704</v>
      </c>
      <c r="F181" s="18" t="s">
        <v>228</v>
      </c>
      <c r="G181" s="18">
        <v>14.21</v>
      </c>
      <c r="H181" s="18" t="s">
        <v>56</v>
      </c>
      <c r="I181" s="19">
        <v>4038.0</v>
      </c>
      <c r="J181" s="19">
        <v>4450.0</v>
      </c>
      <c r="K181" s="19">
        <v>4900.0</v>
      </c>
      <c r="L181" s="18" t="s">
        <v>705</v>
      </c>
      <c r="M181" s="18" t="s">
        <v>706</v>
      </c>
      <c r="N181" s="18" t="s">
        <v>240</v>
      </c>
      <c r="O181" s="18" t="s">
        <v>57</v>
      </c>
      <c r="P181" s="18" t="s">
        <v>144</v>
      </c>
      <c r="Q181" s="10">
        <f t="shared" si="1"/>
        <v>1</v>
      </c>
    </row>
    <row r="182">
      <c r="A182" s="18" t="s">
        <v>630</v>
      </c>
      <c r="B182" s="18" t="s">
        <v>44</v>
      </c>
      <c r="C182" s="18" t="s">
        <v>133</v>
      </c>
      <c r="D182" s="18" t="s">
        <v>707</v>
      </c>
      <c r="E182" s="18" t="s">
        <v>708</v>
      </c>
      <c r="F182" s="18" t="s">
        <v>228</v>
      </c>
      <c r="G182" s="18">
        <v>15.84</v>
      </c>
      <c r="H182" s="18" t="s">
        <v>56</v>
      </c>
      <c r="I182" s="19">
        <v>4463.0</v>
      </c>
      <c r="J182" s="19">
        <v>4950.0</v>
      </c>
      <c r="K182" s="19">
        <v>5400.0</v>
      </c>
      <c r="L182" s="18" t="s">
        <v>709</v>
      </c>
      <c r="M182" s="18" t="s">
        <v>710</v>
      </c>
      <c r="N182" s="18" t="s">
        <v>240</v>
      </c>
      <c r="O182" s="18" t="s">
        <v>57</v>
      </c>
      <c r="P182" s="18" t="s">
        <v>144</v>
      </c>
      <c r="Q182" s="10">
        <f t="shared" si="1"/>
        <v>1</v>
      </c>
    </row>
    <row r="183">
      <c r="A183" s="18" t="s">
        <v>630</v>
      </c>
      <c r="B183" s="18" t="s">
        <v>44</v>
      </c>
      <c r="C183" s="18" t="s">
        <v>53</v>
      </c>
      <c r="D183" s="18" t="s">
        <v>711</v>
      </c>
      <c r="E183" s="18" t="s">
        <v>712</v>
      </c>
      <c r="F183" s="18" t="s">
        <v>228</v>
      </c>
      <c r="G183" s="18">
        <v>18.53</v>
      </c>
      <c r="H183" s="18" t="s">
        <v>120</v>
      </c>
      <c r="I183" s="19">
        <v>4463.0</v>
      </c>
      <c r="J183" s="19">
        <v>4950.0</v>
      </c>
      <c r="K183" s="19">
        <v>5400.0</v>
      </c>
      <c r="L183" s="18" t="s">
        <v>713</v>
      </c>
      <c r="M183" s="18" t="s">
        <v>714</v>
      </c>
      <c r="N183" s="18" t="s">
        <v>240</v>
      </c>
      <c r="O183" s="18" t="s">
        <v>83</v>
      </c>
      <c r="P183" s="18" t="s">
        <v>144</v>
      </c>
      <c r="Q183" s="10">
        <f t="shared" si="1"/>
        <v>1</v>
      </c>
    </row>
    <row r="184">
      <c r="A184" s="18" t="s">
        <v>630</v>
      </c>
      <c r="B184" s="18" t="s">
        <v>44</v>
      </c>
      <c r="C184" s="18" t="s">
        <v>133</v>
      </c>
      <c r="D184" s="18" t="s">
        <v>715</v>
      </c>
      <c r="E184" s="18" t="s">
        <v>716</v>
      </c>
      <c r="F184" s="18" t="s">
        <v>228</v>
      </c>
      <c r="G184" s="18">
        <v>12.38</v>
      </c>
      <c r="H184" s="18" t="s">
        <v>56</v>
      </c>
      <c r="I184" s="19">
        <v>4038.0</v>
      </c>
      <c r="J184" s="19">
        <v>4450.0</v>
      </c>
      <c r="K184" s="19">
        <v>4900.0</v>
      </c>
      <c r="L184" s="18" t="s">
        <v>717</v>
      </c>
      <c r="M184" s="18" t="s">
        <v>718</v>
      </c>
      <c r="N184" s="18" t="s">
        <v>240</v>
      </c>
      <c r="O184" s="18" t="s">
        <v>57</v>
      </c>
      <c r="P184" s="18" t="s">
        <v>144</v>
      </c>
      <c r="Q184" s="10">
        <f t="shared" si="1"/>
        <v>1</v>
      </c>
    </row>
    <row r="185">
      <c r="A185" s="18" t="s">
        <v>630</v>
      </c>
      <c r="B185" s="18" t="s">
        <v>44</v>
      </c>
      <c r="C185" s="18" t="s">
        <v>133</v>
      </c>
      <c r="D185" s="18" t="s">
        <v>719</v>
      </c>
      <c r="E185" s="18" t="s">
        <v>720</v>
      </c>
      <c r="F185" s="18" t="s">
        <v>228</v>
      </c>
      <c r="G185" s="18">
        <v>12.51</v>
      </c>
      <c r="H185" s="18" t="s">
        <v>56</v>
      </c>
      <c r="I185" s="19">
        <v>4038.0</v>
      </c>
      <c r="J185" s="19">
        <v>4450.0</v>
      </c>
      <c r="K185" s="19">
        <v>4900.0</v>
      </c>
      <c r="L185" s="18" t="s">
        <v>721</v>
      </c>
      <c r="M185" s="18" t="s">
        <v>722</v>
      </c>
      <c r="N185" s="18" t="s">
        <v>240</v>
      </c>
      <c r="O185" s="18" t="s">
        <v>57</v>
      </c>
      <c r="P185" s="18" t="s">
        <v>144</v>
      </c>
      <c r="Q185" s="10">
        <f t="shared" si="1"/>
        <v>1</v>
      </c>
    </row>
    <row r="186">
      <c r="A186" s="18" t="s">
        <v>148</v>
      </c>
      <c r="B186" s="18" t="s">
        <v>44</v>
      </c>
      <c r="C186" s="18" t="s">
        <v>76</v>
      </c>
      <c r="D186" s="18" t="s">
        <v>723</v>
      </c>
      <c r="E186" s="18" t="s">
        <v>724</v>
      </c>
      <c r="F186" s="18" t="s">
        <v>228</v>
      </c>
      <c r="G186" s="18">
        <v>20.8</v>
      </c>
      <c r="H186" s="18" t="s">
        <v>56</v>
      </c>
      <c r="I186" s="19">
        <v>7514.0</v>
      </c>
      <c r="J186" s="19">
        <v>7550.0</v>
      </c>
      <c r="K186" s="19">
        <v>9100.0</v>
      </c>
      <c r="L186" s="18" t="s">
        <v>725</v>
      </c>
      <c r="M186" s="18" t="s">
        <v>726</v>
      </c>
      <c r="N186" s="18" t="s">
        <v>338</v>
      </c>
      <c r="O186" s="18" t="s">
        <v>57</v>
      </c>
      <c r="P186" s="18" t="s">
        <v>48</v>
      </c>
      <c r="Q186" s="10">
        <f t="shared" si="1"/>
        <v>1</v>
      </c>
    </row>
    <row r="187">
      <c r="A187" s="18" t="s">
        <v>364</v>
      </c>
      <c r="B187" s="18" t="s">
        <v>45</v>
      </c>
      <c r="C187" s="18" t="s">
        <v>45</v>
      </c>
      <c r="D187" s="18" t="s">
        <v>727</v>
      </c>
      <c r="E187" s="18" t="s">
        <v>728</v>
      </c>
      <c r="F187" s="18" t="s">
        <v>228</v>
      </c>
      <c r="G187" s="18">
        <v>12.22</v>
      </c>
      <c r="H187" s="18" t="s">
        <v>45</v>
      </c>
      <c r="I187" s="19">
        <v>2100.0</v>
      </c>
      <c r="J187" s="19">
        <v>2100.0</v>
      </c>
      <c r="K187" s="19">
        <v>2400.0</v>
      </c>
      <c r="L187" s="18" t="s">
        <v>729</v>
      </c>
      <c r="M187" s="18" t="s">
        <v>600</v>
      </c>
      <c r="N187" s="18" t="s">
        <v>316</v>
      </c>
      <c r="O187" s="18" t="s">
        <v>117</v>
      </c>
      <c r="P187" s="18" t="s">
        <v>369</v>
      </c>
      <c r="Q187" s="10">
        <f t="shared" si="1"/>
        <v>1</v>
      </c>
    </row>
    <row r="188">
      <c r="A188" s="18" t="s">
        <v>171</v>
      </c>
      <c r="B188" s="18" t="s">
        <v>45</v>
      </c>
      <c r="C188" s="18" t="s">
        <v>45</v>
      </c>
      <c r="D188" s="18" t="s">
        <v>730</v>
      </c>
      <c r="E188" s="18" t="s">
        <v>731</v>
      </c>
      <c r="F188" s="18" t="s">
        <v>228</v>
      </c>
      <c r="G188" s="18">
        <v>14.72</v>
      </c>
      <c r="H188" s="18" t="s">
        <v>45</v>
      </c>
      <c r="I188" s="19">
        <v>2490.0</v>
      </c>
      <c r="J188" s="19">
        <v>2900.0</v>
      </c>
      <c r="K188" s="19">
        <v>2400.0</v>
      </c>
      <c r="L188" s="18" t="s">
        <v>732</v>
      </c>
      <c r="M188" s="18" t="s">
        <v>733</v>
      </c>
      <c r="N188" s="18" t="s">
        <v>403</v>
      </c>
      <c r="O188" s="18" t="s">
        <v>198</v>
      </c>
      <c r="P188" s="18"/>
      <c r="Q188" s="10">
        <f t="shared" si="1"/>
        <v>1</v>
      </c>
    </row>
    <row r="189">
      <c r="A189" s="18" t="s">
        <v>132</v>
      </c>
      <c r="B189" s="18" t="s">
        <v>44</v>
      </c>
      <c r="C189" s="18" t="s">
        <v>133</v>
      </c>
      <c r="D189" s="18" t="s">
        <v>734</v>
      </c>
      <c r="E189" s="18" t="s">
        <v>735</v>
      </c>
      <c r="F189" s="18" t="s">
        <v>228</v>
      </c>
      <c r="G189" s="18">
        <v>14.9</v>
      </c>
      <c r="H189" s="18" t="s">
        <v>62</v>
      </c>
      <c r="I189" s="19">
        <v>2975.44</v>
      </c>
      <c r="J189" s="19">
        <v>2400.0</v>
      </c>
      <c r="K189" s="19">
        <v>4500.0</v>
      </c>
      <c r="L189" s="18" t="s">
        <v>736</v>
      </c>
      <c r="M189" s="18" t="s">
        <v>737</v>
      </c>
      <c r="N189" s="18" t="s">
        <v>363</v>
      </c>
      <c r="O189" s="18" t="s">
        <v>41</v>
      </c>
      <c r="P189" s="18"/>
      <c r="Q189" s="10">
        <f t="shared" si="1"/>
        <v>1</v>
      </c>
    </row>
    <row r="190">
      <c r="A190" s="18" t="s">
        <v>138</v>
      </c>
      <c r="B190" s="18" t="s">
        <v>45</v>
      </c>
      <c r="C190" s="18" t="s">
        <v>45</v>
      </c>
      <c r="D190" s="18" t="s">
        <v>738</v>
      </c>
      <c r="E190" s="18" t="s">
        <v>739</v>
      </c>
      <c r="F190" s="18" t="s">
        <v>228</v>
      </c>
      <c r="G190" s="18">
        <v>12.54</v>
      </c>
      <c r="H190" s="18" t="s">
        <v>45</v>
      </c>
      <c r="I190" s="19">
        <v>1652.0</v>
      </c>
      <c r="J190" s="19">
        <v>2400.0</v>
      </c>
      <c r="K190" s="19">
        <v>2050.0</v>
      </c>
      <c r="L190" s="18" t="s">
        <v>740</v>
      </c>
      <c r="M190" s="18" t="s">
        <v>741</v>
      </c>
      <c r="N190" s="18" t="s">
        <v>742</v>
      </c>
      <c r="O190" s="18" t="s">
        <v>83</v>
      </c>
      <c r="P190" s="18" t="s">
        <v>144</v>
      </c>
      <c r="Q190" s="10">
        <f t="shared" si="1"/>
        <v>1</v>
      </c>
    </row>
    <row r="191">
      <c r="A191" s="18" t="s">
        <v>171</v>
      </c>
      <c r="B191" s="18" t="s">
        <v>44</v>
      </c>
      <c r="C191" s="18" t="s">
        <v>53</v>
      </c>
      <c r="D191" s="18" t="s">
        <v>743</v>
      </c>
      <c r="E191" s="18" t="s">
        <v>744</v>
      </c>
      <c r="F191" s="18" t="s">
        <v>228</v>
      </c>
      <c r="G191" s="18">
        <v>16.88</v>
      </c>
      <c r="H191" s="18" t="s">
        <v>56</v>
      </c>
      <c r="I191" s="19">
        <v>4250.0</v>
      </c>
      <c r="J191" s="19">
        <v>4900.0</v>
      </c>
      <c r="K191" s="19">
        <v>5100.0</v>
      </c>
      <c r="L191" s="18" t="s">
        <v>745</v>
      </c>
      <c r="M191" s="18" t="s">
        <v>746</v>
      </c>
      <c r="N191" s="18" t="s">
        <v>363</v>
      </c>
      <c r="O191" s="18" t="s">
        <v>117</v>
      </c>
      <c r="P191" s="18"/>
      <c r="Q191" s="10">
        <f t="shared" si="1"/>
        <v>1</v>
      </c>
    </row>
    <row r="192">
      <c r="A192" s="18" t="s">
        <v>158</v>
      </c>
      <c r="B192" s="18" t="s">
        <v>44</v>
      </c>
      <c r="C192" s="18" t="s">
        <v>53</v>
      </c>
      <c r="D192" s="18" t="s">
        <v>747</v>
      </c>
      <c r="E192" s="18" t="s">
        <v>748</v>
      </c>
      <c r="F192" s="18" t="s">
        <v>228</v>
      </c>
      <c r="G192" s="18">
        <v>16.75</v>
      </c>
      <c r="H192" s="18" t="s">
        <v>120</v>
      </c>
      <c r="I192" s="19">
        <v>5091.0</v>
      </c>
      <c r="J192" s="19">
        <v>5100.0</v>
      </c>
      <c r="K192" s="19">
        <v>6150.0</v>
      </c>
      <c r="L192" s="18" t="s">
        <v>749</v>
      </c>
      <c r="M192" s="18" t="s">
        <v>750</v>
      </c>
      <c r="N192" s="18" t="s">
        <v>338</v>
      </c>
      <c r="O192" s="18" t="s">
        <v>41</v>
      </c>
      <c r="P192" s="18" t="s">
        <v>162</v>
      </c>
      <c r="Q192" s="10">
        <f t="shared" si="1"/>
        <v>1</v>
      </c>
    </row>
    <row r="193">
      <c r="A193" s="18" t="s">
        <v>210</v>
      </c>
      <c r="B193" s="18" t="s">
        <v>44</v>
      </c>
      <c r="C193" s="18" t="s">
        <v>151</v>
      </c>
      <c r="D193" s="18" t="s">
        <v>751</v>
      </c>
      <c r="E193" s="18" t="s">
        <v>752</v>
      </c>
      <c r="F193" s="18" t="s">
        <v>228</v>
      </c>
      <c r="G193" s="18">
        <v>26.23</v>
      </c>
      <c r="H193" s="18" t="s">
        <v>168</v>
      </c>
      <c r="I193" s="19">
        <v>7250.0</v>
      </c>
      <c r="J193" s="19">
        <v>9450.0</v>
      </c>
      <c r="K193" s="19">
        <v>8700.0</v>
      </c>
      <c r="L193" s="18" t="s">
        <v>753</v>
      </c>
      <c r="M193" s="18" t="s">
        <v>754</v>
      </c>
      <c r="N193" s="18" t="s">
        <v>363</v>
      </c>
      <c r="O193" s="18" t="s">
        <v>57</v>
      </c>
      <c r="P193" s="18" t="s">
        <v>63</v>
      </c>
      <c r="Q193" s="10">
        <f t="shared" si="1"/>
        <v>1</v>
      </c>
    </row>
    <row r="194">
      <c r="A194" s="18" t="s">
        <v>191</v>
      </c>
      <c r="B194" s="18" t="s">
        <v>44</v>
      </c>
      <c r="C194" s="18" t="s">
        <v>37</v>
      </c>
      <c r="D194" s="18" t="s">
        <v>755</v>
      </c>
      <c r="E194" s="18" t="s">
        <v>756</v>
      </c>
      <c r="F194" s="18" t="s">
        <v>228</v>
      </c>
      <c r="G194" s="18">
        <v>51.42</v>
      </c>
      <c r="H194" s="18" t="s">
        <v>168</v>
      </c>
      <c r="I194" s="19">
        <v>8000.0</v>
      </c>
      <c r="J194" s="19">
        <v>10400.0</v>
      </c>
      <c r="K194" s="19"/>
      <c r="L194" s="18" t="s">
        <v>757</v>
      </c>
      <c r="M194" s="18" t="s">
        <v>758</v>
      </c>
      <c r="N194" s="18" t="s">
        <v>316</v>
      </c>
      <c r="O194" s="18" t="s">
        <v>613</v>
      </c>
      <c r="P194" s="18" t="s">
        <v>48</v>
      </c>
      <c r="Q194" s="10">
        <f t="shared" si="1"/>
        <v>1</v>
      </c>
    </row>
    <row r="195">
      <c r="A195" s="18" t="s">
        <v>148</v>
      </c>
      <c r="B195" s="18" t="s">
        <v>44</v>
      </c>
      <c r="C195" s="18" t="s">
        <v>76</v>
      </c>
      <c r="D195" s="18" t="s">
        <v>759</v>
      </c>
      <c r="E195" s="18" t="s">
        <v>760</v>
      </c>
      <c r="F195" s="18" t="s">
        <v>228</v>
      </c>
      <c r="G195" s="18">
        <v>20.0</v>
      </c>
      <c r="H195" s="18" t="s">
        <v>56</v>
      </c>
      <c r="I195" s="19">
        <v>7514.0</v>
      </c>
      <c r="J195" s="19">
        <v>7550.0</v>
      </c>
      <c r="K195" s="19">
        <v>9100.0</v>
      </c>
      <c r="L195" s="18" t="s">
        <v>761</v>
      </c>
      <c r="M195" s="18" t="s">
        <v>762</v>
      </c>
      <c r="N195" s="18" t="s">
        <v>763</v>
      </c>
      <c r="O195" s="18" t="s">
        <v>57</v>
      </c>
      <c r="P195" s="18" t="s">
        <v>48</v>
      </c>
      <c r="Q195" s="10">
        <f t="shared" si="1"/>
        <v>1</v>
      </c>
    </row>
    <row r="196">
      <c r="A196" s="18" t="s">
        <v>112</v>
      </c>
      <c r="B196" s="18" t="s">
        <v>45</v>
      </c>
      <c r="C196" s="18" t="s">
        <v>45</v>
      </c>
      <c r="D196" s="18" t="s">
        <v>764</v>
      </c>
      <c r="E196" s="18" t="s">
        <v>765</v>
      </c>
      <c r="F196" s="18" t="s">
        <v>228</v>
      </c>
      <c r="G196" s="18">
        <v>10.2</v>
      </c>
      <c r="H196" s="18" t="s">
        <v>45</v>
      </c>
      <c r="I196" s="19">
        <v>3257.0</v>
      </c>
      <c r="J196" s="19">
        <v>4600.0</v>
      </c>
      <c r="K196" s="19">
        <v>4000.0</v>
      </c>
      <c r="L196" s="18" t="s">
        <v>766</v>
      </c>
      <c r="M196" s="18" t="s">
        <v>767</v>
      </c>
      <c r="N196" s="18" t="s">
        <v>131</v>
      </c>
      <c r="O196" s="18" t="s">
        <v>41</v>
      </c>
      <c r="P196" s="18" t="s">
        <v>42</v>
      </c>
      <c r="Q196" s="10">
        <f t="shared" si="1"/>
        <v>1</v>
      </c>
    </row>
    <row r="197">
      <c r="A197" s="18" t="s">
        <v>154</v>
      </c>
      <c r="B197" s="18" t="s">
        <v>44</v>
      </c>
      <c r="C197" s="18" t="s">
        <v>180</v>
      </c>
      <c r="D197" s="18" t="s">
        <v>768</v>
      </c>
      <c r="E197" s="18" t="s">
        <v>769</v>
      </c>
      <c r="F197" s="18" t="s">
        <v>228</v>
      </c>
      <c r="G197" s="18">
        <v>22.0</v>
      </c>
      <c r="H197" s="18" t="s">
        <v>56</v>
      </c>
      <c r="I197" s="19">
        <v>6090.0</v>
      </c>
      <c r="J197" s="19">
        <v>8550.0</v>
      </c>
      <c r="K197" s="19">
        <v>7350.0</v>
      </c>
      <c r="L197" s="18" t="s">
        <v>770</v>
      </c>
      <c r="M197" s="18" t="s">
        <v>771</v>
      </c>
      <c r="N197" s="18" t="s">
        <v>131</v>
      </c>
      <c r="O197" s="18" t="s">
        <v>151</v>
      </c>
      <c r="P197" s="18" t="s">
        <v>157</v>
      </c>
      <c r="Q197" s="10">
        <f t="shared" si="1"/>
        <v>1</v>
      </c>
    </row>
    <row r="198">
      <c r="A198" s="18" t="s">
        <v>171</v>
      </c>
      <c r="B198" s="18" t="s">
        <v>36</v>
      </c>
      <c r="C198" s="18" t="s">
        <v>37</v>
      </c>
      <c r="D198" s="18" t="s">
        <v>772</v>
      </c>
      <c r="E198" s="18" t="s">
        <v>773</v>
      </c>
      <c r="F198" s="18" t="s">
        <v>228</v>
      </c>
      <c r="G198" s="18">
        <v>58.82</v>
      </c>
      <c r="H198" s="18" t="s">
        <v>471</v>
      </c>
      <c r="I198" s="19">
        <v>6000.0</v>
      </c>
      <c r="J198" s="19">
        <v>6900.0</v>
      </c>
      <c r="K198" s="19"/>
      <c r="L198" s="18" t="s">
        <v>774</v>
      </c>
      <c r="M198" s="18" t="s">
        <v>775</v>
      </c>
      <c r="N198" s="18" t="s">
        <v>363</v>
      </c>
      <c r="O198" s="18" t="s">
        <v>198</v>
      </c>
      <c r="P198" s="18"/>
      <c r="Q198" s="10">
        <f t="shared" si="1"/>
        <v>1</v>
      </c>
    </row>
    <row r="199">
      <c r="A199" s="18" t="s">
        <v>154</v>
      </c>
      <c r="B199" s="18" t="s">
        <v>44</v>
      </c>
      <c r="C199" s="18" t="s">
        <v>180</v>
      </c>
      <c r="D199" s="18" t="s">
        <v>776</v>
      </c>
      <c r="E199" s="18" t="s">
        <v>777</v>
      </c>
      <c r="F199" s="18" t="s">
        <v>228</v>
      </c>
      <c r="G199" s="18">
        <v>22.0</v>
      </c>
      <c r="H199" s="18" t="s">
        <v>56</v>
      </c>
      <c r="I199" s="19">
        <v>6090.0</v>
      </c>
      <c r="J199" s="19">
        <v>8550.0</v>
      </c>
      <c r="K199" s="19">
        <v>7350.0</v>
      </c>
      <c r="L199" s="18" t="s">
        <v>778</v>
      </c>
      <c r="M199" s="18" t="s">
        <v>779</v>
      </c>
      <c r="N199" s="18" t="s">
        <v>250</v>
      </c>
      <c r="O199" s="18" t="s">
        <v>151</v>
      </c>
      <c r="P199" s="18" t="s">
        <v>157</v>
      </c>
      <c r="Q199" s="10">
        <f t="shared" si="1"/>
        <v>1</v>
      </c>
    </row>
    <row r="200">
      <c r="A200" s="18" t="s">
        <v>154</v>
      </c>
      <c r="B200" s="18" t="s">
        <v>45</v>
      </c>
      <c r="C200" s="18" t="s">
        <v>45</v>
      </c>
      <c r="D200" s="18" t="s">
        <v>780</v>
      </c>
      <c r="E200" s="18" t="s">
        <v>781</v>
      </c>
      <c r="F200" s="18" t="s">
        <v>228</v>
      </c>
      <c r="G200" s="18">
        <v>11.0</v>
      </c>
      <c r="H200" s="18" t="s">
        <v>45</v>
      </c>
      <c r="I200" s="19">
        <v>3580.0</v>
      </c>
      <c r="J200" s="19">
        <v>5050.0</v>
      </c>
      <c r="K200" s="19">
        <v>4350.0</v>
      </c>
      <c r="L200" s="18" t="s">
        <v>782</v>
      </c>
      <c r="M200" s="18" t="s">
        <v>783</v>
      </c>
      <c r="N200" s="18" t="s">
        <v>250</v>
      </c>
      <c r="O200" s="18" t="s">
        <v>151</v>
      </c>
      <c r="P200" s="18" t="s">
        <v>157</v>
      </c>
      <c r="Q200" s="10">
        <f t="shared" si="1"/>
        <v>1</v>
      </c>
    </row>
    <row r="201">
      <c r="A201" s="18" t="s">
        <v>112</v>
      </c>
      <c r="B201" s="18" t="s">
        <v>44</v>
      </c>
      <c r="C201" s="18" t="s">
        <v>76</v>
      </c>
      <c r="D201" s="18" t="s">
        <v>784</v>
      </c>
      <c r="E201" s="18" t="s">
        <v>785</v>
      </c>
      <c r="F201" s="18" t="s">
        <v>228</v>
      </c>
      <c r="G201" s="18">
        <v>20.4</v>
      </c>
      <c r="H201" s="18" t="s">
        <v>168</v>
      </c>
      <c r="I201" s="19">
        <v>6867.0</v>
      </c>
      <c r="J201" s="19">
        <v>9650.0</v>
      </c>
      <c r="K201" s="19">
        <v>8300.0</v>
      </c>
      <c r="L201" s="18" t="s">
        <v>786</v>
      </c>
      <c r="M201" s="18" t="s">
        <v>787</v>
      </c>
      <c r="N201" s="18" t="s">
        <v>316</v>
      </c>
      <c r="O201" s="18" t="s">
        <v>117</v>
      </c>
      <c r="P201" s="18" t="s">
        <v>42</v>
      </c>
      <c r="Q201" s="10">
        <f t="shared" si="1"/>
        <v>1</v>
      </c>
    </row>
    <row r="202">
      <c r="A202" s="18" t="s">
        <v>191</v>
      </c>
      <c r="B202" s="18" t="s">
        <v>44</v>
      </c>
      <c r="C202" s="18" t="s">
        <v>37</v>
      </c>
      <c r="D202" s="18" t="s">
        <v>788</v>
      </c>
      <c r="E202" s="18" t="s">
        <v>789</v>
      </c>
      <c r="F202" s="18" t="s">
        <v>228</v>
      </c>
      <c r="G202" s="18">
        <v>50.77</v>
      </c>
      <c r="H202" s="18" t="s">
        <v>168</v>
      </c>
      <c r="I202" s="19">
        <v>8000.0</v>
      </c>
      <c r="J202" s="19">
        <v>10400.0</v>
      </c>
      <c r="K202" s="19"/>
      <c r="L202" s="18" t="s">
        <v>790</v>
      </c>
      <c r="M202" s="18" t="s">
        <v>791</v>
      </c>
      <c r="N202" s="18" t="s">
        <v>143</v>
      </c>
      <c r="O202" s="18" t="s">
        <v>613</v>
      </c>
      <c r="P202" s="18" t="s">
        <v>48</v>
      </c>
      <c r="Q202" s="10">
        <f t="shared" si="1"/>
        <v>1</v>
      </c>
    </row>
    <row r="203">
      <c r="A203" s="18" t="s">
        <v>148</v>
      </c>
      <c r="B203" s="18" t="s">
        <v>44</v>
      </c>
      <c r="C203" s="18" t="s">
        <v>76</v>
      </c>
      <c r="D203" s="18" t="s">
        <v>792</v>
      </c>
      <c r="E203" s="18" t="s">
        <v>793</v>
      </c>
      <c r="F203" s="18" t="s">
        <v>228</v>
      </c>
      <c r="G203" s="18">
        <v>21.9</v>
      </c>
      <c r="H203" s="18" t="s">
        <v>56</v>
      </c>
      <c r="I203" s="19">
        <v>8349.0</v>
      </c>
      <c r="J203" s="19">
        <v>8350.0</v>
      </c>
      <c r="K203" s="19">
        <v>10050.0</v>
      </c>
      <c r="L203" s="18" t="s">
        <v>794</v>
      </c>
      <c r="M203" s="18" t="s">
        <v>795</v>
      </c>
      <c r="N203" s="18" t="s">
        <v>763</v>
      </c>
      <c r="O203" s="18" t="s">
        <v>151</v>
      </c>
      <c r="P203" s="18" t="s">
        <v>48</v>
      </c>
      <c r="Q203" s="10">
        <f t="shared" si="1"/>
        <v>1</v>
      </c>
    </row>
    <row r="204">
      <c r="A204" s="18" t="s">
        <v>148</v>
      </c>
      <c r="B204" s="18" t="s">
        <v>44</v>
      </c>
      <c r="C204" s="18" t="s">
        <v>76</v>
      </c>
      <c r="D204" s="18" t="s">
        <v>796</v>
      </c>
      <c r="E204" s="18" t="s">
        <v>797</v>
      </c>
      <c r="F204" s="18" t="s">
        <v>228</v>
      </c>
      <c r="G204" s="18">
        <v>20.0</v>
      </c>
      <c r="H204" s="18" t="s">
        <v>56</v>
      </c>
      <c r="I204" s="19">
        <v>7514.0</v>
      </c>
      <c r="J204" s="19">
        <v>7550.0</v>
      </c>
      <c r="K204" s="19">
        <v>9100.0</v>
      </c>
      <c r="L204" s="18" t="s">
        <v>798</v>
      </c>
      <c r="M204" s="18" t="s">
        <v>799</v>
      </c>
      <c r="N204" s="18" t="s">
        <v>800</v>
      </c>
      <c r="O204" s="18" t="s">
        <v>57</v>
      </c>
      <c r="P204" s="18" t="s">
        <v>48</v>
      </c>
      <c r="Q204" s="10">
        <f t="shared" si="1"/>
        <v>1</v>
      </c>
    </row>
    <row r="205">
      <c r="A205" s="18" t="s">
        <v>801</v>
      </c>
      <c r="B205" s="18" t="s">
        <v>45</v>
      </c>
      <c r="C205" s="18" t="s">
        <v>45</v>
      </c>
      <c r="D205" s="18" t="s">
        <v>802</v>
      </c>
      <c r="E205" s="18" t="s">
        <v>803</v>
      </c>
      <c r="F205" s="18" t="s">
        <v>228</v>
      </c>
      <c r="G205" s="18">
        <v>10.21</v>
      </c>
      <c r="H205" s="18" t="s">
        <v>45</v>
      </c>
      <c r="I205" s="19">
        <v>1488.0</v>
      </c>
      <c r="J205" s="19">
        <v>1650.0</v>
      </c>
      <c r="K205" s="19">
        <v>1800.0</v>
      </c>
      <c r="L205" s="18" t="s">
        <v>804</v>
      </c>
      <c r="M205" s="18" t="s">
        <v>805</v>
      </c>
      <c r="N205" s="18" t="s">
        <v>806</v>
      </c>
      <c r="O205" s="18" t="s">
        <v>41</v>
      </c>
      <c r="P205" s="18" t="s">
        <v>162</v>
      </c>
      <c r="Q205" s="10">
        <f t="shared" si="1"/>
        <v>1</v>
      </c>
    </row>
    <row r="206">
      <c r="A206" s="18" t="s">
        <v>801</v>
      </c>
      <c r="B206" s="18" t="s">
        <v>44</v>
      </c>
      <c r="C206" s="18" t="s">
        <v>53</v>
      </c>
      <c r="D206" s="18" t="s">
        <v>807</v>
      </c>
      <c r="E206" s="18" t="s">
        <v>808</v>
      </c>
      <c r="F206" s="18" t="s">
        <v>228</v>
      </c>
      <c r="G206" s="18">
        <v>16.4</v>
      </c>
      <c r="H206" s="18" t="s">
        <v>120</v>
      </c>
      <c r="I206" s="19">
        <v>3392.0</v>
      </c>
      <c r="J206" s="19">
        <v>3750.0</v>
      </c>
      <c r="K206" s="19">
        <v>4100.0</v>
      </c>
      <c r="L206" s="18" t="s">
        <v>809</v>
      </c>
      <c r="M206" s="18" t="s">
        <v>810</v>
      </c>
      <c r="N206" s="18" t="s">
        <v>806</v>
      </c>
      <c r="O206" s="18" t="s">
        <v>57</v>
      </c>
      <c r="P206" s="18" t="s">
        <v>162</v>
      </c>
      <c r="Q206" s="10">
        <f t="shared" si="1"/>
        <v>1</v>
      </c>
    </row>
    <row r="207">
      <c r="A207" s="18" t="s">
        <v>801</v>
      </c>
      <c r="B207" s="18" t="s">
        <v>44</v>
      </c>
      <c r="C207" s="18" t="s">
        <v>53</v>
      </c>
      <c r="D207" s="18" t="s">
        <v>811</v>
      </c>
      <c r="E207" s="18" t="s">
        <v>812</v>
      </c>
      <c r="F207" s="18" t="s">
        <v>228</v>
      </c>
      <c r="G207" s="18">
        <v>16.66</v>
      </c>
      <c r="H207" s="18" t="s">
        <v>120</v>
      </c>
      <c r="I207" s="19">
        <v>3392.0</v>
      </c>
      <c r="J207" s="19">
        <v>3750.0</v>
      </c>
      <c r="K207" s="19">
        <v>4100.0</v>
      </c>
      <c r="L207" s="18" t="s">
        <v>813</v>
      </c>
      <c r="M207" s="18" t="s">
        <v>814</v>
      </c>
      <c r="N207" s="18" t="s">
        <v>806</v>
      </c>
      <c r="O207" s="18" t="s">
        <v>41</v>
      </c>
      <c r="P207" s="18" t="s">
        <v>162</v>
      </c>
      <c r="Q207" s="10">
        <f t="shared" si="1"/>
        <v>1</v>
      </c>
    </row>
    <row r="208">
      <c r="A208" s="18" t="s">
        <v>801</v>
      </c>
      <c r="B208" s="18" t="s">
        <v>44</v>
      </c>
      <c r="C208" s="18" t="s">
        <v>64</v>
      </c>
      <c r="D208" s="18" t="s">
        <v>815</v>
      </c>
      <c r="E208" s="18" t="s">
        <v>816</v>
      </c>
      <c r="F208" s="18" t="s">
        <v>228</v>
      </c>
      <c r="G208" s="18">
        <v>18.93</v>
      </c>
      <c r="H208" s="18" t="s">
        <v>120</v>
      </c>
      <c r="I208" s="19">
        <v>3612.0</v>
      </c>
      <c r="J208" s="19">
        <v>4000.0</v>
      </c>
      <c r="K208" s="19">
        <v>4400.0</v>
      </c>
      <c r="L208" s="18" t="s">
        <v>817</v>
      </c>
      <c r="M208" s="18" t="s">
        <v>818</v>
      </c>
      <c r="N208" s="18" t="s">
        <v>806</v>
      </c>
      <c r="O208" s="18" t="s">
        <v>57</v>
      </c>
      <c r="P208" s="18" t="s">
        <v>162</v>
      </c>
      <c r="Q208" s="10">
        <f t="shared" si="1"/>
        <v>1</v>
      </c>
    </row>
    <row r="209">
      <c r="A209" s="18" t="s">
        <v>801</v>
      </c>
      <c r="B209" s="18" t="s">
        <v>45</v>
      </c>
      <c r="C209" s="18" t="s">
        <v>45</v>
      </c>
      <c r="D209" s="18" t="s">
        <v>819</v>
      </c>
      <c r="E209" s="18" t="s">
        <v>820</v>
      </c>
      <c r="F209" s="18" t="s">
        <v>228</v>
      </c>
      <c r="G209" s="18">
        <v>10.57</v>
      </c>
      <c r="H209" s="18" t="s">
        <v>45</v>
      </c>
      <c r="I209" s="19">
        <v>1488.0</v>
      </c>
      <c r="J209" s="19">
        <v>1650.0</v>
      </c>
      <c r="K209" s="19">
        <v>1800.0</v>
      </c>
      <c r="L209" s="18" t="s">
        <v>821</v>
      </c>
      <c r="M209" s="18" t="s">
        <v>822</v>
      </c>
      <c r="N209" s="18" t="s">
        <v>806</v>
      </c>
      <c r="O209" s="18" t="s">
        <v>57</v>
      </c>
      <c r="P209" s="18" t="s">
        <v>162</v>
      </c>
      <c r="Q209" s="10">
        <f t="shared" si="1"/>
        <v>1</v>
      </c>
    </row>
    <row r="210">
      <c r="A210" s="18" t="s">
        <v>801</v>
      </c>
      <c r="B210" s="18" t="s">
        <v>45</v>
      </c>
      <c r="C210" s="18" t="s">
        <v>45</v>
      </c>
      <c r="D210" s="18" t="s">
        <v>823</v>
      </c>
      <c r="E210" s="18" t="s">
        <v>824</v>
      </c>
      <c r="F210" s="18" t="s">
        <v>228</v>
      </c>
      <c r="G210" s="18">
        <v>13.88</v>
      </c>
      <c r="H210" s="18" t="s">
        <v>45</v>
      </c>
      <c r="I210" s="19">
        <v>1488.0</v>
      </c>
      <c r="J210" s="19">
        <v>1650.0</v>
      </c>
      <c r="K210" s="19">
        <v>1800.0</v>
      </c>
      <c r="L210" s="18" t="s">
        <v>825</v>
      </c>
      <c r="M210" s="18" t="s">
        <v>826</v>
      </c>
      <c r="N210" s="18" t="s">
        <v>806</v>
      </c>
      <c r="O210" s="18" t="s">
        <v>83</v>
      </c>
      <c r="P210" s="18" t="s">
        <v>162</v>
      </c>
      <c r="Q210" s="10">
        <f t="shared" si="1"/>
        <v>1</v>
      </c>
    </row>
    <row r="211">
      <c r="A211" s="18" t="s">
        <v>801</v>
      </c>
      <c r="B211" s="18" t="s">
        <v>44</v>
      </c>
      <c r="C211" s="18" t="s">
        <v>64</v>
      </c>
      <c r="D211" s="18" t="s">
        <v>827</v>
      </c>
      <c r="E211" s="18" t="s">
        <v>828</v>
      </c>
      <c r="F211" s="18" t="s">
        <v>228</v>
      </c>
      <c r="G211" s="18">
        <v>18.74</v>
      </c>
      <c r="H211" s="18" t="s">
        <v>120</v>
      </c>
      <c r="I211" s="19">
        <v>3612.0</v>
      </c>
      <c r="J211" s="19">
        <v>4000.0</v>
      </c>
      <c r="K211" s="19">
        <v>4400.0</v>
      </c>
      <c r="L211" s="18" t="s">
        <v>829</v>
      </c>
      <c r="M211" s="18" t="s">
        <v>830</v>
      </c>
      <c r="N211" s="18" t="s">
        <v>806</v>
      </c>
      <c r="O211" s="18" t="s">
        <v>83</v>
      </c>
      <c r="P211" s="18" t="s">
        <v>162</v>
      </c>
      <c r="Q211" s="10">
        <f t="shared" si="1"/>
        <v>1</v>
      </c>
    </row>
    <row r="212">
      <c r="A212" s="18" t="s">
        <v>801</v>
      </c>
      <c r="B212" s="18" t="s">
        <v>44</v>
      </c>
      <c r="C212" s="18" t="s">
        <v>53</v>
      </c>
      <c r="D212" s="18" t="s">
        <v>831</v>
      </c>
      <c r="E212" s="18" t="s">
        <v>832</v>
      </c>
      <c r="F212" s="18" t="s">
        <v>228</v>
      </c>
      <c r="G212" s="18">
        <v>15.65</v>
      </c>
      <c r="H212" s="18" t="s">
        <v>120</v>
      </c>
      <c r="I212" s="19">
        <v>3392.0</v>
      </c>
      <c r="J212" s="19">
        <v>3750.0</v>
      </c>
      <c r="K212" s="19">
        <v>4100.0</v>
      </c>
      <c r="L212" s="18" t="s">
        <v>833</v>
      </c>
      <c r="M212" s="18" t="s">
        <v>834</v>
      </c>
      <c r="N212" s="18" t="s">
        <v>806</v>
      </c>
      <c r="O212" s="18" t="s">
        <v>57</v>
      </c>
      <c r="P212" s="18" t="s">
        <v>162</v>
      </c>
      <c r="Q212" s="10">
        <f t="shared" si="1"/>
        <v>1</v>
      </c>
    </row>
    <row r="213">
      <c r="A213" s="18" t="s">
        <v>801</v>
      </c>
      <c r="B213" s="18" t="s">
        <v>44</v>
      </c>
      <c r="C213" s="18" t="s">
        <v>53</v>
      </c>
      <c r="D213" s="18" t="s">
        <v>835</v>
      </c>
      <c r="E213" s="18" t="s">
        <v>836</v>
      </c>
      <c r="F213" s="18" t="s">
        <v>228</v>
      </c>
      <c r="G213" s="18">
        <v>15.96</v>
      </c>
      <c r="H213" s="18" t="s">
        <v>120</v>
      </c>
      <c r="I213" s="19">
        <v>3392.0</v>
      </c>
      <c r="J213" s="19">
        <v>3750.0</v>
      </c>
      <c r="K213" s="19">
        <v>4100.0</v>
      </c>
      <c r="L213" s="18" t="s">
        <v>837</v>
      </c>
      <c r="M213" s="18" t="s">
        <v>838</v>
      </c>
      <c r="N213" s="18" t="s">
        <v>806</v>
      </c>
      <c r="O213" s="18" t="s">
        <v>57</v>
      </c>
      <c r="P213" s="18" t="s">
        <v>162</v>
      </c>
      <c r="Q213" s="10">
        <f t="shared" si="1"/>
        <v>1</v>
      </c>
    </row>
    <row r="214">
      <c r="A214" s="18" t="s">
        <v>801</v>
      </c>
      <c r="B214" s="18" t="s">
        <v>44</v>
      </c>
      <c r="C214" s="18" t="s">
        <v>76</v>
      </c>
      <c r="D214" s="18" t="s">
        <v>839</v>
      </c>
      <c r="E214" s="18" t="s">
        <v>840</v>
      </c>
      <c r="F214" s="18" t="s">
        <v>228</v>
      </c>
      <c r="G214" s="18">
        <v>19.81</v>
      </c>
      <c r="H214" s="18" t="s">
        <v>120</v>
      </c>
      <c r="I214" s="19">
        <v>3825.0</v>
      </c>
      <c r="J214" s="19">
        <v>4250.0</v>
      </c>
      <c r="K214" s="19">
        <v>4650.0</v>
      </c>
      <c r="L214" s="18" t="s">
        <v>841</v>
      </c>
      <c r="M214" s="18" t="s">
        <v>842</v>
      </c>
      <c r="N214" s="18" t="s">
        <v>806</v>
      </c>
      <c r="O214" s="18" t="s">
        <v>41</v>
      </c>
      <c r="P214" s="18" t="s">
        <v>162</v>
      </c>
      <c r="Q214" s="10">
        <f t="shared" si="1"/>
        <v>1</v>
      </c>
    </row>
    <row r="215">
      <c r="A215" s="18" t="s">
        <v>801</v>
      </c>
      <c r="B215" s="18" t="s">
        <v>44</v>
      </c>
      <c r="C215" s="18" t="s">
        <v>133</v>
      </c>
      <c r="D215" s="18" t="s">
        <v>843</v>
      </c>
      <c r="E215" s="18" t="s">
        <v>844</v>
      </c>
      <c r="F215" s="18" t="s">
        <v>228</v>
      </c>
      <c r="G215" s="18">
        <v>12.52</v>
      </c>
      <c r="H215" s="18" t="s">
        <v>56</v>
      </c>
      <c r="I215" s="19">
        <v>2974.0</v>
      </c>
      <c r="J215" s="19">
        <v>3300.0</v>
      </c>
      <c r="K215" s="19">
        <v>3600.0</v>
      </c>
      <c r="L215" s="18" t="s">
        <v>845</v>
      </c>
      <c r="M215" s="18" t="s">
        <v>846</v>
      </c>
      <c r="N215" s="18" t="s">
        <v>806</v>
      </c>
      <c r="O215" s="18" t="s">
        <v>57</v>
      </c>
      <c r="P215" s="18" t="s">
        <v>162</v>
      </c>
      <c r="Q215" s="10">
        <f t="shared" si="1"/>
        <v>1</v>
      </c>
    </row>
    <row r="216">
      <c r="A216" s="18" t="s">
        <v>801</v>
      </c>
      <c r="B216" s="18" t="s">
        <v>45</v>
      </c>
      <c r="C216" s="18" t="s">
        <v>45</v>
      </c>
      <c r="D216" s="18" t="s">
        <v>847</v>
      </c>
      <c r="E216" s="18" t="s">
        <v>848</v>
      </c>
      <c r="F216" s="18" t="s">
        <v>228</v>
      </c>
      <c r="G216" s="18">
        <v>14.84</v>
      </c>
      <c r="H216" s="18" t="s">
        <v>45</v>
      </c>
      <c r="I216" s="19">
        <v>1488.0</v>
      </c>
      <c r="J216" s="19">
        <v>1650.0</v>
      </c>
      <c r="K216" s="19">
        <v>1800.0</v>
      </c>
      <c r="L216" s="18" t="s">
        <v>849</v>
      </c>
      <c r="M216" s="18" t="s">
        <v>850</v>
      </c>
      <c r="N216" s="18" t="s">
        <v>806</v>
      </c>
      <c r="O216" s="18" t="s">
        <v>83</v>
      </c>
      <c r="P216" s="18" t="s">
        <v>162</v>
      </c>
      <c r="Q216" s="10">
        <f t="shared" si="1"/>
        <v>1</v>
      </c>
    </row>
    <row r="217">
      <c r="A217" s="18" t="s">
        <v>801</v>
      </c>
      <c r="B217" s="18" t="s">
        <v>44</v>
      </c>
      <c r="C217" s="18" t="s">
        <v>113</v>
      </c>
      <c r="D217" s="18" t="s">
        <v>851</v>
      </c>
      <c r="E217" s="18" t="s">
        <v>852</v>
      </c>
      <c r="F217" s="18" t="s">
        <v>228</v>
      </c>
      <c r="G217" s="18">
        <v>11.7</v>
      </c>
      <c r="H217" s="18" t="s">
        <v>56</v>
      </c>
      <c r="I217" s="19">
        <v>2763.0</v>
      </c>
      <c r="J217" s="19">
        <v>3050.0</v>
      </c>
      <c r="K217" s="19">
        <v>3400.0</v>
      </c>
      <c r="L217" s="18" t="s">
        <v>853</v>
      </c>
      <c r="M217" s="18" t="s">
        <v>854</v>
      </c>
      <c r="N217" s="18" t="s">
        <v>806</v>
      </c>
      <c r="O217" s="18" t="s">
        <v>41</v>
      </c>
      <c r="P217" s="18" t="s">
        <v>162</v>
      </c>
      <c r="Q217" s="10">
        <f t="shared" si="1"/>
        <v>1</v>
      </c>
    </row>
    <row r="218">
      <c r="A218" s="18" t="s">
        <v>801</v>
      </c>
      <c r="B218" s="18" t="s">
        <v>44</v>
      </c>
      <c r="C218" s="18" t="s">
        <v>76</v>
      </c>
      <c r="D218" s="18" t="s">
        <v>855</v>
      </c>
      <c r="E218" s="18" t="s">
        <v>856</v>
      </c>
      <c r="F218" s="18" t="s">
        <v>228</v>
      </c>
      <c r="G218" s="18">
        <v>20.36</v>
      </c>
      <c r="H218" s="18" t="s">
        <v>120</v>
      </c>
      <c r="I218" s="19">
        <v>3825.0</v>
      </c>
      <c r="J218" s="19">
        <v>4250.0</v>
      </c>
      <c r="K218" s="19">
        <v>4650.0</v>
      </c>
      <c r="L218" s="18" t="s">
        <v>857</v>
      </c>
      <c r="M218" s="18" t="s">
        <v>858</v>
      </c>
      <c r="N218" s="18" t="s">
        <v>806</v>
      </c>
      <c r="O218" s="18" t="s">
        <v>41</v>
      </c>
      <c r="P218" s="18" t="s">
        <v>162</v>
      </c>
      <c r="Q218" s="10">
        <f t="shared" si="1"/>
        <v>1</v>
      </c>
    </row>
    <row r="219">
      <c r="A219" s="18" t="s">
        <v>801</v>
      </c>
      <c r="B219" s="18" t="s">
        <v>45</v>
      </c>
      <c r="C219" s="18" t="s">
        <v>45</v>
      </c>
      <c r="D219" s="18" t="s">
        <v>859</v>
      </c>
      <c r="E219" s="18" t="s">
        <v>860</v>
      </c>
      <c r="F219" s="18" t="s">
        <v>228</v>
      </c>
      <c r="G219" s="18">
        <v>8.19</v>
      </c>
      <c r="H219" s="18" t="s">
        <v>45</v>
      </c>
      <c r="I219" s="19">
        <v>1488.0</v>
      </c>
      <c r="J219" s="19">
        <v>1650.0</v>
      </c>
      <c r="K219" s="19">
        <v>1800.0</v>
      </c>
      <c r="L219" s="18" t="s">
        <v>861</v>
      </c>
      <c r="M219" s="18" t="s">
        <v>862</v>
      </c>
      <c r="N219" s="18" t="s">
        <v>806</v>
      </c>
      <c r="O219" s="18" t="s">
        <v>41</v>
      </c>
      <c r="P219" s="18" t="s">
        <v>162</v>
      </c>
      <c r="Q219" s="10">
        <f t="shared" si="1"/>
        <v>1</v>
      </c>
    </row>
    <row r="220">
      <c r="A220" s="18" t="s">
        <v>801</v>
      </c>
      <c r="B220" s="18" t="s">
        <v>45</v>
      </c>
      <c r="C220" s="18" t="s">
        <v>45</v>
      </c>
      <c r="D220" s="18" t="s">
        <v>863</v>
      </c>
      <c r="E220" s="18" t="s">
        <v>864</v>
      </c>
      <c r="F220" s="18" t="s">
        <v>228</v>
      </c>
      <c r="G220" s="18">
        <v>9.35</v>
      </c>
      <c r="H220" s="18" t="s">
        <v>45</v>
      </c>
      <c r="I220" s="19">
        <v>1488.0</v>
      </c>
      <c r="J220" s="19">
        <v>1650.0</v>
      </c>
      <c r="K220" s="19">
        <v>1800.0</v>
      </c>
      <c r="L220" s="18" t="s">
        <v>865</v>
      </c>
      <c r="M220" s="18" t="s">
        <v>866</v>
      </c>
      <c r="N220" s="18" t="s">
        <v>806</v>
      </c>
      <c r="O220" s="18" t="s">
        <v>57</v>
      </c>
      <c r="P220" s="18" t="s">
        <v>162</v>
      </c>
      <c r="Q220" s="10">
        <f t="shared" si="1"/>
        <v>1</v>
      </c>
    </row>
    <row r="221">
      <c r="A221" s="18" t="s">
        <v>801</v>
      </c>
      <c r="B221" s="18" t="s">
        <v>44</v>
      </c>
      <c r="C221" s="18" t="s">
        <v>133</v>
      </c>
      <c r="D221" s="18" t="s">
        <v>867</v>
      </c>
      <c r="E221" s="18" t="s">
        <v>868</v>
      </c>
      <c r="F221" s="18" t="s">
        <v>228</v>
      </c>
      <c r="G221" s="18">
        <v>13.54</v>
      </c>
      <c r="H221" s="18" t="s">
        <v>56</v>
      </c>
      <c r="I221" s="19">
        <v>2974.0</v>
      </c>
      <c r="J221" s="19">
        <v>3300.0</v>
      </c>
      <c r="K221" s="19">
        <v>3600.0</v>
      </c>
      <c r="L221" s="18" t="s">
        <v>869</v>
      </c>
      <c r="M221" s="18" t="s">
        <v>870</v>
      </c>
      <c r="N221" s="18" t="s">
        <v>806</v>
      </c>
      <c r="O221" s="18" t="s">
        <v>57</v>
      </c>
      <c r="P221" s="18" t="s">
        <v>162</v>
      </c>
      <c r="Q221" s="10">
        <f t="shared" si="1"/>
        <v>1</v>
      </c>
    </row>
    <row r="222">
      <c r="A222" s="18" t="s">
        <v>801</v>
      </c>
      <c r="B222" s="18" t="s">
        <v>44</v>
      </c>
      <c r="C222" s="18" t="s">
        <v>64</v>
      </c>
      <c r="D222" s="18" t="s">
        <v>871</v>
      </c>
      <c r="E222" s="18" t="s">
        <v>872</v>
      </c>
      <c r="F222" s="18" t="s">
        <v>228</v>
      </c>
      <c r="G222" s="18">
        <v>18.76</v>
      </c>
      <c r="H222" s="18" t="s">
        <v>120</v>
      </c>
      <c r="I222" s="19">
        <v>3612.0</v>
      </c>
      <c r="J222" s="19">
        <v>4000.0</v>
      </c>
      <c r="K222" s="19">
        <v>4400.0</v>
      </c>
      <c r="L222" s="18" t="s">
        <v>873</v>
      </c>
      <c r="M222" s="18" t="s">
        <v>874</v>
      </c>
      <c r="N222" s="18" t="s">
        <v>806</v>
      </c>
      <c r="O222" s="18" t="s">
        <v>57</v>
      </c>
      <c r="P222" s="18" t="s">
        <v>162</v>
      </c>
      <c r="Q222" s="10">
        <f t="shared" si="1"/>
        <v>1</v>
      </c>
    </row>
    <row r="223">
      <c r="A223" s="18" t="s">
        <v>132</v>
      </c>
      <c r="B223" s="18" t="s">
        <v>44</v>
      </c>
      <c r="C223" s="18" t="s">
        <v>133</v>
      </c>
      <c r="D223" s="18" t="s">
        <v>875</v>
      </c>
      <c r="E223" s="18" t="s">
        <v>876</v>
      </c>
      <c r="F223" s="18" t="s">
        <v>228</v>
      </c>
      <c r="G223" s="18">
        <v>14.02</v>
      </c>
      <c r="H223" s="18" t="s">
        <v>62</v>
      </c>
      <c r="I223" s="19">
        <v>2975.44</v>
      </c>
      <c r="J223" s="19">
        <v>2400.0</v>
      </c>
      <c r="K223" s="19">
        <v>4500.0</v>
      </c>
      <c r="L223" s="18" t="s">
        <v>877</v>
      </c>
      <c r="M223" s="18" t="s">
        <v>878</v>
      </c>
      <c r="N223" s="18" t="s">
        <v>143</v>
      </c>
      <c r="O223" s="18" t="s">
        <v>41</v>
      </c>
      <c r="P223" s="18"/>
      <c r="Q223" s="10">
        <f t="shared" si="1"/>
        <v>1</v>
      </c>
    </row>
    <row r="224">
      <c r="A224" s="18" t="s">
        <v>138</v>
      </c>
      <c r="B224" s="18" t="s">
        <v>44</v>
      </c>
      <c r="C224" s="18" t="s">
        <v>133</v>
      </c>
      <c r="D224" s="18" t="s">
        <v>879</v>
      </c>
      <c r="E224" s="18" t="s">
        <v>880</v>
      </c>
      <c r="F224" s="18" t="s">
        <v>228</v>
      </c>
      <c r="G224" s="18">
        <v>14.24</v>
      </c>
      <c r="H224" s="18" t="s">
        <v>56</v>
      </c>
      <c r="I224" s="19">
        <v>3113.0</v>
      </c>
      <c r="J224" s="19">
        <v>4550.0</v>
      </c>
      <c r="K224" s="19">
        <v>3800.0</v>
      </c>
      <c r="L224" s="18" t="s">
        <v>881</v>
      </c>
      <c r="M224" s="18" t="s">
        <v>882</v>
      </c>
      <c r="N224" s="18" t="s">
        <v>131</v>
      </c>
      <c r="O224" s="18" t="s">
        <v>41</v>
      </c>
      <c r="P224" s="18" t="s">
        <v>144</v>
      </c>
      <c r="Q224" s="10">
        <f t="shared" si="1"/>
        <v>1</v>
      </c>
    </row>
    <row r="225">
      <c r="A225" s="18" t="s">
        <v>216</v>
      </c>
      <c r="B225" s="18" t="s">
        <v>44</v>
      </c>
      <c r="C225" s="18" t="s">
        <v>53</v>
      </c>
      <c r="D225" s="18" t="s">
        <v>883</v>
      </c>
      <c r="E225" s="18" t="s">
        <v>884</v>
      </c>
      <c r="F225" s="18" t="s">
        <v>228</v>
      </c>
      <c r="G225" s="18">
        <v>15.05</v>
      </c>
      <c r="H225" s="18" t="s">
        <v>120</v>
      </c>
      <c r="I225" s="19">
        <v>5494.0</v>
      </c>
      <c r="J225" s="19">
        <v>7700.0</v>
      </c>
      <c r="K225" s="19">
        <v>6600.0</v>
      </c>
      <c r="L225" s="18" t="s">
        <v>885</v>
      </c>
      <c r="M225" s="18" t="s">
        <v>886</v>
      </c>
      <c r="N225" s="18" t="s">
        <v>240</v>
      </c>
      <c r="O225" s="18" t="s">
        <v>57</v>
      </c>
      <c r="P225" s="18" t="s">
        <v>42</v>
      </c>
      <c r="Q225" s="10">
        <f t="shared" si="1"/>
        <v>1</v>
      </c>
    </row>
    <row r="226">
      <c r="A226" s="18" t="s">
        <v>201</v>
      </c>
      <c r="B226" s="18" t="s">
        <v>44</v>
      </c>
      <c r="C226" s="18" t="s">
        <v>76</v>
      </c>
      <c r="D226" s="18" t="s">
        <v>887</v>
      </c>
      <c r="E226" s="18" t="s">
        <v>888</v>
      </c>
      <c r="F226" s="18" t="s">
        <v>228</v>
      </c>
      <c r="G226" s="18">
        <v>20.95</v>
      </c>
      <c r="H226" s="18" t="s">
        <v>120</v>
      </c>
      <c r="I226" s="19">
        <v>3950.0</v>
      </c>
      <c r="J226" s="19">
        <v>4750.0</v>
      </c>
      <c r="K226" s="19">
        <v>4600.0</v>
      </c>
      <c r="L226" s="18" t="s">
        <v>889</v>
      </c>
      <c r="M226" s="18" t="s">
        <v>890</v>
      </c>
      <c r="N226" s="18" t="s">
        <v>316</v>
      </c>
      <c r="O226" s="18" t="s">
        <v>57</v>
      </c>
      <c r="P226" s="18"/>
      <c r="Q226" s="10">
        <f t="shared" si="1"/>
        <v>1</v>
      </c>
    </row>
    <row r="227">
      <c r="A227" s="18" t="s">
        <v>158</v>
      </c>
      <c r="B227" s="18" t="s">
        <v>44</v>
      </c>
      <c r="C227" s="18" t="s">
        <v>64</v>
      </c>
      <c r="D227" s="18" t="s">
        <v>891</v>
      </c>
      <c r="E227" s="18" t="s">
        <v>892</v>
      </c>
      <c r="F227" s="18" t="s">
        <v>228</v>
      </c>
      <c r="G227" s="18">
        <v>18.11</v>
      </c>
      <c r="H227" s="18" t="s">
        <v>120</v>
      </c>
      <c r="I227" s="19">
        <v>5516.0</v>
      </c>
      <c r="J227" s="19">
        <v>5550.0</v>
      </c>
      <c r="K227" s="19">
        <v>6700.0</v>
      </c>
      <c r="L227" s="18" t="s">
        <v>893</v>
      </c>
      <c r="M227" s="18" t="s">
        <v>894</v>
      </c>
      <c r="N227" s="18" t="s">
        <v>250</v>
      </c>
      <c r="O227" s="18" t="s">
        <v>161</v>
      </c>
      <c r="P227" s="18" t="s">
        <v>162</v>
      </c>
      <c r="Q227" s="10">
        <f t="shared" si="1"/>
        <v>1</v>
      </c>
    </row>
    <row r="228">
      <c r="A228" s="18" t="s">
        <v>145</v>
      </c>
      <c r="B228" s="18" t="s">
        <v>45</v>
      </c>
      <c r="C228" s="18" t="s">
        <v>45</v>
      </c>
      <c r="D228" s="18" t="s">
        <v>895</v>
      </c>
      <c r="E228" s="18" t="s">
        <v>896</v>
      </c>
      <c r="F228" s="18" t="s">
        <v>228</v>
      </c>
      <c r="G228" s="18">
        <v>7.0</v>
      </c>
      <c r="H228" s="18" t="s">
        <v>45</v>
      </c>
      <c r="I228" s="19">
        <v>4215.0</v>
      </c>
      <c r="J228" s="19">
        <v>4650.0</v>
      </c>
      <c r="K228" s="19">
        <v>5100.0</v>
      </c>
      <c r="L228" s="18" t="s">
        <v>897</v>
      </c>
      <c r="M228" s="18" t="s">
        <v>898</v>
      </c>
      <c r="N228" s="18" t="s">
        <v>143</v>
      </c>
      <c r="O228" s="18" t="s">
        <v>57</v>
      </c>
      <c r="P228" s="18" t="s">
        <v>63</v>
      </c>
      <c r="Q228" s="10">
        <f t="shared" si="1"/>
        <v>1</v>
      </c>
    </row>
    <row r="229">
      <c r="A229" s="18" t="s">
        <v>145</v>
      </c>
      <c r="B229" s="18" t="s">
        <v>44</v>
      </c>
      <c r="C229" s="18" t="s">
        <v>64</v>
      </c>
      <c r="D229" s="18" t="s">
        <v>899</v>
      </c>
      <c r="E229" s="18" t="s">
        <v>900</v>
      </c>
      <c r="F229" s="18" t="s">
        <v>228</v>
      </c>
      <c r="G229" s="18">
        <v>17.7</v>
      </c>
      <c r="H229" s="18" t="s">
        <v>56</v>
      </c>
      <c r="I229" s="19">
        <v>9022.0</v>
      </c>
      <c r="J229" s="19">
        <v>9950.0</v>
      </c>
      <c r="K229" s="19">
        <v>10900.0</v>
      </c>
      <c r="L229" s="18" t="s">
        <v>901</v>
      </c>
      <c r="M229" s="18" t="s">
        <v>902</v>
      </c>
      <c r="N229" s="18" t="s">
        <v>903</v>
      </c>
      <c r="O229" s="18" t="s">
        <v>57</v>
      </c>
      <c r="P229" s="18" t="s">
        <v>63</v>
      </c>
      <c r="Q229" s="10">
        <f t="shared" si="1"/>
        <v>1</v>
      </c>
    </row>
    <row r="230">
      <c r="A230" s="18" t="s">
        <v>49</v>
      </c>
      <c r="B230" s="18" t="s">
        <v>44</v>
      </c>
      <c r="C230" s="18" t="s">
        <v>76</v>
      </c>
      <c r="D230" s="18" t="s">
        <v>904</v>
      </c>
      <c r="E230" s="18" t="s">
        <v>905</v>
      </c>
      <c r="F230" s="18" t="s">
        <v>228</v>
      </c>
      <c r="G230" s="18">
        <v>21.32</v>
      </c>
      <c r="H230" s="18" t="s">
        <v>168</v>
      </c>
      <c r="I230" s="19">
        <v>7320.0</v>
      </c>
      <c r="J230" s="19">
        <v>8450.0</v>
      </c>
      <c r="K230" s="19">
        <v>10400.0</v>
      </c>
      <c r="L230" s="18" t="s">
        <v>906</v>
      </c>
      <c r="M230" s="18" t="s">
        <v>907</v>
      </c>
      <c r="N230" s="18" t="s">
        <v>240</v>
      </c>
      <c r="O230" s="18" t="s">
        <v>57</v>
      </c>
      <c r="P230" s="18" t="s">
        <v>48</v>
      </c>
      <c r="Q230" s="10">
        <f t="shared" si="1"/>
        <v>1</v>
      </c>
    </row>
    <row r="231">
      <c r="A231" s="18" t="s">
        <v>191</v>
      </c>
      <c r="B231" s="18" t="s">
        <v>44</v>
      </c>
      <c r="C231" s="18" t="s">
        <v>76</v>
      </c>
      <c r="D231" s="18" t="s">
        <v>908</v>
      </c>
      <c r="E231" s="18" t="s">
        <v>909</v>
      </c>
      <c r="F231" s="18" t="s">
        <v>228</v>
      </c>
      <c r="G231" s="18">
        <v>19.26</v>
      </c>
      <c r="H231" s="18" t="s">
        <v>120</v>
      </c>
      <c r="I231" s="19">
        <v>6600.0</v>
      </c>
      <c r="J231" s="19">
        <v>8600.0</v>
      </c>
      <c r="K231" s="19"/>
      <c r="L231" s="18" t="s">
        <v>910</v>
      </c>
      <c r="M231" s="18" t="s">
        <v>911</v>
      </c>
      <c r="N231" s="18" t="s">
        <v>903</v>
      </c>
      <c r="O231" s="18" t="s">
        <v>57</v>
      </c>
      <c r="P231" s="18" t="s">
        <v>48</v>
      </c>
      <c r="Q231" s="10">
        <f t="shared" si="1"/>
        <v>1</v>
      </c>
    </row>
    <row r="232">
      <c r="A232" s="18" t="s">
        <v>912</v>
      </c>
      <c r="B232" s="18" t="s">
        <v>45</v>
      </c>
      <c r="C232" s="18" t="s">
        <v>45</v>
      </c>
      <c r="D232" s="18" t="s">
        <v>913</v>
      </c>
      <c r="E232" s="18" t="s">
        <v>914</v>
      </c>
      <c r="F232" s="18" t="s">
        <v>228</v>
      </c>
      <c r="G232" s="18">
        <v>10.26</v>
      </c>
      <c r="H232" s="18" t="s">
        <v>45</v>
      </c>
      <c r="I232" s="19">
        <v>2600.0</v>
      </c>
      <c r="J232" s="19">
        <v>3250.0</v>
      </c>
      <c r="K232" s="19">
        <v>3000.0</v>
      </c>
      <c r="L232" s="18" t="s">
        <v>915</v>
      </c>
      <c r="M232" s="18" t="s">
        <v>916</v>
      </c>
      <c r="N232" s="18" t="s">
        <v>403</v>
      </c>
      <c r="O232" s="18" t="s">
        <v>57</v>
      </c>
      <c r="P232" s="18" t="s">
        <v>917</v>
      </c>
      <c r="Q232" s="10">
        <f t="shared" si="1"/>
        <v>1</v>
      </c>
    </row>
    <row r="233">
      <c r="A233" s="18" t="s">
        <v>912</v>
      </c>
      <c r="B233" s="18" t="s">
        <v>44</v>
      </c>
      <c r="C233" s="18" t="s">
        <v>133</v>
      </c>
      <c r="D233" s="18" t="s">
        <v>918</v>
      </c>
      <c r="E233" s="18" t="s">
        <v>919</v>
      </c>
      <c r="F233" s="18" t="s">
        <v>228</v>
      </c>
      <c r="G233" s="18">
        <v>14.71</v>
      </c>
      <c r="H233" s="18" t="s">
        <v>56</v>
      </c>
      <c r="I233" s="19">
        <v>4650.0</v>
      </c>
      <c r="J233" s="19">
        <v>5850.0</v>
      </c>
      <c r="K233" s="19">
        <v>5400.0</v>
      </c>
      <c r="L233" s="18" t="s">
        <v>920</v>
      </c>
      <c r="M233" s="18" t="s">
        <v>916</v>
      </c>
      <c r="N233" s="18" t="s">
        <v>403</v>
      </c>
      <c r="O233" s="18" t="s">
        <v>57</v>
      </c>
      <c r="P233" s="18" t="s">
        <v>917</v>
      </c>
      <c r="Q233" s="10">
        <f t="shared" si="1"/>
        <v>1</v>
      </c>
    </row>
    <row r="234">
      <c r="A234" s="18" t="s">
        <v>154</v>
      </c>
      <c r="B234" s="18" t="s">
        <v>44</v>
      </c>
      <c r="C234" s="18" t="s">
        <v>53</v>
      </c>
      <c r="D234" s="18" t="s">
        <v>921</v>
      </c>
      <c r="E234" s="18" t="s">
        <v>922</v>
      </c>
      <c r="F234" s="18" t="s">
        <v>228</v>
      </c>
      <c r="G234" s="18">
        <v>16.0</v>
      </c>
      <c r="H234" s="18" t="s">
        <v>56</v>
      </c>
      <c r="I234" s="19">
        <v>4799.0</v>
      </c>
      <c r="J234" s="19">
        <v>6750.0</v>
      </c>
      <c r="K234" s="19">
        <v>5800.0</v>
      </c>
      <c r="L234" s="18" t="s">
        <v>923</v>
      </c>
      <c r="M234" s="18" t="s">
        <v>924</v>
      </c>
      <c r="N234" s="18" t="s">
        <v>338</v>
      </c>
      <c r="O234" s="18" t="s">
        <v>151</v>
      </c>
      <c r="P234" s="18" t="s">
        <v>157</v>
      </c>
      <c r="Q234" s="10">
        <f t="shared" si="1"/>
        <v>1</v>
      </c>
    </row>
    <row r="235">
      <c r="A235" s="18" t="s">
        <v>112</v>
      </c>
      <c r="B235" s="18" t="s">
        <v>45</v>
      </c>
      <c r="C235" s="18" t="s">
        <v>45</v>
      </c>
      <c r="D235" s="18" t="s">
        <v>925</v>
      </c>
      <c r="E235" s="18" t="s">
        <v>926</v>
      </c>
      <c r="F235" s="18" t="s">
        <v>228</v>
      </c>
      <c r="G235" s="18">
        <v>12.2</v>
      </c>
      <c r="H235" s="18" t="s">
        <v>45</v>
      </c>
      <c r="I235" s="19">
        <v>3257.0</v>
      </c>
      <c r="J235" s="19">
        <v>4600.0</v>
      </c>
      <c r="K235" s="19">
        <v>4000.0</v>
      </c>
      <c r="L235" s="18" t="s">
        <v>927</v>
      </c>
      <c r="M235" s="18" t="s">
        <v>928</v>
      </c>
      <c r="N235" s="18" t="s">
        <v>403</v>
      </c>
      <c r="O235" s="18" t="s">
        <v>198</v>
      </c>
      <c r="P235" s="18" t="s">
        <v>42</v>
      </c>
      <c r="Q235" s="10">
        <f t="shared" si="1"/>
        <v>1</v>
      </c>
    </row>
    <row r="236">
      <c r="A236" s="18" t="s">
        <v>154</v>
      </c>
      <c r="B236" s="18" t="s">
        <v>45</v>
      </c>
      <c r="C236" s="18" t="s">
        <v>45</v>
      </c>
      <c r="D236" s="18" t="s">
        <v>929</v>
      </c>
      <c r="E236" s="18" t="s">
        <v>930</v>
      </c>
      <c r="F236" s="18" t="s">
        <v>228</v>
      </c>
      <c r="G236" s="18">
        <v>13.0</v>
      </c>
      <c r="H236" s="18" t="s">
        <v>45</v>
      </c>
      <c r="I236" s="19">
        <v>3580.0</v>
      </c>
      <c r="J236" s="19">
        <v>5050.0</v>
      </c>
      <c r="K236" s="19">
        <v>4350.0</v>
      </c>
      <c r="L236" s="18" t="s">
        <v>931</v>
      </c>
      <c r="M236" s="18" t="s">
        <v>932</v>
      </c>
      <c r="N236" s="18" t="s">
        <v>316</v>
      </c>
      <c r="O236" s="18" t="s">
        <v>151</v>
      </c>
      <c r="P236" s="18" t="s">
        <v>157</v>
      </c>
      <c r="Q236" s="10">
        <f t="shared" si="1"/>
        <v>1</v>
      </c>
    </row>
    <row r="237">
      <c r="A237" s="18" t="s">
        <v>49</v>
      </c>
      <c r="B237" s="18" t="s">
        <v>45</v>
      </c>
      <c r="C237" s="18" t="s">
        <v>50</v>
      </c>
      <c r="D237" s="18" t="s">
        <v>933</v>
      </c>
      <c r="E237" s="18" t="s">
        <v>934</v>
      </c>
      <c r="F237" s="18" t="s">
        <v>228</v>
      </c>
      <c r="G237" s="18">
        <v>8.94</v>
      </c>
      <c r="H237" s="18" t="s">
        <v>40</v>
      </c>
      <c r="I237" s="19">
        <v>3551.0</v>
      </c>
      <c r="J237" s="19">
        <v>4100.0</v>
      </c>
      <c r="K237" s="19">
        <v>4350.0</v>
      </c>
      <c r="L237" s="18" t="s">
        <v>935</v>
      </c>
      <c r="M237" s="18" t="s">
        <v>936</v>
      </c>
      <c r="N237" s="18" t="s">
        <v>403</v>
      </c>
      <c r="O237" s="18" t="s">
        <v>41</v>
      </c>
      <c r="P237" s="18" t="s">
        <v>48</v>
      </c>
      <c r="Q237" s="10">
        <f t="shared" si="1"/>
        <v>1</v>
      </c>
    </row>
    <row r="238">
      <c r="A238" s="18" t="s">
        <v>148</v>
      </c>
      <c r="B238" s="18" t="s">
        <v>44</v>
      </c>
      <c r="C238" s="18" t="s">
        <v>76</v>
      </c>
      <c r="D238" s="18" t="s">
        <v>937</v>
      </c>
      <c r="E238" s="18" t="s">
        <v>938</v>
      </c>
      <c r="F238" s="18" t="s">
        <v>228</v>
      </c>
      <c r="G238" s="18">
        <v>21.9</v>
      </c>
      <c r="H238" s="18" t="s">
        <v>56</v>
      </c>
      <c r="I238" s="19">
        <v>8349.0</v>
      </c>
      <c r="J238" s="19">
        <v>8350.0</v>
      </c>
      <c r="K238" s="19">
        <v>10050.0</v>
      </c>
      <c r="L238" s="18" t="s">
        <v>939</v>
      </c>
      <c r="M238" s="18" t="s">
        <v>940</v>
      </c>
      <c r="N238" s="18" t="s">
        <v>338</v>
      </c>
      <c r="O238" s="18" t="s">
        <v>151</v>
      </c>
      <c r="P238" s="18" t="s">
        <v>48</v>
      </c>
      <c r="Q238" s="10">
        <f t="shared" si="1"/>
        <v>1</v>
      </c>
    </row>
    <row r="239">
      <c r="A239" s="18" t="s">
        <v>191</v>
      </c>
      <c r="B239" s="18" t="s">
        <v>44</v>
      </c>
      <c r="C239" s="18" t="s">
        <v>180</v>
      </c>
      <c r="D239" s="18" t="s">
        <v>941</v>
      </c>
      <c r="E239" s="18" t="s">
        <v>942</v>
      </c>
      <c r="F239" s="18" t="s">
        <v>228</v>
      </c>
      <c r="G239" s="18">
        <v>23.3</v>
      </c>
      <c r="H239" s="18" t="s">
        <v>168</v>
      </c>
      <c r="I239" s="19">
        <v>6900.0</v>
      </c>
      <c r="J239" s="19">
        <v>9000.0</v>
      </c>
      <c r="K239" s="19"/>
      <c r="L239" s="18" t="s">
        <v>943</v>
      </c>
      <c r="M239" s="18" t="s">
        <v>944</v>
      </c>
      <c r="N239" s="18" t="s">
        <v>131</v>
      </c>
      <c r="O239" s="18" t="s">
        <v>57</v>
      </c>
      <c r="P239" s="18" t="s">
        <v>48</v>
      </c>
      <c r="Q239" s="10">
        <f t="shared" si="1"/>
        <v>1</v>
      </c>
    </row>
    <row r="240">
      <c r="A240" s="18" t="s">
        <v>912</v>
      </c>
      <c r="B240" s="18" t="s">
        <v>45</v>
      </c>
      <c r="C240" s="18" t="s">
        <v>45</v>
      </c>
      <c r="D240" s="18" t="s">
        <v>945</v>
      </c>
      <c r="E240" s="18" t="s">
        <v>946</v>
      </c>
      <c r="F240" s="18" t="s">
        <v>228</v>
      </c>
      <c r="G240" s="18">
        <v>9.05</v>
      </c>
      <c r="H240" s="18" t="s">
        <v>45</v>
      </c>
      <c r="I240" s="19">
        <v>2600.0</v>
      </c>
      <c r="J240" s="19">
        <v>3250.0</v>
      </c>
      <c r="K240" s="19">
        <v>3000.0</v>
      </c>
      <c r="L240" s="18" t="s">
        <v>947</v>
      </c>
      <c r="M240" s="18" t="s">
        <v>948</v>
      </c>
      <c r="N240" s="18" t="s">
        <v>316</v>
      </c>
      <c r="O240" s="18" t="s">
        <v>57</v>
      </c>
      <c r="P240" s="18" t="s">
        <v>917</v>
      </c>
      <c r="Q240" s="10">
        <f t="shared" si="1"/>
        <v>1</v>
      </c>
    </row>
    <row r="241">
      <c r="A241" s="18" t="s">
        <v>912</v>
      </c>
      <c r="B241" s="18" t="s">
        <v>44</v>
      </c>
      <c r="C241" s="18" t="s">
        <v>113</v>
      </c>
      <c r="D241" s="18" t="s">
        <v>949</v>
      </c>
      <c r="E241" s="18" t="s">
        <v>950</v>
      </c>
      <c r="F241" s="18" t="s">
        <v>228</v>
      </c>
      <c r="G241" s="18">
        <v>10.01</v>
      </c>
      <c r="H241" s="18" t="s">
        <v>116</v>
      </c>
      <c r="I241" s="19">
        <v>3900.0</v>
      </c>
      <c r="J241" s="19">
        <v>4900.0</v>
      </c>
      <c r="K241" s="19">
        <v>4500.0</v>
      </c>
      <c r="L241" s="18" t="s">
        <v>951</v>
      </c>
      <c r="M241" s="18" t="s">
        <v>952</v>
      </c>
      <c r="N241" s="18" t="s">
        <v>316</v>
      </c>
      <c r="O241" s="18" t="s">
        <v>57</v>
      </c>
      <c r="P241" s="18" t="s">
        <v>917</v>
      </c>
      <c r="Q241" s="10">
        <f t="shared" si="1"/>
        <v>1</v>
      </c>
    </row>
    <row r="242">
      <c r="A242" s="18" t="s">
        <v>912</v>
      </c>
      <c r="B242" s="18" t="s">
        <v>44</v>
      </c>
      <c r="C242" s="18" t="s">
        <v>113</v>
      </c>
      <c r="D242" s="18" t="s">
        <v>953</v>
      </c>
      <c r="E242" s="18" t="s">
        <v>954</v>
      </c>
      <c r="F242" s="18" t="s">
        <v>228</v>
      </c>
      <c r="G242" s="18">
        <v>10.01</v>
      </c>
      <c r="H242" s="18" t="s">
        <v>116</v>
      </c>
      <c r="I242" s="19">
        <v>3900.0</v>
      </c>
      <c r="J242" s="19">
        <v>4900.0</v>
      </c>
      <c r="K242" s="19">
        <v>4500.0</v>
      </c>
      <c r="L242" s="18" t="s">
        <v>955</v>
      </c>
      <c r="M242" s="18" t="s">
        <v>956</v>
      </c>
      <c r="N242" s="18" t="s">
        <v>316</v>
      </c>
      <c r="O242" s="18" t="s">
        <v>57</v>
      </c>
      <c r="P242" s="18" t="s">
        <v>917</v>
      </c>
      <c r="Q242" s="10">
        <f t="shared" si="1"/>
        <v>1</v>
      </c>
    </row>
    <row r="243">
      <c r="A243" s="18" t="s">
        <v>912</v>
      </c>
      <c r="B243" s="18" t="s">
        <v>45</v>
      </c>
      <c r="C243" s="18" t="s">
        <v>45</v>
      </c>
      <c r="D243" s="18" t="s">
        <v>957</v>
      </c>
      <c r="E243" s="18" t="s">
        <v>958</v>
      </c>
      <c r="F243" s="18" t="s">
        <v>228</v>
      </c>
      <c r="G243" s="18">
        <v>7.67</v>
      </c>
      <c r="H243" s="18" t="s">
        <v>45</v>
      </c>
      <c r="I243" s="19">
        <v>2600.0</v>
      </c>
      <c r="J243" s="19">
        <v>3250.0</v>
      </c>
      <c r="K243" s="19">
        <v>3000.0</v>
      </c>
      <c r="L243" s="18" t="s">
        <v>959</v>
      </c>
      <c r="M243" s="18" t="s">
        <v>960</v>
      </c>
      <c r="N243" s="18" t="s">
        <v>316</v>
      </c>
      <c r="O243" s="18" t="s">
        <v>57</v>
      </c>
      <c r="P243" s="18" t="s">
        <v>917</v>
      </c>
      <c r="Q243" s="10">
        <f t="shared" si="1"/>
        <v>1</v>
      </c>
    </row>
    <row r="244">
      <c r="A244" s="18" t="s">
        <v>912</v>
      </c>
      <c r="B244" s="18" t="s">
        <v>44</v>
      </c>
      <c r="C244" s="18" t="s">
        <v>53</v>
      </c>
      <c r="D244" s="18" t="s">
        <v>961</v>
      </c>
      <c r="E244" s="18" t="s">
        <v>962</v>
      </c>
      <c r="F244" s="18" t="s">
        <v>228</v>
      </c>
      <c r="G244" s="18">
        <v>17.54</v>
      </c>
      <c r="H244" s="18" t="s">
        <v>120</v>
      </c>
      <c r="I244" s="19">
        <v>4900.0</v>
      </c>
      <c r="J244" s="19">
        <v>6150.0</v>
      </c>
      <c r="K244" s="19">
        <v>5700.0</v>
      </c>
      <c r="L244" s="18" t="s">
        <v>963</v>
      </c>
      <c r="M244" s="18" t="s">
        <v>964</v>
      </c>
      <c r="N244" s="18" t="s">
        <v>316</v>
      </c>
      <c r="O244" s="18" t="s">
        <v>57</v>
      </c>
      <c r="P244" s="18" t="s">
        <v>917</v>
      </c>
      <c r="Q244" s="10">
        <f t="shared" si="1"/>
        <v>1</v>
      </c>
    </row>
    <row r="245">
      <c r="A245" s="18" t="s">
        <v>912</v>
      </c>
      <c r="B245" s="18" t="s">
        <v>44</v>
      </c>
      <c r="C245" s="18" t="s">
        <v>965</v>
      </c>
      <c r="D245" s="18" t="s">
        <v>966</v>
      </c>
      <c r="E245" s="18" t="s">
        <v>967</v>
      </c>
      <c r="F245" s="18" t="s">
        <v>228</v>
      </c>
      <c r="G245" s="18">
        <v>18.58</v>
      </c>
      <c r="H245" s="18" t="s">
        <v>168</v>
      </c>
      <c r="I245" s="19">
        <v>5285.0</v>
      </c>
      <c r="J245" s="19">
        <v>6650.0</v>
      </c>
      <c r="K245" s="19">
        <v>6600.0</v>
      </c>
      <c r="L245" s="18" t="s">
        <v>968</v>
      </c>
      <c r="M245" s="18" t="s">
        <v>969</v>
      </c>
      <c r="N245" s="18" t="s">
        <v>316</v>
      </c>
      <c r="O245" s="18" t="s">
        <v>57</v>
      </c>
      <c r="P245" s="18" t="s">
        <v>917</v>
      </c>
      <c r="Q245" s="10">
        <f t="shared" si="1"/>
        <v>1</v>
      </c>
    </row>
    <row r="246">
      <c r="A246" s="18" t="s">
        <v>912</v>
      </c>
      <c r="B246" s="18" t="s">
        <v>44</v>
      </c>
      <c r="C246" s="18" t="s">
        <v>53</v>
      </c>
      <c r="D246" s="18" t="s">
        <v>970</v>
      </c>
      <c r="E246" s="18" t="s">
        <v>971</v>
      </c>
      <c r="F246" s="18" t="s">
        <v>228</v>
      </c>
      <c r="G246" s="18">
        <v>16.2</v>
      </c>
      <c r="H246" s="18" t="s">
        <v>120</v>
      </c>
      <c r="I246" s="19">
        <v>4900.0</v>
      </c>
      <c r="J246" s="19">
        <v>6150.0</v>
      </c>
      <c r="K246" s="19">
        <v>5700.0</v>
      </c>
      <c r="L246" s="18" t="s">
        <v>972</v>
      </c>
      <c r="M246" s="18" t="s">
        <v>973</v>
      </c>
      <c r="N246" s="18" t="s">
        <v>316</v>
      </c>
      <c r="O246" s="18" t="s">
        <v>57</v>
      </c>
      <c r="P246" s="18" t="s">
        <v>917</v>
      </c>
      <c r="Q246" s="10">
        <f t="shared" si="1"/>
        <v>1</v>
      </c>
    </row>
    <row r="247">
      <c r="A247" s="18" t="s">
        <v>225</v>
      </c>
      <c r="B247" s="18" t="s">
        <v>44</v>
      </c>
      <c r="C247" s="18" t="s">
        <v>133</v>
      </c>
      <c r="D247" s="18" t="s">
        <v>974</v>
      </c>
      <c r="E247" s="18" t="s">
        <v>975</v>
      </c>
      <c r="F247" s="18" t="s">
        <v>228</v>
      </c>
      <c r="G247" s="18">
        <v>14.16</v>
      </c>
      <c r="H247" s="18" t="s">
        <v>56</v>
      </c>
      <c r="I247" s="19">
        <v>4650.0</v>
      </c>
      <c r="J247" s="19">
        <v>6050.0</v>
      </c>
      <c r="K247" s="19">
        <v>5400.0</v>
      </c>
      <c r="L247" s="18" t="s">
        <v>976</v>
      </c>
      <c r="M247" s="18" t="s">
        <v>977</v>
      </c>
      <c r="N247" s="18" t="s">
        <v>403</v>
      </c>
      <c r="O247" s="18" t="s">
        <v>161</v>
      </c>
      <c r="P247" s="18" t="s">
        <v>162</v>
      </c>
      <c r="Q247" s="10">
        <f t="shared" si="1"/>
        <v>1</v>
      </c>
    </row>
    <row r="248">
      <c r="A248" s="18" t="s">
        <v>282</v>
      </c>
      <c r="B248" s="18" t="s">
        <v>44</v>
      </c>
      <c r="C248" s="18" t="s">
        <v>113</v>
      </c>
      <c r="D248" s="18" t="s">
        <v>978</v>
      </c>
      <c r="E248" s="18" t="s">
        <v>979</v>
      </c>
      <c r="F248" s="18" t="s">
        <v>228</v>
      </c>
      <c r="G248" s="18">
        <v>11.61</v>
      </c>
      <c r="H248" s="18" t="s">
        <v>56</v>
      </c>
      <c r="I248" s="19">
        <v>4188.0</v>
      </c>
      <c r="J248" s="19">
        <v>5050.0</v>
      </c>
      <c r="K248" s="19">
        <v>5050.0</v>
      </c>
      <c r="L248" s="18" t="s">
        <v>980</v>
      </c>
      <c r="M248" s="18" t="s">
        <v>981</v>
      </c>
      <c r="N248" s="18" t="s">
        <v>903</v>
      </c>
      <c r="O248" s="18" t="s">
        <v>41</v>
      </c>
      <c r="P248" s="18" t="s">
        <v>63</v>
      </c>
      <c r="Q248" s="10">
        <f t="shared" si="1"/>
        <v>1</v>
      </c>
    </row>
    <row r="249">
      <c r="A249" s="18" t="s">
        <v>191</v>
      </c>
      <c r="B249" s="18" t="s">
        <v>44</v>
      </c>
      <c r="C249" s="18" t="s">
        <v>76</v>
      </c>
      <c r="D249" s="18" t="s">
        <v>982</v>
      </c>
      <c r="E249" s="18" t="s">
        <v>983</v>
      </c>
      <c r="F249" s="18" t="s">
        <v>228</v>
      </c>
      <c r="G249" s="18">
        <v>20.1</v>
      </c>
      <c r="H249" s="18" t="s">
        <v>120</v>
      </c>
      <c r="I249" s="19">
        <v>6600.0</v>
      </c>
      <c r="J249" s="19">
        <v>8600.0</v>
      </c>
      <c r="K249" s="19"/>
      <c r="L249" s="18" t="s">
        <v>984</v>
      </c>
      <c r="M249" s="18" t="s">
        <v>985</v>
      </c>
      <c r="N249" s="18" t="s">
        <v>403</v>
      </c>
      <c r="O249" s="18" t="s">
        <v>613</v>
      </c>
      <c r="P249" s="18" t="s">
        <v>48</v>
      </c>
      <c r="Q249" s="10">
        <f t="shared" si="1"/>
        <v>1</v>
      </c>
    </row>
    <row r="250">
      <c r="A250" s="18" t="s">
        <v>225</v>
      </c>
      <c r="B250" s="18" t="s">
        <v>44</v>
      </c>
      <c r="C250" s="18" t="s">
        <v>113</v>
      </c>
      <c r="D250" s="18" t="s">
        <v>986</v>
      </c>
      <c r="E250" s="18" t="s">
        <v>987</v>
      </c>
      <c r="F250" s="18" t="s">
        <v>228</v>
      </c>
      <c r="G250" s="18">
        <v>12.7</v>
      </c>
      <c r="H250" s="18" t="s">
        <v>56</v>
      </c>
      <c r="I250" s="19">
        <v>4150.0</v>
      </c>
      <c r="J250" s="19">
        <v>5400.0</v>
      </c>
      <c r="K250" s="19">
        <v>4800.0</v>
      </c>
      <c r="L250" s="18" t="s">
        <v>988</v>
      </c>
      <c r="M250" s="18" t="s">
        <v>977</v>
      </c>
      <c r="N250" s="18" t="s">
        <v>403</v>
      </c>
      <c r="O250" s="18" t="s">
        <v>161</v>
      </c>
      <c r="P250" s="18" t="s">
        <v>162</v>
      </c>
      <c r="Q250" s="10">
        <f t="shared" si="1"/>
        <v>1</v>
      </c>
    </row>
    <row r="251">
      <c r="A251" s="18" t="s">
        <v>138</v>
      </c>
      <c r="B251" s="18" t="s">
        <v>44</v>
      </c>
      <c r="C251" s="18" t="s">
        <v>64</v>
      </c>
      <c r="D251" s="18" t="s">
        <v>989</v>
      </c>
      <c r="E251" s="18" t="s">
        <v>990</v>
      </c>
      <c r="F251" s="18" t="s">
        <v>228</v>
      </c>
      <c r="G251" s="18">
        <v>17.89</v>
      </c>
      <c r="H251" s="18" t="s">
        <v>120</v>
      </c>
      <c r="I251" s="19">
        <v>3944.0</v>
      </c>
      <c r="J251" s="19">
        <v>5750.0</v>
      </c>
      <c r="K251" s="19">
        <v>4750.0</v>
      </c>
      <c r="L251" s="18" t="s">
        <v>991</v>
      </c>
      <c r="M251" s="18" t="s">
        <v>992</v>
      </c>
      <c r="N251" s="18" t="s">
        <v>403</v>
      </c>
      <c r="O251" s="18" t="s">
        <v>57</v>
      </c>
      <c r="P251" s="18" t="s">
        <v>144</v>
      </c>
      <c r="Q251" s="10">
        <f t="shared" si="1"/>
        <v>1</v>
      </c>
    </row>
    <row r="252">
      <c r="A252" s="18" t="s">
        <v>154</v>
      </c>
      <c r="B252" s="18" t="s">
        <v>44</v>
      </c>
      <c r="C252" s="18" t="s">
        <v>76</v>
      </c>
      <c r="D252" s="18" t="s">
        <v>993</v>
      </c>
      <c r="E252" s="18" t="s">
        <v>994</v>
      </c>
      <c r="F252" s="18" t="s">
        <v>228</v>
      </c>
      <c r="G252" s="18">
        <v>20.1</v>
      </c>
      <c r="H252" s="18" t="s">
        <v>56</v>
      </c>
      <c r="I252" s="19">
        <v>6090.0</v>
      </c>
      <c r="J252" s="19">
        <v>8550.0</v>
      </c>
      <c r="K252" s="19">
        <v>7350.0</v>
      </c>
      <c r="L252" s="18" t="s">
        <v>995</v>
      </c>
      <c r="M252" s="18" t="s">
        <v>996</v>
      </c>
      <c r="N252" s="18" t="s">
        <v>250</v>
      </c>
      <c r="O252" s="18" t="s">
        <v>151</v>
      </c>
      <c r="P252" s="18" t="s">
        <v>157</v>
      </c>
      <c r="Q252" s="10">
        <f t="shared" si="1"/>
        <v>1</v>
      </c>
    </row>
    <row r="253">
      <c r="A253" s="18" t="s">
        <v>216</v>
      </c>
      <c r="B253" s="18" t="s">
        <v>44</v>
      </c>
      <c r="C253" s="18" t="s">
        <v>151</v>
      </c>
      <c r="D253" s="18" t="s">
        <v>997</v>
      </c>
      <c r="E253" s="18" t="s">
        <v>998</v>
      </c>
      <c r="F253" s="18" t="s">
        <v>228</v>
      </c>
      <c r="G253" s="18">
        <v>23.93</v>
      </c>
      <c r="H253" s="18" t="s">
        <v>168</v>
      </c>
      <c r="I253" s="19">
        <v>6771.0</v>
      </c>
      <c r="J253" s="19">
        <v>9500.0</v>
      </c>
      <c r="K253" s="19">
        <v>8200.0</v>
      </c>
      <c r="L253" s="18" t="s">
        <v>999</v>
      </c>
      <c r="M253" s="18" t="s">
        <v>1000</v>
      </c>
      <c r="N253" s="18" t="s">
        <v>1001</v>
      </c>
      <c r="O253" s="18" t="s">
        <v>57</v>
      </c>
      <c r="P253" s="18" t="s">
        <v>42</v>
      </c>
      <c r="Q253" s="10">
        <f t="shared" si="1"/>
        <v>1</v>
      </c>
    </row>
    <row r="254">
      <c r="A254" s="18" t="s">
        <v>49</v>
      </c>
      <c r="B254" s="18" t="s">
        <v>44</v>
      </c>
      <c r="C254" s="18" t="s">
        <v>53</v>
      </c>
      <c r="D254" s="18" t="s">
        <v>1002</v>
      </c>
      <c r="E254" s="18" t="s">
        <v>1003</v>
      </c>
      <c r="F254" s="18" t="s">
        <v>228</v>
      </c>
      <c r="G254" s="18">
        <v>15.47</v>
      </c>
      <c r="H254" s="18" t="s">
        <v>56</v>
      </c>
      <c r="I254" s="19">
        <v>6445.0</v>
      </c>
      <c r="J254" s="19">
        <v>7450.0</v>
      </c>
      <c r="K254" s="19">
        <v>7750.0</v>
      </c>
      <c r="L254" s="18" t="s">
        <v>1004</v>
      </c>
      <c r="M254" s="18" t="s">
        <v>1005</v>
      </c>
      <c r="N254" s="18" t="s">
        <v>903</v>
      </c>
      <c r="O254" s="18" t="s">
        <v>83</v>
      </c>
      <c r="P254" s="18" t="s">
        <v>48</v>
      </c>
      <c r="Q254" s="10">
        <f t="shared" si="1"/>
        <v>1</v>
      </c>
    </row>
    <row r="255">
      <c r="A255" s="18" t="s">
        <v>216</v>
      </c>
      <c r="B255" s="18" t="s">
        <v>44</v>
      </c>
      <c r="C255" s="18" t="s">
        <v>133</v>
      </c>
      <c r="D255" s="18" t="s">
        <v>1006</v>
      </c>
      <c r="E255" s="18" t="s">
        <v>1007</v>
      </c>
      <c r="F255" s="18" t="s">
        <v>228</v>
      </c>
      <c r="G255" s="18">
        <v>14.55</v>
      </c>
      <c r="H255" s="18" t="s">
        <v>56</v>
      </c>
      <c r="I255" s="19">
        <v>5323.0</v>
      </c>
      <c r="J255" s="19">
        <v>7500.0</v>
      </c>
      <c r="K255" s="19">
        <v>6450.0</v>
      </c>
      <c r="L255" s="18" t="s">
        <v>1008</v>
      </c>
      <c r="M255" s="18" t="s">
        <v>1009</v>
      </c>
      <c r="N255" s="18" t="s">
        <v>903</v>
      </c>
      <c r="O255" s="18" t="s">
        <v>57</v>
      </c>
      <c r="P255" s="18" t="s">
        <v>42</v>
      </c>
      <c r="Q255" s="10">
        <f t="shared" si="1"/>
        <v>1</v>
      </c>
    </row>
    <row r="256">
      <c r="A256" s="18" t="s">
        <v>191</v>
      </c>
      <c r="B256" s="18" t="s">
        <v>44</v>
      </c>
      <c r="C256" s="18" t="s">
        <v>64</v>
      </c>
      <c r="D256" s="18" t="s">
        <v>1010</v>
      </c>
      <c r="E256" s="18" t="s">
        <v>1011</v>
      </c>
      <c r="F256" s="18" t="s">
        <v>228</v>
      </c>
      <c r="G256" s="18">
        <v>18.39</v>
      </c>
      <c r="H256" s="18" t="s">
        <v>120</v>
      </c>
      <c r="I256" s="19">
        <v>6200.0</v>
      </c>
      <c r="J256" s="19">
        <v>8100.0</v>
      </c>
      <c r="K256" s="19"/>
      <c r="L256" s="18" t="s">
        <v>1012</v>
      </c>
      <c r="M256" s="18" t="s">
        <v>1013</v>
      </c>
      <c r="N256" s="18" t="s">
        <v>1001</v>
      </c>
      <c r="O256" s="18" t="s">
        <v>57</v>
      </c>
      <c r="P256" s="18" t="s">
        <v>48</v>
      </c>
      <c r="Q256" s="10">
        <f t="shared" si="1"/>
        <v>1</v>
      </c>
    </row>
    <row r="257">
      <c r="A257" s="18" t="s">
        <v>138</v>
      </c>
      <c r="B257" s="18" t="s">
        <v>44</v>
      </c>
      <c r="C257" s="18" t="s">
        <v>151</v>
      </c>
      <c r="D257" s="18" t="s">
        <v>1014</v>
      </c>
      <c r="E257" s="18" t="s">
        <v>1015</v>
      </c>
      <c r="F257" s="18" t="s">
        <v>228</v>
      </c>
      <c r="G257" s="18">
        <v>27.89</v>
      </c>
      <c r="H257" s="18" t="s">
        <v>168</v>
      </c>
      <c r="I257" s="19">
        <v>4973.0</v>
      </c>
      <c r="J257" s="19">
        <v>7250.0</v>
      </c>
      <c r="K257" s="19">
        <v>6000.0</v>
      </c>
      <c r="L257" s="18" t="s">
        <v>1016</v>
      </c>
      <c r="M257" s="18" t="s">
        <v>1017</v>
      </c>
      <c r="N257" s="18" t="s">
        <v>403</v>
      </c>
      <c r="O257" s="18" t="s">
        <v>41</v>
      </c>
      <c r="P257" s="18" t="s">
        <v>144</v>
      </c>
      <c r="Q257" s="10">
        <f t="shared" si="1"/>
        <v>1</v>
      </c>
    </row>
    <row r="258">
      <c r="A258" s="18" t="s">
        <v>282</v>
      </c>
      <c r="B258" s="18" t="s">
        <v>44</v>
      </c>
      <c r="C258" s="18" t="s">
        <v>113</v>
      </c>
      <c r="D258" s="18" t="s">
        <v>1018</v>
      </c>
      <c r="E258" s="18" t="s">
        <v>1019</v>
      </c>
      <c r="F258" s="18" t="s">
        <v>228</v>
      </c>
      <c r="G258" s="18">
        <v>12.92</v>
      </c>
      <c r="H258" s="18" t="s">
        <v>56</v>
      </c>
      <c r="I258" s="19">
        <v>4188.0</v>
      </c>
      <c r="J258" s="19">
        <v>5050.0</v>
      </c>
      <c r="K258" s="19">
        <v>5050.0</v>
      </c>
      <c r="L258" s="18" t="s">
        <v>1020</v>
      </c>
      <c r="M258" s="18" t="s">
        <v>1021</v>
      </c>
      <c r="N258" s="18" t="s">
        <v>131</v>
      </c>
      <c r="O258" s="18" t="s">
        <v>57</v>
      </c>
      <c r="P258" s="18" t="s">
        <v>63</v>
      </c>
      <c r="Q258" s="10">
        <f t="shared" si="1"/>
        <v>1</v>
      </c>
    </row>
    <row r="259">
      <c r="A259" s="18" t="s">
        <v>43</v>
      </c>
      <c r="B259" s="18" t="s">
        <v>44</v>
      </c>
      <c r="C259" s="18" t="s">
        <v>76</v>
      </c>
      <c r="D259" s="18" t="s">
        <v>1022</v>
      </c>
      <c r="E259" s="18" t="s">
        <v>1023</v>
      </c>
      <c r="F259" s="18" t="s">
        <v>228</v>
      </c>
      <c r="G259" s="18">
        <v>21.27</v>
      </c>
      <c r="H259" s="18" t="s">
        <v>120</v>
      </c>
      <c r="I259" s="19">
        <v>7200.0</v>
      </c>
      <c r="J259" s="19">
        <v>8650.0</v>
      </c>
      <c r="K259" s="19"/>
      <c r="L259" s="18" t="s">
        <v>1024</v>
      </c>
      <c r="M259" s="18" t="s">
        <v>265</v>
      </c>
      <c r="N259" s="18" t="s">
        <v>240</v>
      </c>
      <c r="O259" s="18" t="s">
        <v>57</v>
      </c>
      <c r="P259" s="18" t="s">
        <v>48</v>
      </c>
      <c r="Q259" s="10">
        <f t="shared" si="1"/>
        <v>1</v>
      </c>
    </row>
    <row r="260">
      <c r="A260" s="18" t="s">
        <v>138</v>
      </c>
      <c r="B260" s="18" t="s">
        <v>44</v>
      </c>
      <c r="C260" s="18" t="s">
        <v>53</v>
      </c>
      <c r="D260" s="18" t="s">
        <v>1025</v>
      </c>
      <c r="E260" s="18" t="s">
        <v>1026</v>
      </c>
      <c r="F260" s="18" t="s">
        <v>228</v>
      </c>
      <c r="G260" s="18">
        <v>16.41</v>
      </c>
      <c r="H260" s="18" t="s">
        <v>56</v>
      </c>
      <c r="I260" s="19">
        <v>3529.0</v>
      </c>
      <c r="J260" s="19">
        <v>5150.0</v>
      </c>
      <c r="K260" s="19">
        <v>4300.0</v>
      </c>
      <c r="L260" s="18" t="s">
        <v>1027</v>
      </c>
      <c r="M260" s="18" t="s">
        <v>1028</v>
      </c>
      <c r="N260" s="18" t="s">
        <v>903</v>
      </c>
      <c r="O260" s="18" t="s">
        <v>41</v>
      </c>
      <c r="P260" s="18" t="s">
        <v>144</v>
      </c>
      <c r="Q260" s="10">
        <f t="shared" si="1"/>
        <v>1</v>
      </c>
    </row>
    <row r="261">
      <c r="A261" s="18" t="s">
        <v>1029</v>
      </c>
      <c r="B261" s="18" t="s">
        <v>44</v>
      </c>
      <c r="C261" s="18" t="s">
        <v>76</v>
      </c>
      <c r="D261" s="18" t="s">
        <v>1030</v>
      </c>
      <c r="E261" s="18" t="s">
        <v>1031</v>
      </c>
      <c r="F261" s="18" t="s">
        <v>228</v>
      </c>
      <c r="G261" s="18">
        <v>19.72</v>
      </c>
      <c r="H261" s="18" t="s">
        <v>120</v>
      </c>
      <c r="I261" s="19">
        <v>550.0</v>
      </c>
      <c r="J261" s="19">
        <v>440.0</v>
      </c>
      <c r="K261" s="19"/>
      <c r="L261" s="18" t="s">
        <v>1032</v>
      </c>
      <c r="M261" s="18" t="s">
        <v>1033</v>
      </c>
      <c r="N261" s="18" t="s">
        <v>1034</v>
      </c>
      <c r="O261" s="18" t="s">
        <v>41</v>
      </c>
      <c r="P261" s="18"/>
      <c r="Q261" s="10">
        <f t="shared" si="1"/>
        <v>1</v>
      </c>
    </row>
    <row r="262">
      <c r="A262" s="18" t="s">
        <v>216</v>
      </c>
      <c r="B262" s="18" t="s">
        <v>45</v>
      </c>
      <c r="C262" s="18" t="s">
        <v>45</v>
      </c>
      <c r="D262" s="18" t="s">
        <v>1035</v>
      </c>
      <c r="E262" s="18" t="s">
        <v>1036</v>
      </c>
      <c r="F262" s="18" t="s">
        <v>228</v>
      </c>
      <c r="G262" s="18">
        <v>9.51</v>
      </c>
      <c r="H262" s="18" t="s">
        <v>45</v>
      </c>
      <c r="I262" s="19">
        <v>3194.0</v>
      </c>
      <c r="J262" s="19">
        <v>4500.0</v>
      </c>
      <c r="K262" s="19">
        <v>3850.0</v>
      </c>
      <c r="L262" s="18" t="s">
        <v>1037</v>
      </c>
      <c r="M262" s="18" t="s">
        <v>1038</v>
      </c>
      <c r="N262" s="18" t="s">
        <v>131</v>
      </c>
      <c r="O262" s="18" t="s">
        <v>57</v>
      </c>
      <c r="P262" s="18" t="s">
        <v>42</v>
      </c>
      <c r="Q262" s="10">
        <f t="shared" si="1"/>
        <v>1</v>
      </c>
    </row>
    <row r="263">
      <c r="A263" s="18" t="s">
        <v>49</v>
      </c>
      <c r="B263" s="18" t="s">
        <v>44</v>
      </c>
      <c r="C263" s="18" t="s">
        <v>133</v>
      </c>
      <c r="D263" s="18" t="s">
        <v>1039</v>
      </c>
      <c r="E263" s="18" t="s">
        <v>1040</v>
      </c>
      <c r="F263" s="18" t="s">
        <v>228</v>
      </c>
      <c r="G263" s="18">
        <v>13.07</v>
      </c>
      <c r="H263" s="18" t="s">
        <v>56</v>
      </c>
      <c r="I263" s="19">
        <v>5680.0</v>
      </c>
      <c r="J263" s="19">
        <v>6550.0</v>
      </c>
      <c r="K263" s="19">
        <v>6850.0</v>
      </c>
      <c r="L263" s="18" t="s">
        <v>1041</v>
      </c>
      <c r="M263" s="18" t="s">
        <v>1042</v>
      </c>
      <c r="N263" s="18" t="s">
        <v>403</v>
      </c>
      <c r="O263" s="18" t="s">
        <v>57</v>
      </c>
      <c r="P263" s="18" t="s">
        <v>48</v>
      </c>
      <c r="Q263" s="10">
        <f t="shared" si="1"/>
        <v>1</v>
      </c>
    </row>
    <row r="264">
      <c r="A264" s="18" t="s">
        <v>49</v>
      </c>
      <c r="B264" s="18" t="s">
        <v>44</v>
      </c>
      <c r="C264" s="18" t="s">
        <v>53</v>
      </c>
      <c r="D264" s="18" t="s">
        <v>1043</v>
      </c>
      <c r="E264" s="18" t="s">
        <v>1044</v>
      </c>
      <c r="F264" s="18" t="s">
        <v>228</v>
      </c>
      <c r="G264" s="18">
        <v>16.44</v>
      </c>
      <c r="H264" s="18" t="s">
        <v>56</v>
      </c>
      <c r="I264" s="19">
        <v>6445.0</v>
      </c>
      <c r="J264" s="19">
        <v>7450.0</v>
      </c>
      <c r="K264" s="19"/>
      <c r="L264" s="18" t="s">
        <v>1045</v>
      </c>
      <c r="M264" s="18" t="s">
        <v>1046</v>
      </c>
      <c r="N264" s="18" t="s">
        <v>903</v>
      </c>
      <c r="O264" s="18" t="s">
        <v>83</v>
      </c>
      <c r="P264" s="18" t="s">
        <v>48</v>
      </c>
      <c r="Q264" s="10">
        <f t="shared" si="1"/>
        <v>1</v>
      </c>
    </row>
    <row r="265">
      <c r="A265" s="18" t="s">
        <v>49</v>
      </c>
      <c r="B265" s="18" t="s">
        <v>44</v>
      </c>
      <c r="C265" s="18" t="s">
        <v>53</v>
      </c>
      <c r="D265" s="18" t="s">
        <v>1047</v>
      </c>
      <c r="E265" s="18" t="s">
        <v>1048</v>
      </c>
      <c r="F265" s="18" t="s">
        <v>228</v>
      </c>
      <c r="G265" s="18">
        <v>16.44</v>
      </c>
      <c r="H265" s="18" t="s">
        <v>56</v>
      </c>
      <c r="I265" s="19">
        <v>6445.0</v>
      </c>
      <c r="J265" s="19">
        <v>7450.0</v>
      </c>
      <c r="K265" s="19"/>
      <c r="L265" s="18" t="s">
        <v>1049</v>
      </c>
      <c r="M265" s="18" t="s">
        <v>1050</v>
      </c>
      <c r="N265" s="18" t="s">
        <v>903</v>
      </c>
      <c r="O265" s="18" t="s">
        <v>83</v>
      </c>
      <c r="P265" s="18" t="s">
        <v>48</v>
      </c>
      <c r="Q265" s="10">
        <f t="shared" si="1"/>
        <v>1</v>
      </c>
    </row>
    <row r="266">
      <c r="A266" s="18" t="s">
        <v>49</v>
      </c>
      <c r="B266" s="18" t="s">
        <v>44</v>
      </c>
      <c r="C266" s="18" t="s">
        <v>53</v>
      </c>
      <c r="D266" s="18" t="s">
        <v>1051</v>
      </c>
      <c r="E266" s="18" t="s">
        <v>1052</v>
      </c>
      <c r="F266" s="18" t="s">
        <v>228</v>
      </c>
      <c r="G266" s="18">
        <v>15.5</v>
      </c>
      <c r="H266" s="18" t="s">
        <v>56</v>
      </c>
      <c r="I266" s="19">
        <v>6445.0</v>
      </c>
      <c r="J266" s="19">
        <v>7450.0</v>
      </c>
      <c r="K266" s="19">
        <v>7750.0</v>
      </c>
      <c r="L266" s="18" t="s">
        <v>1053</v>
      </c>
      <c r="M266" s="18" t="s">
        <v>1054</v>
      </c>
      <c r="N266" s="18" t="s">
        <v>903</v>
      </c>
      <c r="O266" s="18" t="s">
        <v>83</v>
      </c>
      <c r="P266" s="18" t="s">
        <v>48</v>
      </c>
      <c r="Q266" s="10">
        <f t="shared" si="1"/>
        <v>1</v>
      </c>
    </row>
    <row r="267">
      <c r="A267" s="18" t="s">
        <v>49</v>
      </c>
      <c r="B267" s="18" t="s">
        <v>44</v>
      </c>
      <c r="C267" s="18" t="s">
        <v>53</v>
      </c>
      <c r="D267" s="18" t="s">
        <v>1055</v>
      </c>
      <c r="E267" s="18" t="s">
        <v>1056</v>
      </c>
      <c r="F267" s="18" t="s">
        <v>228</v>
      </c>
      <c r="G267" s="18">
        <v>15.5</v>
      </c>
      <c r="H267" s="18" t="s">
        <v>56</v>
      </c>
      <c r="I267" s="19">
        <v>6445.0</v>
      </c>
      <c r="J267" s="19">
        <v>7450.0</v>
      </c>
      <c r="K267" s="19">
        <v>7750.0</v>
      </c>
      <c r="L267" s="18" t="s">
        <v>1057</v>
      </c>
      <c r="M267" s="18" t="s">
        <v>1058</v>
      </c>
      <c r="N267" s="18" t="s">
        <v>903</v>
      </c>
      <c r="O267" s="18" t="s">
        <v>83</v>
      </c>
      <c r="P267" s="18" t="s">
        <v>48</v>
      </c>
      <c r="Q267" s="10">
        <f t="shared" si="1"/>
        <v>1</v>
      </c>
    </row>
    <row r="268">
      <c r="A268" s="18" t="s">
        <v>49</v>
      </c>
      <c r="B268" s="18" t="s">
        <v>44</v>
      </c>
      <c r="C268" s="18" t="s">
        <v>53</v>
      </c>
      <c r="D268" s="18" t="s">
        <v>1059</v>
      </c>
      <c r="E268" s="18" t="s">
        <v>1060</v>
      </c>
      <c r="F268" s="18" t="s">
        <v>228</v>
      </c>
      <c r="G268" s="18">
        <v>15.5</v>
      </c>
      <c r="H268" s="18" t="s">
        <v>56</v>
      </c>
      <c r="I268" s="19">
        <v>6445.0</v>
      </c>
      <c r="J268" s="19">
        <v>7450.0</v>
      </c>
      <c r="K268" s="19">
        <v>7750.0</v>
      </c>
      <c r="L268" s="18" t="s">
        <v>1061</v>
      </c>
      <c r="M268" s="18" t="s">
        <v>1062</v>
      </c>
      <c r="N268" s="18" t="s">
        <v>903</v>
      </c>
      <c r="O268" s="18" t="s">
        <v>83</v>
      </c>
      <c r="P268" s="18" t="s">
        <v>48</v>
      </c>
      <c r="Q268" s="10">
        <f t="shared" si="1"/>
        <v>1</v>
      </c>
    </row>
    <row r="269">
      <c r="A269" s="18" t="s">
        <v>49</v>
      </c>
      <c r="B269" s="18" t="s">
        <v>44</v>
      </c>
      <c r="C269" s="18" t="s">
        <v>53</v>
      </c>
      <c r="D269" s="18" t="s">
        <v>1063</v>
      </c>
      <c r="E269" s="18" t="s">
        <v>1064</v>
      </c>
      <c r="F269" s="18" t="s">
        <v>228</v>
      </c>
      <c r="G269" s="18">
        <v>15.5</v>
      </c>
      <c r="H269" s="18" t="s">
        <v>56</v>
      </c>
      <c r="I269" s="19">
        <v>6445.0</v>
      </c>
      <c r="J269" s="19">
        <v>7450.0</v>
      </c>
      <c r="K269" s="19">
        <v>7750.0</v>
      </c>
      <c r="L269" s="18" t="s">
        <v>1065</v>
      </c>
      <c r="M269" s="18" t="s">
        <v>1066</v>
      </c>
      <c r="N269" s="18" t="s">
        <v>903</v>
      </c>
      <c r="O269" s="18" t="s">
        <v>83</v>
      </c>
      <c r="P269" s="18" t="s">
        <v>48</v>
      </c>
      <c r="Q269" s="10">
        <f t="shared" si="1"/>
        <v>1</v>
      </c>
    </row>
    <row r="270">
      <c r="A270" s="18" t="s">
        <v>49</v>
      </c>
      <c r="B270" s="18" t="s">
        <v>44</v>
      </c>
      <c r="C270" s="18" t="s">
        <v>53</v>
      </c>
      <c r="D270" s="18" t="s">
        <v>1067</v>
      </c>
      <c r="E270" s="18" t="s">
        <v>1068</v>
      </c>
      <c r="F270" s="18" t="s">
        <v>228</v>
      </c>
      <c r="G270" s="18">
        <v>15.21</v>
      </c>
      <c r="H270" s="18" t="s">
        <v>56</v>
      </c>
      <c r="I270" s="19">
        <v>6445.0</v>
      </c>
      <c r="J270" s="19">
        <v>7450.0</v>
      </c>
      <c r="K270" s="19">
        <v>7750.0</v>
      </c>
      <c r="L270" s="18" t="s">
        <v>1069</v>
      </c>
      <c r="M270" s="18" t="s">
        <v>1070</v>
      </c>
      <c r="N270" s="18" t="s">
        <v>903</v>
      </c>
      <c r="O270" s="18" t="s">
        <v>83</v>
      </c>
      <c r="P270" s="18" t="s">
        <v>48</v>
      </c>
      <c r="Q270" s="10">
        <f t="shared" si="1"/>
        <v>1</v>
      </c>
    </row>
    <row r="271">
      <c r="A271" s="18" t="s">
        <v>49</v>
      </c>
      <c r="B271" s="18" t="s">
        <v>44</v>
      </c>
      <c r="C271" s="18" t="s">
        <v>180</v>
      </c>
      <c r="D271" s="18" t="s">
        <v>1071</v>
      </c>
      <c r="E271" s="18" t="s">
        <v>1072</v>
      </c>
      <c r="F271" s="18" t="s">
        <v>228</v>
      </c>
      <c r="G271" s="18">
        <v>23.29</v>
      </c>
      <c r="H271" s="18" t="s">
        <v>168</v>
      </c>
      <c r="I271" s="19">
        <v>8300.0</v>
      </c>
      <c r="J271" s="19">
        <v>9550.0</v>
      </c>
      <c r="K271" s="19">
        <v>10000.0</v>
      </c>
      <c r="L271" s="18" t="s">
        <v>1073</v>
      </c>
      <c r="M271" s="18" t="s">
        <v>1074</v>
      </c>
      <c r="N271" s="18" t="s">
        <v>903</v>
      </c>
      <c r="O271" s="18" t="s">
        <v>83</v>
      </c>
      <c r="P271" s="18" t="s">
        <v>48</v>
      </c>
      <c r="Q271" s="10">
        <f t="shared" si="1"/>
        <v>1</v>
      </c>
    </row>
    <row r="272">
      <c r="A272" s="18" t="s">
        <v>210</v>
      </c>
      <c r="B272" s="18" t="s">
        <v>44</v>
      </c>
      <c r="C272" s="18" t="s">
        <v>133</v>
      </c>
      <c r="D272" s="18" t="s">
        <v>1075</v>
      </c>
      <c r="E272" s="18" t="s">
        <v>1076</v>
      </c>
      <c r="F272" s="18" t="s">
        <v>228</v>
      </c>
      <c r="G272" s="18">
        <v>13.52</v>
      </c>
      <c r="H272" s="18" t="s">
        <v>56</v>
      </c>
      <c r="I272" s="19">
        <v>5250.0</v>
      </c>
      <c r="J272" s="19">
        <v>6850.0</v>
      </c>
      <c r="K272" s="19">
        <v>6300.0</v>
      </c>
      <c r="L272" s="18" t="s">
        <v>1077</v>
      </c>
      <c r="M272" s="18" t="s">
        <v>1078</v>
      </c>
      <c r="N272" s="18" t="s">
        <v>903</v>
      </c>
      <c r="O272" s="18" t="s">
        <v>83</v>
      </c>
      <c r="P272" s="18" t="s">
        <v>63</v>
      </c>
      <c r="Q272" s="10">
        <f t="shared" si="1"/>
        <v>1</v>
      </c>
    </row>
    <row r="273">
      <c r="A273" s="18" t="s">
        <v>210</v>
      </c>
      <c r="B273" s="18" t="s">
        <v>44</v>
      </c>
      <c r="C273" s="18" t="s">
        <v>53</v>
      </c>
      <c r="D273" s="18" t="s">
        <v>1079</v>
      </c>
      <c r="E273" s="18" t="s">
        <v>1080</v>
      </c>
      <c r="F273" s="18" t="s">
        <v>228</v>
      </c>
      <c r="G273" s="18">
        <v>16.29</v>
      </c>
      <c r="H273" s="18" t="s">
        <v>56</v>
      </c>
      <c r="I273" s="19">
        <v>5900.0</v>
      </c>
      <c r="J273" s="19">
        <v>7700.0</v>
      </c>
      <c r="K273" s="19">
        <v>7100.0</v>
      </c>
      <c r="L273" s="18" t="s">
        <v>1081</v>
      </c>
      <c r="M273" s="18" t="s">
        <v>1082</v>
      </c>
      <c r="N273" s="18" t="s">
        <v>903</v>
      </c>
      <c r="O273" s="18" t="s">
        <v>83</v>
      </c>
      <c r="P273" s="18" t="s">
        <v>63</v>
      </c>
      <c r="Q273" s="10">
        <f t="shared" si="1"/>
        <v>1</v>
      </c>
    </row>
    <row r="274">
      <c r="A274" s="18" t="s">
        <v>210</v>
      </c>
      <c r="B274" s="18" t="s">
        <v>44</v>
      </c>
      <c r="C274" s="18" t="s">
        <v>76</v>
      </c>
      <c r="D274" s="18" t="s">
        <v>1083</v>
      </c>
      <c r="E274" s="18" t="s">
        <v>1084</v>
      </c>
      <c r="F274" s="18" t="s">
        <v>228</v>
      </c>
      <c r="G274" s="18">
        <v>20.02</v>
      </c>
      <c r="H274" s="18" t="s">
        <v>120</v>
      </c>
      <c r="I274" s="19">
        <v>6500.0</v>
      </c>
      <c r="J274" s="19">
        <v>8450.0</v>
      </c>
      <c r="K274" s="19">
        <v>7800.0</v>
      </c>
      <c r="L274" s="18" t="s">
        <v>1085</v>
      </c>
      <c r="M274" s="18" t="s">
        <v>1086</v>
      </c>
      <c r="N274" s="18" t="s">
        <v>903</v>
      </c>
      <c r="O274" s="18" t="s">
        <v>83</v>
      </c>
      <c r="P274" s="18" t="s">
        <v>63</v>
      </c>
      <c r="Q274" s="10">
        <f t="shared" si="1"/>
        <v>1</v>
      </c>
    </row>
    <row r="275">
      <c r="A275" s="18" t="s">
        <v>210</v>
      </c>
      <c r="B275" s="18" t="s">
        <v>44</v>
      </c>
      <c r="C275" s="18" t="s">
        <v>180</v>
      </c>
      <c r="D275" s="18" t="s">
        <v>1087</v>
      </c>
      <c r="E275" s="18" t="s">
        <v>1088</v>
      </c>
      <c r="F275" s="18" t="s">
        <v>228</v>
      </c>
      <c r="G275" s="18">
        <v>23.33</v>
      </c>
      <c r="H275" s="18" t="s">
        <v>168</v>
      </c>
      <c r="I275" s="19">
        <v>6700.0</v>
      </c>
      <c r="J275" s="19">
        <v>8750.0</v>
      </c>
      <c r="K275" s="19">
        <v>8050.0</v>
      </c>
      <c r="L275" s="18" t="s">
        <v>1089</v>
      </c>
      <c r="M275" s="18" t="s">
        <v>1090</v>
      </c>
      <c r="N275" s="18" t="s">
        <v>903</v>
      </c>
      <c r="O275" s="18" t="s">
        <v>83</v>
      </c>
      <c r="P275" s="18" t="s">
        <v>63</v>
      </c>
      <c r="Q275" s="10">
        <f t="shared" si="1"/>
        <v>1</v>
      </c>
    </row>
    <row r="276">
      <c r="A276" s="18" t="s">
        <v>154</v>
      </c>
      <c r="B276" s="18" t="s">
        <v>44</v>
      </c>
      <c r="C276" s="18" t="s">
        <v>76</v>
      </c>
      <c r="D276" s="18" t="s">
        <v>1091</v>
      </c>
      <c r="E276" s="18" t="s">
        <v>1092</v>
      </c>
      <c r="F276" s="18" t="s">
        <v>228</v>
      </c>
      <c r="G276" s="18">
        <v>20.0</v>
      </c>
      <c r="H276" s="18" t="s">
        <v>56</v>
      </c>
      <c r="I276" s="19">
        <v>6090.0</v>
      </c>
      <c r="J276" s="19">
        <v>8550.0</v>
      </c>
      <c r="K276" s="19">
        <v>7350.0</v>
      </c>
      <c r="L276" s="18" t="s">
        <v>1093</v>
      </c>
      <c r="M276" s="18" t="s">
        <v>750</v>
      </c>
      <c r="N276" s="18" t="s">
        <v>316</v>
      </c>
      <c r="O276" s="18" t="s">
        <v>151</v>
      </c>
      <c r="P276" s="18" t="s">
        <v>157</v>
      </c>
      <c r="Q276" s="10">
        <f t="shared" si="1"/>
        <v>1</v>
      </c>
    </row>
    <row r="277">
      <c r="A277" s="18" t="s">
        <v>148</v>
      </c>
      <c r="B277" s="18" t="s">
        <v>44</v>
      </c>
      <c r="C277" s="18" t="s">
        <v>64</v>
      </c>
      <c r="D277" s="18" t="s">
        <v>1094</v>
      </c>
      <c r="E277" s="18" t="s">
        <v>1095</v>
      </c>
      <c r="F277" s="18" t="s">
        <v>228</v>
      </c>
      <c r="G277" s="18">
        <v>17.4</v>
      </c>
      <c r="H277" s="18" t="s">
        <v>56</v>
      </c>
      <c r="I277" s="19">
        <v>7096.0</v>
      </c>
      <c r="J277" s="19">
        <v>7100.0</v>
      </c>
      <c r="K277" s="19">
        <v>8550.0</v>
      </c>
      <c r="L277" s="18" t="s">
        <v>1096</v>
      </c>
      <c r="M277" s="18" t="s">
        <v>1097</v>
      </c>
      <c r="N277" s="18" t="s">
        <v>143</v>
      </c>
      <c r="O277" s="18" t="s">
        <v>151</v>
      </c>
      <c r="P277" s="18" t="s">
        <v>48</v>
      </c>
      <c r="Q277" s="10">
        <f t="shared" si="1"/>
        <v>1</v>
      </c>
    </row>
    <row r="278">
      <c r="A278" s="18" t="s">
        <v>158</v>
      </c>
      <c r="B278" s="18" t="s">
        <v>45</v>
      </c>
      <c r="C278" s="18" t="s">
        <v>45</v>
      </c>
      <c r="D278" s="18" t="s">
        <v>1098</v>
      </c>
      <c r="E278" s="18" t="s">
        <v>1099</v>
      </c>
      <c r="F278" s="18" t="s">
        <v>228</v>
      </c>
      <c r="G278" s="18">
        <v>8.88</v>
      </c>
      <c r="H278" s="18" t="s">
        <v>45</v>
      </c>
      <c r="I278" s="19">
        <v>2542.0</v>
      </c>
      <c r="J278" s="19">
        <v>2550.0</v>
      </c>
      <c r="K278" s="19">
        <v>3100.0</v>
      </c>
      <c r="L278" s="18" t="s">
        <v>1100</v>
      </c>
      <c r="M278" s="18" t="s">
        <v>1101</v>
      </c>
      <c r="N278" s="18" t="s">
        <v>143</v>
      </c>
      <c r="O278" s="18" t="s">
        <v>41</v>
      </c>
      <c r="P278" s="18" t="s">
        <v>162</v>
      </c>
      <c r="Q278" s="10">
        <f t="shared" si="1"/>
        <v>1</v>
      </c>
    </row>
    <row r="279">
      <c r="A279" s="18" t="s">
        <v>138</v>
      </c>
      <c r="B279" s="18" t="s">
        <v>45</v>
      </c>
      <c r="C279" s="18" t="s">
        <v>45</v>
      </c>
      <c r="D279" s="18" t="s">
        <v>1102</v>
      </c>
      <c r="E279" s="18" t="s">
        <v>1103</v>
      </c>
      <c r="F279" s="18" t="s">
        <v>228</v>
      </c>
      <c r="G279" s="18">
        <v>11.52</v>
      </c>
      <c r="H279" s="18" t="s">
        <v>45</v>
      </c>
      <c r="I279" s="19">
        <v>1652.0</v>
      </c>
      <c r="J279" s="19">
        <v>2400.0</v>
      </c>
      <c r="K279" s="19">
        <v>2050.0</v>
      </c>
      <c r="L279" s="18" t="s">
        <v>1104</v>
      </c>
      <c r="M279" s="18" t="s">
        <v>1105</v>
      </c>
      <c r="N279" s="18" t="s">
        <v>131</v>
      </c>
      <c r="O279" s="18" t="s">
        <v>57</v>
      </c>
      <c r="P279" s="18" t="s">
        <v>144</v>
      </c>
      <c r="Q279" s="10">
        <f t="shared" si="1"/>
        <v>1</v>
      </c>
    </row>
    <row r="280">
      <c r="A280" s="18" t="s">
        <v>912</v>
      </c>
      <c r="B280" s="18" t="s">
        <v>44</v>
      </c>
      <c r="C280" s="18" t="s">
        <v>53</v>
      </c>
      <c r="D280" s="18" t="s">
        <v>1106</v>
      </c>
      <c r="E280" s="18" t="s">
        <v>1107</v>
      </c>
      <c r="F280" s="18" t="s">
        <v>228</v>
      </c>
      <c r="G280" s="18">
        <v>16.12</v>
      </c>
      <c r="H280" s="18" t="s">
        <v>120</v>
      </c>
      <c r="I280" s="19">
        <v>4900.0</v>
      </c>
      <c r="J280" s="19">
        <v>6150.0</v>
      </c>
      <c r="K280" s="19">
        <v>5700.0</v>
      </c>
      <c r="L280" s="18" t="s">
        <v>1108</v>
      </c>
      <c r="M280" s="18" t="s">
        <v>1109</v>
      </c>
      <c r="N280" s="18" t="s">
        <v>131</v>
      </c>
      <c r="O280" s="18" t="s">
        <v>57</v>
      </c>
      <c r="P280" s="18" t="s">
        <v>917</v>
      </c>
      <c r="Q280" s="10">
        <f t="shared" si="1"/>
        <v>1</v>
      </c>
    </row>
    <row r="281">
      <c r="A281" s="18" t="s">
        <v>210</v>
      </c>
      <c r="B281" s="18" t="s">
        <v>44</v>
      </c>
      <c r="C281" s="18" t="s">
        <v>180</v>
      </c>
      <c r="D281" s="18" t="s">
        <v>1110</v>
      </c>
      <c r="E281" s="18" t="s">
        <v>1111</v>
      </c>
      <c r="F281" s="18" t="s">
        <v>228</v>
      </c>
      <c r="G281" s="18">
        <v>22.83</v>
      </c>
      <c r="H281" s="18" t="s">
        <v>168</v>
      </c>
      <c r="I281" s="19">
        <v>6700.0</v>
      </c>
      <c r="J281" s="19">
        <v>8750.0</v>
      </c>
      <c r="K281" s="19">
        <v>8050.0</v>
      </c>
      <c r="L281" s="18" t="s">
        <v>1112</v>
      </c>
      <c r="M281" s="18" t="s">
        <v>1113</v>
      </c>
      <c r="N281" s="18" t="s">
        <v>903</v>
      </c>
      <c r="O281" s="18" t="s">
        <v>83</v>
      </c>
      <c r="P281" s="18" t="s">
        <v>63</v>
      </c>
      <c r="Q281" s="10">
        <f t="shared" si="1"/>
        <v>1</v>
      </c>
    </row>
    <row r="282">
      <c r="A282" s="18" t="s">
        <v>191</v>
      </c>
      <c r="B282" s="18" t="s">
        <v>44</v>
      </c>
      <c r="C282" s="18" t="s">
        <v>180</v>
      </c>
      <c r="D282" s="18" t="s">
        <v>1114</v>
      </c>
      <c r="E282" s="18" t="s">
        <v>1115</v>
      </c>
      <c r="F282" s="18" t="s">
        <v>228</v>
      </c>
      <c r="G282" s="18">
        <v>23.98</v>
      </c>
      <c r="H282" s="18" t="s">
        <v>168</v>
      </c>
      <c r="I282" s="19">
        <v>6900.0</v>
      </c>
      <c r="J282" s="19">
        <v>9000.0</v>
      </c>
      <c r="K282" s="19"/>
      <c r="L282" s="18" t="s">
        <v>1116</v>
      </c>
      <c r="M282" s="18" t="s">
        <v>1117</v>
      </c>
      <c r="N282" s="18" t="s">
        <v>143</v>
      </c>
      <c r="O282" s="18" t="s">
        <v>57</v>
      </c>
      <c r="P282" s="18" t="s">
        <v>48</v>
      </c>
      <c r="Q282" s="10">
        <f t="shared" si="1"/>
        <v>1</v>
      </c>
    </row>
    <row r="283">
      <c r="A283" s="18" t="s">
        <v>210</v>
      </c>
      <c r="B283" s="18" t="s">
        <v>45</v>
      </c>
      <c r="C283" s="18" t="s">
        <v>45</v>
      </c>
      <c r="D283" s="18" t="s">
        <v>1118</v>
      </c>
      <c r="E283" s="18" t="s">
        <v>1119</v>
      </c>
      <c r="F283" s="18" t="s">
        <v>228</v>
      </c>
      <c r="G283" s="18">
        <v>10.76</v>
      </c>
      <c r="H283" s="18" t="s">
        <v>40</v>
      </c>
      <c r="I283" s="19">
        <v>3100.0</v>
      </c>
      <c r="J283" s="19">
        <v>4050.0</v>
      </c>
      <c r="K283" s="19">
        <v>3750.0</v>
      </c>
      <c r="L283" s="18" t="s">
        <v>1120</v>
      </c>
      <c r="M283" s="18" t="s">
        <v>1121</v>
      </c>
      <c r="N283" s="18" t="s">
        <v>316</v>
      </c>
      <c r="O283" s="18" t="s">
        <v>83</v>
      </c>
      <c r="P283" s="18" t="s">
        <v>63</v>
      </c>
      <c r="Q283" s="10">
        <f t="shared" si="1"/>
        <v>1</v>
      </c>
    </row>
    <row r="284">
      <c r="A284" s="18" t="s">
        <v>1029</v>
      </c>
      <c r="B284" s="18" t="s">
        <v>44</v>
      </c>
      <c r="C284" s="18" t="s">
        <v>53</v>
      </c>
      <c r="D284" s="18" t="s">
        <v>1122</v>
      </c>
      <c r="E284" s="18" t="s">
        <v>1123</v>
      </c>
      <c r="F284" s="18" t="s">
        <v>228</v>
      </c>
      <c r="G284" s="18">
        <v>16.76</v>
      </c>
      <c r="H284" s="18" t="s">
        <v>56</v>
      </c>
      <c r="I284" s="19">
        <v>450.0</v>
      </c>
      <c r="J284" s="19">
        <v>360.0</v>
      </c>
      <c r="K284" s="19"/>
      <c r="L284" s="18" t="s">
        <v>1124</v>
      </c>
      <c r="M284" s="18" t="s">
        <v>1125</v>
      </c>
      <c r="N284" s="18" t="s">
        <v>1034</v>
      </c>
      <c r="O284" s="18" t="s">
        <v>41</v>
      </c>
      <c r="P284" s="18"/>
      <c r="Q284" s="10">
        <f t="shared" si="1"/>
        <v>1</v>
      </c>
    </row>
    <row r="285">
      <c r="A285" s="18" t="s">
        <v>210</v>
      </c>
      <c r="B285" s="18" t="s">
        <v>44</v>
      </c>
      <c r="C285" s="18" t="s">
        <v>133</v>
      </c>
      <c r="D285" s="18" t="s">
        <v>1126</v>
      </c>
      <c r="E285" s="18" t="s">
        <v>1127</v>
      </c>
      <c r="F285" s="18" t="s">
        <v>228</v>
      </c>
      <c r="G285" s="18">
        <v>13.07</v>
      </c>
      <c r="H285" s="18" t="s">
        <v>56</v>
      </c>
      <c r="I285" s="19">
        <v>5250.0</v>
      </c>
      <c r="J285" s="19">
        <v>6850.0</v>
      </c>
      <c r="K285" s="19">
        <v>6300.0</v>
      </c>
      <c r="L285" s="18" t="s">
        <v>1128</v>
      </c>
      <c r="M285" s="18" t="s">
        <v>1129</v>
      </c>
      <c r="N285" s="18" t="s">
        <v>903</v>
      </c>
      <c r="O285" s="18" t="s">
        <v>83</v>
      </c>
      <c r="P285" s="18" t="s">
        <v>63</v>
      </c>
      <c r="Q285" s="10">
        <f t="shared" si="1"/>
        <v>1</v>
      </c>
    </row>
    <row r="286">
      <c r="A286" s="18" t="s">
        <v>145</v>
      </c>
      <c r="B286" s="18" t="s">
        <v>45</v>
      </c>
      <c r="C286" s="18" t="s">
        <v>45</v>
      </c>
      <c r="D286" s="18" t="s">
        <v>1130</v>
      </c>
      <c r="E286" s="18" t="s">
        <v>1131</v>
      </c>
      <c r="F286" s="18" t="s">
        <v>228</v>
      </c>
      <c r="G286" s="18">
        <v>7.1</v>
      </c>
      <c r="H286" s="18" t="s">
        <v>45</v>
      </c>
      <c r="I286" s="19">
        <v>4215.0</v>
      </c>
      <c r="J286" s="19">
        <v>4650.0</v>
      </c>
      <c r="K286" s="19">
        <v>5100.0</v>
      </c>
      <c r="L286" s="18" t="s">
        <v>1132</v>
      </c>
      <c r="M286" s="18" t="s">
        <v>1133</v>
      </c>
      <c r="N286" s="18" t="s">
        <v>143</v>
      </c>
      <c r="O286" s="18" t="s">
        <v>57</v>
      </c>
      <c r="P286" s="18" t="s">
        <v>63</v>
      </c>
      <c r="Q286" s="10">
        <f t="shared" si="1"/>
        <v>1</v>
      </c>
    </row>
    <row r="287">
      <c r="A287" s="18" t="s">
        <v>210</v>
      </c>
      <c r="B287" s="18" t="s">
        <v>44</v>
      </c>
      <c r="C287" s="18" t="s">
        <v>180</v>
      </c>
      <c r="D287" s="18" t="s">
        <v>1134</v>
      </c>
      <c r="E287" s="18" t="s">
        <v>1135</v>
      </c>
      <c r="F287" s="18" t="s">
        <v>228</v>
      </c>
      <c r="G287" s="18">
        <v>22.06</v>
      </c>
      <c r="H287" s="18" t="s">
        <v>168</v>
      </c>
      <c r="I287" s="19">
        <v>6700.0</v>
      </c>
      <c r="J287" s="19">
        <v>8750.0</v>
      </c>
      <c r="K287" s="19">
        <v>8050.0</v>
      </c>
      <c r="L287" s="18" t="s">
        <v>1136</v>
      </c>
      <c r="M287" s="18" t="s">
        <v>1137</v>
      </c>
      <c r="N287" s="18" t="s">
        <v>903</v>
      </c>
      <c r="O287" s="18" t="s">
        <v>83</v>
      </c>
      <c r="P287" s="18" t="s">
        <v>63</v>
      </c>
      <c r="Q287" s="10">
        <f t="shared" si="1"/>
        <v>1</v>
      </c>
    </row>
    <row r="288">
      <c r="A288" s="18" t="s">
        <v>210</v>
      </c>
      <c r="B288" s="18" t="s">
        <v>45</v>
      </c>
      <c r="C288" s="18" t="s">
        <v>45</v>
      </c>
      <c r="D288" s="18" t="s">
        <v>1138</v>
      </c>
      <c r="E288" s="18" t="s">
        <v>1139</v>
      </c>
      <c r="F288" s="18" t="s">
        <v>228</v>
      </c>
      <c r="G288" s="18">
        <v>10.66</v>
      </c>
      <c r="H288" s="18" t="s">
        <v>40</v>
      </c>
      <c r="I288" s="19">
        <v>3100.0</v>
      </c>
      <c r="J288" s="19">
        <v>4050.0</v>
      </c>
      <c r="K288" s="19">
        <v>3750.0</v>
      </c>
      <c r="L288" s="18" t="s">
        <v>1140</v>
      </c>
      <c r="M288" s="18" t="s">
        <v>1141</v>
      </c>
      <c r="N288" s="18" t="s">
        <v>903</v>
      </c>
      <c r="O288" s="18" t="s">
        <v>83</v>
      </c>
      <c r="P288" s="18" t="s">
        <v>63</v>
      </c>
      <c r="Q288" s="10">
        <f t="shared" si="1"/>
        <v>1</v>
      </c>
    </row>
    <row r="289">
      <c r="A289" s="18" t="s">
        <v>216</v>
      </c>
      <c r="B289" s="18" t="s">
        <v>45</v>
      </c>
      <c r="C289" s="18" t="s">
        <v>45</v>
      </c>
      <c r="D289" s="18" t="s">
        <v>1142</v>
      </c>
      <c r="E289" s="18" t="s">
        <v>1143</v>
      </c>
      <c r="F289" s="18" t="s">
        <v>228</v>
      </c>
      <c r="G289" s="18">
        <v>8.45</v>
      </c>
      <c r="H289" s="18" t="s">
        <v>45</v>
      </c>
      <c r="I289" s="19">
        <v>3194.0</v>
      </c>
      <c r="J289" s="19">
        <v>4500.0</v>
      </c>
      <c r="K289" s="19">
        <v>3850.0</v>
      </c>
      <c r="L289" s="18" t="s">
        <v>1144</v>
      </c>
      <c r="M289" s="18" t="s">
        <v>1145</v>
      </c>
      <c r="N289" s="18" t="s">
        <v>1146</v>
      </c>
      <c r="O289" s="18" t="s">
        <v>41</v>
      </c>
      <c r="P289" s="18" t="s">
        <v>42</v>
      </c>
      <c r="Q289" s="10">
        <f t="shared" si="1"/>
        <v>1</v>
      </c>
    </row>
    <row r="290">
      <c r="A290" s="18" t="s">
        <v>49</v>
      </c>
      <c r="B290" s="18" t="s">
        <v>44</v>
      </c>
      <c r="C290" s="18" t="s">
        <v>76</v>
      </c>
      <c r="D290" s="18" t="s">
        <v>1147</v>
      </c>
      <c r="E290" s="18" t="s">
        <v>1148</v>
      </c>
      <c r="F290" s="18" t="s">
        <v>228</v>
      </c>
      <c r="G290" s="18">
        <v>19.84</v>
      </c>
      <c r="H290" s="18" t="s">
        <v>120</v>
      </c>
      <c r="I290" s="19">
        <v>7320.0</v>
      </c>
      <c r="J290" s="19">
        <v>8450.0</v>
      </c>
      <c r="K290" s="19">
        <v>8850.0</v>
      </c>
      <c r="L290" s="18" t="s">
        <v>1149</v>
      </c>
      <c r="M290" s="18" t="s">
        <v>1150</v>
      </c>
      <c r="N290" s="18" t="s">
        <v>903</v>
      </c>
      <c r="O290" s="18" t="s">
        <v>57</v>
      </c>
      <c r="P290" s="18" t="s">
        <v>48</v>
      </c>
      <c r="Q290" s="10">
        <f t="shared" si="1"/>
        <v>1</v>
      </c>
    </row>
    <row r="291">
      <c r="A291" s="18" t="s">
        <v>158</v>
      </c>
      <c r="B291" s="18" t="s">
        <v>45</v>
      </c>
      <c r="C291" s="18" t="s">
        <v>45</v>
      </c>
      <c r="D291" s="18" t="s">
        <v>1151</v>
      </c>
      <c r="E291" s="18" t="s">
        <v>1152</v>
      </c>
      <c r="F291" s="18" t="s">
        <v>228</v>
      </c>
      <c r="G291" s="18">
        <v>10.0</v>
      </c>
      <c r="H291" s="18" t="s">
        <v>45</v>
      </c>
      <c r="I291" s="19">
        <v>2542.0</v>
      </c>
      <c r="J291" s="19">
        <v>2550.0</v>
      </c>
      <c r="K291" s="19">
        <v>3100.0</v>
      </c>
      <c r="L291" s="18" t="s">
        <v>1153</v>
      </c>
      <c r="M291" s="18" t="s">
        <v>1145</v>
      </c>
      <c r="N291" s="18" t="s">
        <v>1146</v>
      </c>
      <c r="O291" s="18" t="s">
        <v>41</v>
      </c>
      <c r="P291" s="18" t="s">
        <v>162</v>
      </c>
      <c r="Q291" s="10">
        <f t="shared" si="1"/>
        <v>1</v>
      </c>
    </row>
    <row r="292">
      <c r="A292" s="18" t="s">
        <v>912</v>
      </c>
      <c r="B292" s="18" t="s">
        <v>45</v>
      </c>
      <c r="C292" s="18" t="s">
        <v>45</v>
      </c>
      <c r="D292" s="18" t="s">
        <v>1154</v>
      </c>
      <c r="E292" s="18" t="s">
        <v>1155</v>
      </c>
      <c r="F292" s="18" t="s">
        <v>228</v>
      </c>
      <c r="G292" s="18">
        <v>7.98</v>
      </c>
      <c r="H292" s="18" t="s">
        <v>45</v>
      </c>
      <c r="I292" s="19">
        <v>2600.0</v>
      </c>
      <c r="J292" s="19">
        <v>3250.0</v>
      </c>
      <c r="K292" s="19">
        <v>3000.0</v>
      </c>
      <c r="L292" s="18" t="s">
        <v>1156</v>
      </c>
      <c r="M292" s="18" t="s">
        <v>1157</v>
      </c>
      <c r="N292" s="18" t="s">
        <v>131</v>
      </c>
      <c r="O292" s="18" t="s">
        <v>57</v>
      </c>
      <c r="P292" s="18" t="s">
        <v>917</v>
      </c>
      <c r="Q292" s="10">
        <f t="shared" si="1"/>
        <v>1</v>
      </c>
    </row>
    <row r="293">
      <c r="A293" s="18" t="s">
        <v>216</v>
      </c>
      <c r="B293" s="18" t="s">
        <v>44</v>
      </c>
      <c r="C293" s="18" t="s">
        <v>133</v>
      </c>
      <c r="D293" s="18" t="s">
        <v>1158</v>
      </c>
      <c r="E293" s="18" t="s">
        <v>1159</v>
      </c>
      <c r="F293" s="18" t="s">
        <v>228</v>
      </c>
      <c r="G293" s="18">
        <v>12.02</v>
      </c>
      <c r="H293" s="18" t="s">
        <v>56</v>
      </c>
      <c r="I293" s="19">
        <v>4684.0</v>
      </c>
      <c r="J293" s="19">
        <v>6600.0</v>
      </c>
      <c r="K293" s="19">
        <v>5650.0</v>
      </c>
      <c r="L293" s="18" t="s">
        <v>1160</v>
      </c>
      <c r="M293" s="18" t="s">
        <v>1161</v>
      </c>
      <c r="N293" s="18" t="s">
        <v>1146</v>
      </c>
      <c r="O293" s="18" t="s">
        <v>41</v>
      </c>
      <c r="P293" s="18" t="s">
        <v>42</v>
      </c>
      <c r="Q293" s="10">
        <f t="shared" si="1"/>
        <v>1</v>
      </c>
    </row>
    <row r="294">
      <c r="A294" s="18" t="s">
        <v>364</v>
      </c>
      <c r="B294" s="18" t="s">
        <v>36</v>
      </c>
      <c r="C294" s="18"/>
      <c r="D294" s="18" t="s">
        <v>1162</v>
      </c>
      <c r="E294" s="18" t="s">
        <v>1163</v>
      </c>
      <c r="F294" s="18" t="s">
        <v>228</v>
      </c>
      <c r="G294" s="18">
        <v>20.46</v>
      </c>
      <c r="H294" s="18"/>
      <c r="I294" s="19">
        <v>2000.0</v>
      </c>
      <c r="J294" s="19">
        <v>2000.0</v>
      </c>
      <c r="K294" s="19"/>
      <c r="L294" s="18" t="s">
        <v>1164</v>
      </c>
      <c r="M294" s="18" t="s">
        <v>1165</v>
      </c>
      <c r="N294" s="18" t="s">
        <v>343</v>
      </c>
      <c r="O294" s="18" t="s">
        <v>41</v>
      </c>
      <c r="P294" s="18" t="s">
        <v>369</v>
      </c>
      <c r="Q294" s="10">
        <f t="shared" si="1"/>
        <v>1</v>
      </c>
    </row>
    <row r="295">
      <c r="A295" s="18" t="s">
        <v>210</v>
      </c>
      <c r="B295" s="18" t="s">
        <v>36</v>
      </c>
      <c r="C295" s="18" t="s">
        <v>1166</v>
      </c>
      <c r="D295" s="18" t="s">
        <v>1167</v>
      </c>
      <c r="E295" s="18" t="s">
        <v>1168</v>
      </c>
      <c r="F295" s="18" t="s">
        <v>228</v>
      </c>
      <c r="G295" s="18">
        <v>12.98</v>
      </c>
      <c r="H295" s="18"/>
      <c r="I295" s="19">
        <v>3500.0</v>
      </c>
      <c r="J295" s="19">
        <v>4550.0</v>
      </c>
      <c r="K295" s="19"/>
      <c r="L295" s="18" t="s">
        <v>1169</v>
      </c>
      <c r="M295" s="18" t="s">
        <v>1170</v>
      </c>
      <c r="N295" s="18" t="s">
        <v>903</v>
      </c>
      <c r="O295" s="18" t="s">
        <v>41</v>
      </c>
      <c r="P295" s="18" t="s">
        <v>63</v>
      </c>
      <c r="Q295" s="10">
        <f t="shared" si="1"/>
        <v>1</v>
      </c>
    </row>
    <row r="296">
      <c r="A296" s="18" t="s">
        <v>210</v>
      </c>
      <c r="B296" s="18" t="s">
        <v>44</v>
      </c>
      <c r="C296" s="18" t="s">
        <v>64</v>
      </c>
      <c r="D296" s="18" t="s">
        <v>1171</v>
      </c>
      <c r="E296" s="18" t="s">
        <v>1172</v>
      </c>
      <c r="F296" s="18" t="s">
        <v>228</v>
      </c>
      <c r="G296" s="18">
        <v>17.05</v>
      </c>
      <c r="H296" s="18" t="s">
        <v>120</v>
      </c>
      <c r="I296" s="19">
        <v>6250.0</v>
      </c>
      <c r="J296" s="19">
        <v>8150.0</v>
      </c>
      <c r="K296" s="19">
        <v>7500.0</v>
      </c>
      <c r="L296" s="18" t="s">
        <v>1173</v>
      </c>
      <c r="M296" s="18" t="s">
        <v>1174</v>
      </c>
      <c r="N296" s="18" t="s">
        <v>903</v>
      </c>
      <c r="O296" s="18" t="s">
        <v>83</v>
      </c>
      <c r="P296" s="18" t="s">
        <v>63</v>
      </c>
      <c r="Q296" s="10">
        <f t="shared" si="1"/>
        <v>1</v>
      </c>
    </row>
    <row r="297">
      <c r="A297" s="18" t="s">
        <v>49</v>
      </c>
      <c r="B297" s="18" t="s">
        <v>44</v>
      </c>
      <c r="C297" s="18" t="s">
        <v>133</v>
      </c>
      <c r="D297" s="18" t="s">
        <v>1175</v>
      </c>
      <c r="E297" s="18" t="s">
        <v>1176</v>
      </c>
      <c r="F297" s="18" t="s">
        <v>228</v>
      </c>
      <c r="G297" s="18">
        <v>13.03</v>
      </c>
      <c r="H297" s="18" t="s">
        <v>56</v>
      </c>
      <c r="I297" s="19">
        <v>5680.0</v>
      </c>
      <c r="J297" s="19">
        <v>6550.0</v>
      </c>
      <c r="K297" s="19">
        <v>6850.0</v>
      </c>
      <c r="L297" s="18" t="s">
        <v>1177</v>
      </c>
      <c r="M297" s="18" t="s">
        <v>1178</v>
      </c>
      <c r="N297" s="18" t="s">
        <v>903</v>
      </c>
      <c r="O297" s="18" t="s">
        <v>57</v>
      </c>
      <c r="P297" s="18" t="s">
        <v>48</v>
      </c>
      <c r="Q297" s="10">
        <f t="shared" si="1"/>
        <v>1</v>
      </c>
    </row>
    <row r="298">
      <c r="A298" s="18" t="s">
        <v>148</v>
      </c>
      <c r="B298" s="18" t="s">
        <v>44</v>
      </c>
      <c r="C298" s="18" t="s">
        <v>64</v>
      </c>
      <c r="D298" s="18" t="s">
        <v>1179</v>
      </c>
      <c r="E298" s="18" t="s">
        <v>1180</v>
      </c>
      <c r="F298" s="18" t="s">
        <v>228</v>
      </c>
      <c r="G298" s="18">
        <v>18.1</v>
      </c>
      <c r="H298" s="18" t="s">
        <v>56</v>
      </c>
      <c r="I298" s="19">
        <v>7096.0</v>
      </c>
      <c r="J298" s="19">
        <v>7100.0</v>
      </c>
      <c r="K298" s="19">
        <v>8550.0</v>
      </c>
      <c r="L298" s="18" t="s">
        <v>1181</v>
      </c>
      <c r="M298" s="18" t="s">
        <v>1182</v>
      </c>
      <c r="N298" s="18" t="s">
        <v>240</v>
      </c>
      <c r="O298" s="18" t="s">
        <v>151</v>
      </c>
      <c r="P298" s="18" t="s">
        <v>48</v>
      </c>
      <c r="Q298" s="10">
        <f t="shared" si="1"/>
        <v>1</v>
      </c>
    </row>
    <row r="299">
      <c r="A299" s="18" t="s">
        <v>35</v>
      </c>
      <c r="B299" s="18" t="s">
        <v>44</v>
      </c>
      <c r="C299" s="18" t="s">
        <v>133</v>
      </c>
      <c r="D299" s="18" t="s">
        <v>1183</v>
      </c>
      <c r="E299" s="18" t="s">
        <v>1184</v>
      </c>
      <c r="F299" s="18" t="s">
        <v>228</v>
      </c>
      <c r="G299" s="18">
        <v>14.73</v>
      </c>
      <c r="H299" s="18" t="s">
        <v>56</v>
      </c>
      <c r="I299" s="19">
        <v>5436.0</v>
      </c>
      <c r="J299" s="19">
        <v>7350.0</v>
      </c>
      <c r="K299" s="19">
        <v>6550.0</v>
      </c>
      <c r="L299" s="18" t="s">
        <v>1185</v>
      </c>
      <c r="M299" s="18" t="s">
        <v>1186</v>
      </c>
      <c r="N299" s="18" t="s">
        <v>143</v>
      </c>
      <c r="O299" s="18" t="s">
        <v>57</v>
      </c>
      <c r="P299" s="18" t="s">
        <v>42</v>
      </c>
      <c r="Q299" s="10">
        <f t="shared" si="1"/>
        <v>1</v>
      </c>
    </row>
    <row r="300">
      <c r="A300" s="18" t="s">
        <v>49</v>
      </c>
      <c r="B300" s="18" t="s">
        <v>44</v>
      </c>
      <c r="C300" s="18" t="s">
        <v>113</v>
      </c>
      <c r="D300" s="18" t="s">
        <v>1187</v>
      </c>
      <c r="E300" s="18" t="s">
        <v>1188</v>
      </c>
      <c r="F300" s="18" t="s">
        <v>228</v>
      </c>
      <c r="G300" s="18">
        <v>12.05</v>
      </c>
      <c r="H300" s="18" t="s">
        <v>116</v>
      </c>
      <c r="I300" s="19">
        <v>5350.0</v>
      </c>
      <c r="J300" s="19">
        <v>6200.0</v>
      </c>
      <c r="K300" s="19">
        <v>6450.0</v>
      </c>
      <c r="L300" s="18" t="s">
        <v>1189</v>
      </c>
      <c r="M300" s="18" t="s">
        <v>1190</v>
      </c>
      <c r="N300" s="18" t="s">
        <v>903</v>
      </c>
      <c r="O300" s="18" t="s">
        <v>57</v>
      </c>
      <c r="P300" s="18" t="s">
        <v>48</v>
      </c>
      <c r="Q300" s="10">
        <f t="shared" si="1"/>
        <v>1</v>
      </c>
    </row>
    <row r="301">
      <c r="A301" s="18" t="s">
        <v>165</v>
      </c>
      <c r="B301" s="18" t="s">
        <v>44</v>
      </c>
      <c r="C301" s="18" t="s">
        <v>53</v>
      </c>
      <c r="D301" s="18" t="s">
        <v>1191</v>
      </c>
      <c r="E301" s="18" t="s">
        <v>1192</v>
      </c>
      <c r="F301" s="18" t="s">
        <v>228</v>
      </c>
      <c r="G301" s="18">
        <v>16.71</v>
      </c>
      <c r="H301" s="18" t="s">
        <v>56</v>
      </c>
      <c r="I301" s="19">
        <v>3563.0</v>
      </c>
      <c r="J301" s="19">
        <v>4300.0</v>
      </c>
      <c r="K301" s="19">
        <v>4350.0</v>
      </c>
      <c r="L301" s="18" t="s">
        <v>1193</v>
      </c>
      <c r="M301" s="18" t="s">
        <v>1194</v>
      </c>
      <c r="N301" s="18" t="s">
        <v>240</v>
      </c>
      <c r="O301" s="18" t="s">
        <v>41</v>
      </c>
      <c r="P301" s="18"/>
      <c r="Q301" s="10">
        <f t="shared" si="1"/>
        <v>1</v>
      </c>
    </row>
    <row r="302">
      <c r="A302" s="18" t="s">
        <v>191</v>
      </c>
      <c r="B302" s="18" t="s">
        <v>45</v>
      </c>
      <c r="C302" s="18" t="s">
        <v>45</v>
      </c>
      <c r="D302" s="18" t="s">
        <v>1195</v>
      </c>
      <c r="E302" s="18" t="s">
        <v>1196</v>
      </c>
      <c r="F302" s="18" t="s">
        <v>228</v>
      </c>
      <c r="G302" s="18">
        <v>11.28</v>
      </c>
      <c r="H302" s="18" t="s">
        <v>45</v>
      </c>
      <c r="I302" s="19">
        <v>3900.0</v>
      </c>
      <c r="J302" s="19">
        <v>5100.0</v>
      </c>
      <c r="K302" s="19"/>
      <c r="L302" s="18" t="s">
        <v>1197</v>
      </c>
      <c r="M302" s="18" t="s">
        <v>1198</v>
      </c>
      <c r="N302" s="18" t="s">
        <v>316</v>
      </c>
      <c r="O302" s="18" t="s">
        <v>57</v>
      </c>
      <c r="P302" s="18" t="s">
        <v>48</v>
      </c>
      <c r="Q302" s="10">
        <f t="shared" si="1"/>
        <v>1</v>
      </c>
    </row>
    <row r="303">
      <c r="A303" s="18" t="s">
        <v>1199</v>
      </c>
      <c r="B303" s="18" t="s">
        <v>44</v>
      </c>
      <c r="C303" s="18" t="s">
        <v>64</v>
      </c>
      <c r="D303" s="18" t="s">
        <v>1200</v>
      </c>
      <c r="E303" s="18" t="s">
        <v>1201</v>
      </c>
      <c r="F303" s="18" t="s">
        <v>228</v>
      </c>
      <c r="G303" s="18">
        <v>17.1</v>
      </c>
      <c r="H303" s="18" t="s">
        <v>1202</v>
      </c>
      <c r="I303" s="19">
        <v>450.0</v>
      </c>
      <c r="J303" s="19">
        <v>360.0</v>
      </c>
      <c r="K303" s="19"/>
      <c r="L303" s="18" t="s">
        <v>1203</v>
      </c>
      <c r="M303" s="18" t="s">
        <v>1204</v>
      </c>
      <c r="N303" s="18" t="s">
        <v>491</v>
      </c>
      <c r="O303" s="18" t="s">
        <v>41</v>
      </c>
      <c r="P303" s="18"/>
      <c r="Q303" s="10">
        <f t="shared" si="1"/>
        <v>1</v>
      </c>
    </row>
    <row r="304">
      <c r="A304" s="18" t="s">
        <v>1199</v>
      </c>
      <c r="B304" s="18" t="s">
        <v>44</v>
      </c>
      <c r="C304" s="18" t="s">
        <v>151</v>
      </c>
      <c r="D304" s="18" t="s">
        <v>1205</v>
      </c>
      <c r="E304" s="18" t="s">
        <v>1206</v>
      </c>
      <c r="F304" s="18" t="s">
        <v>228</v>
      </c>
      <c r="G304" s="18">
        <v>25.3</v>
      </c>
      <c r="H304" s="18" t="s">
        <v>1207</v>
      </c>
      <c r="I304" s="19">
        <v>600.0</v>
      </c>
      <c r="J304" s="19">
        <v>480.0</v>
      </c>
      <c r="K304" s="19"/>
      <c r="L304" s="18" t="s">
        <v>1208</v>
      </c>
      <c r="M304" s="18" t="s">
        <v>1209</v>
      </c>
      <c r="N304" s="18" t="s">
        <v>240</v>
      </c>
      <c r="O304" s="18" t="s">
        <v>57</v>
      </c>
      <c r="P304" s="18"/>
      <c r="Q304" s="10">
        <f t="shared" si="1"/>
        <v>1</v>
      </c>
    </row>
    <row r="305">
      <c r="A305" s="18" t="s">
        <v>1199</v>
      </c>
      <c r="B305" s="18" t="s">
        <v>44</v>
      </c>
      <c r="C305" s="18" t="s">
        <v>180</v>
      </c>
      <c r="D305" s="18" t="s">
        <v>1210</v>
      </c>
      <c r="E305" s="18" t="s">
        <v>1211</v>
      </c>
      <c r="F305" s="18" t="s">
        <v>228</v>
      </c>
      <c r="G305" s="18">
        <v>22.01</v>
      </c>
      <c r="H305" s="18" t="s">
        <v>1207</v>
      </c>
      <c r="I305" s="19">
        <v>550.0</v>
      </c>
      <c r="J305" s="19">
        <v>440.0</v>
      </c>
      <c r="K305" s="19"/>
      <c r="L305" s="18" t="s">
        <v>1212</v>
      </c>
      <c r="M305" s="18" t="s">
        <v>1213</v>
      </c>
      <c r="N305" s="18" t="s">
        <v>240</v>
      </c>
      <c r="O305" s="18" t="s">
        <v>41</v>
      </c>
      <c r="P305" s="18"/>
      <c r="Q305" s="10">
        <f t="shared" si="1"/>
        <v>1</v>
      </c>
    </row>
    <row r="306">
      <c r="A306" s="18" t="s">
        <v>1199</v>
      </c>
      <c r="B306" s="18" t="s">
        <v>44</v>
      </c>
      <c r="C306" s="18" t="s">
        <v>76</v>
      </c>
      <c r="D306" s="18" t="s">
        <v>1214</v>
      </c>
      <c r="E306" s="18" t="s">
        <v>1215</v>
      </c>
      <c r="F306" s="18" t="s">
        <v>228</v>
      </c>
      <c r="G306" s="18">
        <v>20.49</v>
      </c>
      <c r="H306" s="18" t="s">
        <v>1202</v>
      </c>
      <c r="I306" s="19">
        <v>500.0</v>
      </c>
      <c r="J306" s="19">
        <v>400.0</v>
      </c>
      <c r="K306" s="19"/>
      <c r="L306" s="18" t="s">
        <v>1216</v>
      </c>
      <c r="M306" s="18" t="s">
        <v>1217</v>
      </c>
      <c r="N306" s="18" t="s">
        <v>240</v>
      </c>
      <c r="O306" s="18" t="s">
        <v>57</v>
      </c>
      <c r="P306" s="18"/>
      <c r="Q306" s="10">
        <f t="shared" si="1"/>
        <v>1</v>
      </c>
    </row>
    <row r="307">
      <c r="A307" s="18" t="s">
        <v>1199</v>
      </c>
      <c r="B307" s="18" t="s">
        <v>44</v>
      </c>
      <c r="C307" s="18" t="s">
        <v>76</v>
      </c>
      <c r="D307" s="18" t="s">
        <v>1218</v>
      </c>
      <c r="E307" s="18" t="s">
        <v>1219</v>
      </c>
      <c r="F307" s="18" t="s">
        <v>228</v>
      </c>
      <c r="G307" s="18">
        <v>20.49</v>
      </c>
      <c r="H307" s="18" t="s">
        <v>1202</v>
      </c>
      <c r="I307" s="19">
        <v>500.0</v>
      </c>
      <c r="J307" s="19">
        <v>400.0</v>
      </c>
      <c r="K307" s="19"/>
      <c r="L307" s="18" t="s">
        <v>1220</v>
      </c>
      <c r="M307" s="18" t="s">
        <v>1221</v>
      </c>
      <c r="N307" s="18" t="s">
        <v>240</v>
      </c>
      <c r="O307" s="18" t="s">
        <v>57</v>
      </c>
      <c r="P307" s="18"/>
      <c r="Q307" s="10">
        <f t="shared" si="1"/>
        <v>1</v>
      </c>
    </row>
    <row r="308">
      <c r="A308" s="18" t="s">
        <v>1199</v>
      </c>
      <c r="B308" s="18" t="s">
        <v>44</v>
      </c>
      <c r="C308" s="18" t="s">
        <v>64</v>
      </c>
      <c r="D308" s="18" t="s">
        <v>1222</v>
      </c>
      <c r="E308" s="18" t="s">
        <v>1223</v>
      </c>
      <c r="F308" s="18" t="s">
        <v>228</v>
      </c>
      <c r="G308" s="18">
        <v>17.2</v>
      </c>
      <c r="H308" s="18" t="s">
        <v>1202</v>
      </c>
      <c r="I308" s="19">
        <v>450.0</v>
      </c>
      <c r="J308" s="19">
        <v>360.0</v>
      </c>
      <c r="K308" s="19"/>
      <c r="L308" s="18" t="s">
        <v>1224</v>
      </c>
      <c r="M308" s="18" t="s">
        <v>1225</v>
      </c>
      <c r="N308" s="18" t="s">
        <v>240</v>
      </c>
      <c r="O308" s="18" t="s">
        <v>41</v>
      </c>
      <c r="P308" s="18"/>
      <c r="Q308" s="10">
        <f t="shared" si="1"/>
        <v>1</v>
      </c>
    </row>
    <row r="309">
      <c r="A309" s="18" t="s">
        <v>1199</v>
      </c>
      <c r="B309" s="18" t="s">
        <v>44</v>
      </c>
      <c r="C309" s="18" t="s">
        <v>76</v>
      </c>
      <c r="D309" s="18" t="s">
        <v>1226</v>
      </c>
      <c r="E309" s="18" t="s">
        <v>1227</v>
      </c>
      <c r="F309" s="18" t="s">
        <v>228</v>
      </c>
      <c r="G309" s="18">
        <v>20.49</v>
      </c>
      <c r="H309" s="18" t="s">
        <v>1202</v>
      </c>
      <c r="I309" s="19">
        <v>500.0</v>
      </c>
      <c r="J309" s="19">
        <v>400.0</v>
      </c>
      <c r="K309" s="19"/>
      <c r="L309" s="18" t="s">
        <v>1228</v>
      </c>
      <c r="M309" s="18" t="s">
        <v>1229</v>
      </c>
      <c r="N309" s="18" t="s">
        <v>240</v>
      </c>
      <c r="O309" s="18" t="s">
        <v>57</v>
      </c>
      <c r="P309" s="18"/>
      <c r="Q309" s="10">
        <f t="shared" si="1"/>
        <v>1</v>
      </c>
    </row>
    <row r="310">
      <c r="A310" s="18" t="s">
        <v>1199</v>
      </c>
      <c r="B310" s="18" t="s">
        <v>44</v>
      </c>
      <c r="C310" s="18" t="s">
        <v>133</v>
      </c>
      <c r="D310" s="18" t="s">
        <v>1230</v>
      </c>
      <c r="E310" s="18" t="s">
        <v>1231</v>
      </c>
      <c r="F310" s="18" t="s">
        <v>228</v>
      </c>
      <c r="G310" s="18">
        <v>14.67</v>
      </c>
      <c r="H310" s="18" t="s">
        <v>56</v>
      </c>
      <c r="I310" s="19">
        <v>400.0</v>
      </c>
      <c r="J310" s="19">
        <v>320.0</v>
      </c>
      <c r="K310" s="19"/>
      <c r="L310" s="18" t="s">
        <v>1232</v>
      </c>
      <c r="M310" s="18" t="s">
        <v>1233</v>
      </c>
      <c r="N310" s="18" t="s">
        <v>240</v>
      </c>
      <c r="O310" s="18" t="s">
        <v>57</v>
      </c>
      <c r="P310" s="18"/>
      <c r="Q310" s="10">
        <f t="shared" si="1"/>
        <v>1</v>
      </c>
    </row>
    <row r="311">
      <c r="A311" s="18" t="s">
        <v>1199</v>
      </c>
      <c r="B311" s="18" t="s">
        <v>44</v>
      </c>
      <c r="C311" s="18" t="s">
        <v>64</v>
      </c>
      <c r="D311" s="18" t="s">
        <v>1234</v>
      </c>
      <c r="E311" s="18" t="s">
        <v>1235</v>
      </c>
      <c r="F311" s="18" t="s">
        <v>228</v>
      </c>
      <c r="G311" s="18">
        <v>18.26</v>
      </c>
      <c r="H311" s="18" t="s">
        <v>1202</v>
      </c>
      <c r="I311" s="19">
        <v>450.0</v>
      </c>
      <c r="J311" s="19">
        <v>360.0</v>
      </c>
      <c r="K311" s="19"/>
      <c r="L311" s="18" t="s">
        <v>1236</v>
      </c>
      <c r="M311" s="18" t="s">
        <v>1237</v>
      </c>
      <c r="N311" s="18" t="s">
        <v>240</v>
      </c>
      <c r="O311" s="18" t="s">
        <v>57</v>
      </c>
      <c r="P311" s="18"/>
      <c r="Q311" s="10">
        <f t="shared" si="1"/>
        <v>1</v>
      </c>
    </row>
    <row r="312">
      <c r="A312" s="18" t="s">
        <v>1238</v>
      </c>
      <c r="B312" s="18" t="s">
        <v>44</v>
      </c>
      <c r="C312" s="18" t="s">
        <v>1239</v>
      </c>
      <c r="D312" s="18" t="s">
        <v>1240</v>
      </c>
      <c r="E312" s="18" t="s">
        <v>1241</v>
      </c>
      <c r="F312" s="18" t="s">
        <v>228</v>
      </c>
      <c r="G312" s="18">
        <v>46.17</v>
      </c>
      <c r="H312" s="18" t="s">
        <v>1242</v>
      </c>
      <c r="I312" s="19">
        <v>6949.0</v>
      </c>
      <c r="J312" s="19">
        <v>9050.0</v>
      </c>
      <c r="K312" s="19"/>
      <c r="L312" s="18" t="s">
        <v>1243</v>
      </c>
      <c r="M312" s="18" t="s">
        <v>1244</v>
      </c>
      <c r="N312" s="18" t="s">
        <v>1034</v>
      </c>
      <c r="O312" s="18" t="s">
        <v>41</v>
      </c>
      <c r="P312" s="18" t="s">
        <v>144</v>
      </c>
      <c r="Q312" s="10">
        <f t="shared" si="1"/>
        <v>1</v>
      </c>
    </row>
    <row r="313">
      <c r="A313" s="18" t="s">
        <v>148</v>
      </c>
      <c r="B313" s="18" t="s">
        <v>45</v>
      </c>
      <c r="C313" s="18" t="s">
        <v>45</v>
      </c>
      <c r="D313" s="18" t="s">
        <v>1245</v>
      </c>
      <c r="E313" s="18" t="s">
        <v>1246</v>
      </c>
      <c r="F313" s="18" t="s">
        <v>228</v>
      </c>
      <c r="G313" s="18">
        <v>13.7</v>
      </c>
      <c r="H313" s="18"/>
      <c r="I313" s="19">
        <v>4171.0</v>
      </c>
      <c r="J313" s="19">
        <v>4200.0</v>
      </c>
      <c r="K313" s="19"/>
      <c r="L313" s="18" t="s">
        <v>1247</v>
      </c>
      <c r="M313" s="18" t="s">
        <v>1248</v>
      </c>
      <c r="N313" s="18" t="s">
        <v>903</v>
      </c>
      <c r="O313" s="18" t="s">
        <v>151</v>
      </c>
      <c r="P313" s="18" t="s">
        <v>48</v>
      </c>
      <c r="Q313" s="10">
        <f t="shared" si="1"/>
        <v>1</v>
      </c>
    </row>
    <row r="314">
      <c r="A314" s="18" t="s">
        <v>216</v>
      </c>
      <c r="B314" s="18" t="s">
        <v>44</v>
      </c>
      <c r="C314" s="18" t="s">
        <v>113</v>
      </c>
      <c r="D314" s="18" t="s">
        <v>1249</v>
      </c>
      <c r="E314" s="18" t="s">
        <v>1250</v>
      </c>
      <c r="F314" s="18" t="s">
        <v>228</v>
      </c>
      <c r="G314" s="18">
        <v>10.55</v>
      </c>
      <c r="H314" s="18" t="s">
        <v>116</v>
      </c>
      <c r="I314" s="19">
        <v>4173.0</v>
      </c>
      <c r="J314" s="19">
        <v>5850.0</v>
      </c>
      <c r="K314" s="19">
        <v>5050.0</v>
      </c>
      <c r="L314" s="18" t="s">
        <v>1251</v>
      </c>
      <c r="M314" s="18" t="s">
        <v>1042</v>
      </c>
      <c r="N314" s="18" t="s">
        <v>403</v>
      </c>
      <c r="O314" s="18" t="s">
        <v>83</v>
      </c>
      <c r="P314" s="18" t="s">
        <v>42</v>
      </c>
      <c r="Q314" s="10">
        <f t="shared" si="1"/>
        <v>1</v>
      </c>
    </row>
    <row r="315">
      <c r="A315" s="18" t="s">
        <v>171</v>
      </c>
      <c r="B315" s="18" t="s">
        <v>45</v>
      </c>
      <c r="C315" s="18" t="s">
        <v>45</v>
      </c>
      <c r="D315" s="18" t="s">
        <v>1252</v>
      </c>
      <c r="E315" s="18" t="s">
        <v>1253</v>
      </c>
      <c r="F315" s="18" t="s">
        <v>228</v>
      </c>
      <c r="G315" s="18">
        <v>22.68</v>
      </c>
      <c r="H315" s="18" t="s">
        <v>45</v>
      </c>
      <c r="I315" s="19">
        <v>2490.0</v>
      </c>
      <c r="J315" s="19">
        <v>2900.0</v>
      </c>
      <c r="K315" s="19">
        <v>3000.0</v>
      </c>
      <c r="L315" s="18" t="s">
        <v>1254</v>
      </c>
      <c r="M315" s="18" t="s">
        <v>1255</v>
      </c>
      <c r="N315" s="18" t="s">
        <v>403</v>
      </c>
      <c r="O315" s="18" t="s">
        <v>198</v>
      </c>
      <c r="P315" s="18"/>
      <c r="Q315" s="10">
        <f t="shared" si="1"/>
        <v>1</v>
      </c>
    </row>
    <row r="316">
      <c r="A316" s="18" t="s">
        <v>125</v>
      </c>
      <c r="B316" s="18" t="s">
        <v>36</v>
      </c>
      <c r="C316" s="18" t="s">
        <v>37</v>
      </c>
      <c r="D316" s="18" t="s">
        <v>1256</v>
      </c>
      <c r="E316" s="18" t="s">
        <v>1257</v>
      </c>
      <c r="F316" s="18" t="s">
        <v>228</v>
      </c>
      <c r="G316" s="18">
        <v>44.88</v>
      </c>
      <c r="H316" s="18" t="s">
        <v>168</v>
      </c>
      <c r="I316" s="19">
        <v>4500.0</v>
      </c>
      <c r="J316" s="19">
        <v>3850.0</v>
      </c>
      <c r="K316" s="19"/>
      <c r="L316" s="18" t="s">
        <v>1258</v>
      </c>
      <c r="M316" s="18" t="s">
        <v>1259</v>
      </c>
      <c r="N316" s="18" t="s">
        <v>316</v>
      </c>
      <c r="O316" s="18" t="s">
        <v>41</v>
      </c>
      <c r="P316" s="18"/>
      <c r="Q316" s="10">
        <f t="shared" si="1"/>
        <v>1</v>
      </c>
    </row>
    <row r="317">
      <c r="A317" s="18" t="s">
        <v>138</v>
      </c>
      <c r="B317" s="18" t="s">
        <v>44</v>
      </c>
      <c r="C317" s="18" t="s">
        <v>76</v>
      </c>
      <c r="D317" s="18" t="s">
        <v>1260</v>
      </c>
      <c r="E317" s="18" t="s">
        <v>1261</v>
      </c>
      <c r="F317" s="18" t="s">
        <v>228</v>
      </c>
      <c r="G317" s="18">
        <v>22.77</v>
      </c>
      <c r="H317" s="18" t="s">
        <v>168</v>
      </c>
      <c r="I317" s="19">
        <v>4359.0</v>
      </c>
      <c r="J317" s="19">
        <v>6350.0</v>
      </c>
      <c r="K317" s="19">
        <v>5300.0</v>
      </c>
      <c r="L317" s="18" t="s">
        <v>1262</v>
      </c>
      <c r="M317" s="18" t="s">
        <v>1263</v>
      </c>
      <c r="N317" s="18" t="s">
        <v>903</v>
      </c>
      <c r="O317" s="18" t="s">
        <v>57</v>
      </c>
      <c r="P317" s="18" t="s">
        <v>144</v>
      </c>
      <c r="Q317" s="10">
        <f t="shared" si="1"/>
        <v>1</v>
      </c>
    </row>
    <row r="318">
      <c r="A318" s="18" t="s">
        <v>148</v>
      </c>
      <c r="B318" s="18" t="s">
        <v>45</v>
      </c>
      <c r="C318" s="18" t="s">
        <v>45</v>
      </c>
      <c r="D318" s="18" t="s">
        <v>1264</v>
      </c>
      <c r="E318" s="18" t="s">
        <v>1265</v>
      </c>
      <c r="F318" s="18" t="s">
        <v>228</v>
      </c>
      <c r="G318" s="18">
        <v>13.4</v>
      </c>
      <c r="H318" s="18"/>
      <c r="I318" s="19">
        <v>4171.0</v>
      </c>
      <c r="J318" s="19">
        <v>4200.0</v>
      </c>
      <c r="K318" s="19"/>
      <c r="L318" s="18" t="s">
        <v>1266</v>
      </c>
      <c r="M318" s="18" t="s">
        <v>1267</v>
      </c>
      <c r="N318" s="18" t="s">
        <v>763</v>
      </c>
      <c r="O318" s="18" t="s">
        <v>151</v>
      </c>
      <c r="P318" s="18" t="s">
        <v>48</v>
      </c>
      <c r="Q318" s="10">
        <f t="shared" si="1"/>
        <v>1</v>
      </c>
    </row>
    <row r="319">
      <c r="A319" s="18" t="s">
        <v>171</v>
      </c>
      <c r="B319" s="18" t="s">
        <v>44</v>
      </c>
      <c r="C319" s="18" t="s">
        <v>113</v>
      </c>
      <c r="D319" s="18" t="s">
        <v>1268</v>
      </c>
      <c r="E319" s="18" t="s">
        <v>1269</v>
      </c>
      <c r="F319" s="18" t="s">
        <v>228</v>
      </c>
      <c r="G319" s="18">
        <v>9.99</v>
      </c>
      <c r="H319" s="18" t="s">
        <v>116</v>
      </c>
      <c r="I319" s="19">
        <v>2490.0</v>
      </c>
      <c r="J319" s="19">
        <v>2900.0</v>
      </c>
      <c r="K319" s="19">
        <v>3600.0</v>
      </c>
      <c r="L319" s="18" t="s">
        <v>1270</v>
      </c>
      <c r="M319" s="18" t="s">
        <v>1271</v>
      </c>
      <c r="N319" s="18" t="s">
        <v>143</v>
      </c>
      <c r="O319" s="18" t="s">
        <v>117</v>
      </c>
      <c r="P319" s="18"/>
      <c r="Q319" s="10">
        <f t="shared" si="1"/>
        <v>1</v>
      </c>
    </row>
    <row r="320">
      <c r="A320" s="18" t="s">
        <v>49</v>
      </c>
      <c r="B320" s="18" t="s">
        <v>44</v>
      </c>
      <c r="C320" s="18" t="s">
        <v>53</v>
      </c>
      <c r="D320" s="18" t="s">
        <v>1272</v>
      </c>
      <c r="E320" s="18" t="s">
        <v>1273</v>
      </c>
      <c r="F320" s="18" t="s">
        <v>228</v>
      </c>
      <c r="G320" s="18">
        <v>15.21</v>
      </c>
      <c r="H320" s="18" t="s">
        <v>56</v>
      </c>
      <c r="I320" s="19">
        <v>6445.0</v>
      </c>
      <c r="J320" s="19">
        <v>7450.0</v>
      </c>
      <c r="K320" s="19">
        <v>7750.0</v>
      </c>
      <c r="L320" s="18" t="s">
        <v>1274</v>
      </c>
      <c r="M320" s="18" t="s">
        <v>1275</v>
      </c>
      <c r="N320" s="18" t="s">
        <v>903</v>
      </c>
      <c r="O320" s="18" t="s">
        <v>57</v>
      </c>
      <c r="P320" s="18" t="s">
        <v>48</v>
      </c>
      <c r="Q320" s="10">
        <f t="shared" si="1"/>
        <v>1</v>
      </c>
    </row>
    <row r="321">
      <c r="A321" s="18" t="s">
        <v>216</v>
      </c>
      <c r="B321" s="18" t="s">
        <v>44</v>
      </c>
      <c r="C321" s="18" t="s">
        <v>113</v>
      </c>
      <c r="D321" s="18" t="s">
        <v>1276</v>
      </c>
      <c r="E321" s="18" t="s">
        <v>1277</v>
      </c>
      <c r="F321" s="18" t="s">
        <v>228</v>
      </c>
      <c r="G321" s="18">
        <v>10.22</v>
      </c>
      <c r="H321" s="18" t="s">
        <v>116</v>
      </c>
      <c r="I321" s="19">
        <v>4173.0</v>
      </c>
      <c r="J321" s="19">
        <v>5850.0</v>
      </c>
      <c r="K321" s="19">
        <v>5050.0</v>
      </c>
      <c r="L321" s="18" t="s">
        <v>1278</v>
      </c>
      <c r="M321" s="18" t="s">
        <v>1279</v>
      </c>
      <c r="N321" s="18" t="s">
        <v>903</v>
      </c>
      <c r="O321" s="18" t="s">
        <v>57</v>
      </c>
      <c r="P321" s="18" t="s">
        <v>42</v>
      </c>
      <c r="Q321" s="10">
        <f t="shared" si="1"/>
        <v>1</v>
      </c>
    </row>
    <row r="322">
      <c r="A322" s="18" t="s">
        <v>210</v>
      </c>
      <c r="B322" s="18" t="s">
        <v>45</v>
      </c>
      <c r="C322" s="18" t="s">
        <v>45</v>
      </c>
      <c r="D322" s="18" t="s">
        <v>1280</v>
      </c>
      <c r="E322" s="18" t="s">
        <v>1281</v>
      </c>
      <c r="F322" s="18" t="s">
        <v>228</v>
      </c>
      <c r="G322" s="18">
        <v>9.2</v>
      </c>
      <c r="H322" s="18" t="s">
        <v>40</v>
      </c>
      <c r="I322" s="19">
        <v>3100.0</v>
      </c>
      <c r="J322" s="19">
        <v>4050.0</v>
      </c>
      <c r="K322" s="19">
        <v>3750.0</v>
      </c>
      <c r="L322" s="18" t="s">
        <v>1282</v>
      </c>
      <c r="M322" s="18" t="s">
        <v>1283</v>
      </c>
      <c r="N322" s="18" t="s">
        <v>903</v>
      </c>
      <c r="O322" s="18" t="s">
        <v>83</v>
      </c>
      <c r="P322" s="18" t="s">
        <v>63</v>
      </c>
      <c r="Q322" s="10">
        <f t="shared" si="1"/>
        <v>1</v>
      </c>
    </row>
    <row r="323">
      <c r="A323" s="18" t="s">
        <v>148</v>
      </c>
      <c r="B323" s="18" t="s">
        <v>45</v>
      </c>
      <c r="C323" s="18" t="s">
        <v>45</v>
      </c>
      <c r="D323" s="18" t="s">
        <v>1284</v>
      </c>
      <c r="E323" s="18" t="s">
        <v>1285</v>
      </c>
      <c r="F323" s="18" t="s">
        <v>228</v>
      </c>
      <c r="G323" s="18">
        <v>9.0</v>
      </c>
      <c r="H323" s="18" t="s">
        <v>45</v>
      </c>
      <c r="I323" s="19">
        <v>4171.0</v>
      </c>
      <c r="J323" s="19">
        <v>4200.0</v>
      </c>
      <c r="K323" s="19">
        <v>5050.0</v>
      </c>
      <c r="L323" s="18" t="s">
        <v>1286</v>
      </c>
      <c r="M323" s="18" t="s">
        <v>1287</v>
      </c>
      <c r="N323" s="18" t="s">
        <v>903</v>
      </c>
      <c r="O323" s="18" t="s">
        <v>57</v>
      </c>
      <c r="P323" s="18" t="s">
        <v>48</v>
      </c>
      <c r="Q323" s="10">
        <f t="shared" si="1"/>
        <v>1</v>
      </c>
    </row>
    <row r="324">
      <c r="A324" s="18" t="s">
        <v>1029</v>
      </c>
      <c r="B324" s="18" t="s">
        <v>44</v>
      </c>
      <c r="C324" s="18" t="s">
        <v>53</v>
      </c>
      <c r="D324" s="18" t="s">
        <v>1288</v>
      </c>
      <c r="E324" s="18" t="s">
        <v>1289</v>
      </c>
      <c r="F324" s="18" t="s">
        <v>228</v>
      </c>
      <c r="G324" s="18">
        <v>16.29</v>
      </c>
      <c r="H324" s="18" t="s">
        <v>56</v>
      </c>
      <c r="I324" s="19">
        <v>450.0</v>
      </c>
      <c r="J324" s="19">
        <v>360.0</v>
      </c>
      <c r="K324" s="19"/>
      <c r="L324" s="18" t="s">
        <v>1290</v>
      </c>
      <c r="M324" s="18" t="s">
        <v>1291</v>
      </c>
      <c r="N324" s="18" t="s">
        <v>1034</v>
      </c>
      <c r="O324" s="18" t="s">
        <v>57</v>
      </c>
      <c r="P324" s="18"/>
      <c r="Q324" s="10">
        <f t="shared" si="1"/>
        <v>1</v>
      </c>
    </row>
    <row r="325">
      <c r="A325" s="18" t="s">
        <v>1029</v>
      </c>
      <c r="B325" s="18" t="s">
        <v>44</v>
      </c>
      <c r="C325" s="18" t="s">
        <v>53</v>
      </c>
      <c r="D325" s="18" t="s">
        <v>1292</v>
      </c>
      <c r="E325" s="18" t="s">
        <v>1293</v>
      </c>
      <c r="F325" s="18" t="s">
        <v>228</v>
      </c>
      <c r="G325" s="18">
        <v>15.36</v>
      </c>
      <c r="H325" s="18" t="s">
        <v>56</v>
      </c>
      <c r="I325" s="19">
        <v>450.0</v>
      </c>
      <c r="J325" s="19">
        <v>360.0</v>
      </c>
      <c r="K325" s="19"/>
      <c r="L325" s="18" t="s">
        <v>1294</v>
      </c>
      <c r="M325" s="18" t="s">
        <v>1295</v>
      </c>
      <c r="N325" s="18" t="s">
        <v>1034</v>
      </c>
      <c r="O325" s="18" t="s">
        <v>57</v>
      </c>
      <c r="P325" s="18"/>
      <c r="Q325" s="10">
        <f t="shared" si="1"/>
        <v>1</v>
      </c>
    </row>
    <row r="326">
      <c r="A326" s="18" t="s">
        <v>145</v>
      </c>
      <c r="B326" s="18" t="s">
        <v>44</v>
      </c>
      <c r="C326" s="18" t="s">
        <v>53</v>
      </c>
      <c r="D326" s="18" t="s">
        <v>1296</v>
      </c>
      <c r="E326" s="18" t="s">
        <v>1297</v>
      </c>
      <c r="F326" s="18" t="s">
        <v>228</v>
      </c>
      <c r="G326" s="18">
        <v>16.5</v>
      </c>
      <c r="H326" s="18" t="s">
        <v>56</v>
      </c>
      <c r="I326" s="19">
        <v>8592.0</v>
      </c>
      <c r="J326" s="19">
        <v>9500.0</v>
      </c>
      <c r="K326" s="19">
        <v>10350.0</v>
      </c>
      <c r="L326" s="18" t="s">
        <v>1298</v>
      </c>
      <c r="M326" s="18" t="s">
        <v>1299</v>
      </c>
      <c r="N326" s="18" t="s">
        <v>143</v>
      </c>
      <c r="O326" s="18" t="s">
        <v>151</v>
      </c>
      <c r="P326" s="18" t="s">
        <v>63</v>
      </c>
      <c r="Q326" s="10">
        <f t="shared" si="1"/>
        <v>1</v>
      </c>
    </row>
    <row r="327">
      <c r="A327" s="18" t="s">
        <v>148</v>
      </c>
      <c r="B327" s="18" t="s">
        <v>45</v>
      </c>
      <c r="C327" s="18" t="s">
        <v>45</v>
      </c>
      <c r="D327" s="18" t="s">
        <v>1300</v>
      </c>
      <c r="E327" s="18" t="s">
        <v>1301</v>
      </c>
      <c r="F327" s="18" t="s">
        <v>228</v>
      </c>
      <c r="G327" s="18">
        <v>13.4</v>
      </c>
      <c r="H327" s="18"/>
      <c r="I327" s="19">
        <v>4171.0</v>
      </c>
      <c r="J327" s="19">
        <v>4200.0</v>
      </c>
      <c r="K327" s="19"/>
      <c r="L327" s="18" t="s">
        <v>1302</v>
      </c>
      <c r="M327" s="18" t="s">
        <v>1303</v>
      </c>
      <c r="N327" s="18" t="s">
        <v>143</v>
      </c>
      <c r="O327" s="18" t="s">
        <v>151</v>
      </c>
      <c r="P327" s="18" t="s">
        <v>48</v>
      </c>
      <c r="Q327" s="10">
        <f t="shared" si="1"/>
        <v>1</v>
      </c>
    </row>
    <row r="328">
      <c r="A328" s="18" t="s">
        <v>154</v>
      </c>
      <c r="B328" s="18" t="s">
        <v>44</v>
      </c>
      <c r="C328" s="18" t="s">
        <v>64</v>
      </c>
      <c r="D328" s="18" t="s">
        <v>1304</v>
      </c>
      <c r="E328" s="18" t="s">
        <v>1305</v>
      </c>
      <c r="F328" s="18" t="s">
        <v>228</v>
      </c>
      <c r="G328" s="18">
        <v>18.0</v>
      </c>
      <c r="H328" s="18" t="s">
        <v>56</v>
      </c>
      <c r="I328" s="19">
        <v>5731.0</v>
      </c>
      <c r="J328" s="19">
        <v>8050.0</v>
      </c>
      <c r="K328" s="19">
        <v>6900.0</v>
      </c>
      <c r="L328" s="18" t="s">
        <v>1306</v>
      </c>
      <c r="M328" s="18" t="s">
        <v>1307</v>
      </c>
      <c r="N328" s="18" t="s">
        <v>1308</v>
      </c>
      <c r="O328" s="18" t="s">
        <v>151</v>
      </c>
      <c r="P328" s="18" t="s">
        <v>157</v>
      </c>
      <c r="Q328" s="10">
        <f t="shared" si="1"/>
        <v>1</v>
      </c>
    </row>
    <row r="329">
      <c r="A329" s="18" t="s">
        <v>282</v>
      </c>
      <c r="B329" s="18" t="s">
        <v>45</v>
      </c>
      <c r="C329" s="18" t="s">
        <v>45</v>
      </c>
      <c r="D329" s="18" t="s">
        <v>1309</v>
      </c>
      <c r="E329" s="18" t="s">
        <v>1310</v>
      </c>
      <c r="F329" s="18" t="s">
        <v>228</v>
      </c>
      <c r="G329" s="18">
        <v>9.88</v>
      </c>
      <c r="H329" s="18" t="s">
        <v>45</v>
      </c>
      <c r="I329" s="19">
        <v>2838.0</v>
      </c>
      <c r="J329" s="19">
        <v>3450.0</v>
      </c>
      <c r="K329" s="19">
        <v>3450.0</v>
      </c>
      <c r="L329" s="18" t="s">
        <v>1311</v>
      </c>
      <c r="M329" s="18" t="s">
        <v>1312</v>
      </c>
      <c r="N329" s="18" t="s">
        <v>343</v>
      </c>
      <c r="O329" s="18" t="s">
        <v>41</v>
      </c>
      <c r="P329" s="18" t="s">
        <v>63</v>
      </c>
      <c r="Q329" s="10">
        <f t="shared" si="1"/>
        <v>1</v>
      </c>
    </row>
    <row r="330">
      <c r="A330" s="18" t="s">
        <v>148</v>
      </c>
      <c r="B330" s="18" t="s">
        <v>45</v>
      </c>
      <c r="C330" s="18" t="s">
        <v>45</v>
      </c>
      <c r="D330" s="18" t="s">
        <v>1313</v>
      </c>
      <c r="E330" s="18" t="s">
        <v>1314</v>
      </c>
      <c r="F330" s="18" t="s">
        <v>228</v>
      </c>
      <c r="G330" s="18">
        <v>8.8</v>
      </c>
      <c r="H330" s="18" t="s">
        <v>45</v>
      </c>
      <c r="I330" s="19">
        <v>4171.0</v>
      </c>
      <c r="J330" s="19">
        <v>4200.0</v>
      </c>
      <c r="K330" s="19">
        <v>5050.0</v>
      </c>
      <c r="L330" s="18" t="s">
        <v>1315</v>
      </c>
      <c r="M330" s="18" t="s">
        <v>1145</v>
      </c>
      <c r="N330" s="18" t="s">
        <v>1146</v>
      </c>
      <c r="O330" s="18" t="s">
        <v>151</v>
      </c>
      <c r="P330" s="18" t="s">
        <v>48</v>
      </c>
      <c r="Q330" s="10">
        <f t="shared" si="1"/>
        <v>1</v>
      </c>
    </row>
    <row r="331">
      <c r="A331" s="18" t="s">
        <v>35</v>
      </c>
      <c r="B331" s="18" t="s">
        <v>45</v>
      </c>
      <c r="C331" s="18" t="s">
        <v>45</v>
      </c>
      <c r="D331" s="18" t="s">
        <v>1316</v>
      </c>
      <c r="E331" s="18" t="s">
        <v>1317</v>
      </c>
      <c r="F331" s="18" t="s">
        <v>228</v>
      </c>
      <c r="G331" s="18">
        <v>9.32</v>
      </c>
      <c r="H331" s="18" t="s">
        <v>45</v>
      </c>
      <c r="I331" s="19">
        <v>2885.0</v>
      </c>
      <c r="J331" s="19">
        <v>3900.0</v>
      </c>
      <c r="K331" s="19">
        <v>3500.0</v>
      </c>
      <c r="L331" s="18" t="s">
        <v>1318</v>
      </c>
      <c r="M331" s="18" t="s">
        <v>382</v>
      </c>
      <c r="N331" s="18" t="s">
        <v>240</v>
      </c>
      <c r="O331" s="18" t="s">
        <v>83</v>
      </c>
      <c r="P331" s="18" t="s">
        <v>42</v>
      </c>
      <c r="Q331" s="10">
        <f t="shared" si="1"/>
        <v>1</v>
      </c>
    </row>
    <row r="332">
      <c r="A332" s="18" t="s">
        <v>154</v>
      </c>
      <c r="B332" s="18" t="s">
        <v>44</v>
      </c>
      <c r="C332" s="18" t="s">
        <v>64</v>
      </c>
      <c r="D332" s="18" t="s">
        <v>1319</v>
      </c>
      <c r="E332" s="18" t="s">
        <v>1320</v>
      </c>
      <c r="F332" s="18" t="s">
        <v>228</v>
      </c>
      <c r="G332" s="18">
        <v>17.0</v>
      </c>
      <c r="H332" s="18" t="s">
        <v>56</v>
      </c>
      <c r="I332" s="19">
        <v>4799.0</v>
      </c>
      <c r="J332" s="19">
        <v>6750.0</v>
      </c>
      <c r="K332" s="19">
        <v>5800.0</v>
      </c>
      <c r="L332" s="18" t="s">
        <v>1321</v>
      </c>
      <c r="M332" s="18" t="s">
        <v>1322</v>
      </c>
      <c r="N332" s="18" t="s">
        <v>1308</v>
      </c>
      <c r="O332" s="18" t="s">
        <v>151</v>
      </c>
      <c r="P332" s="18" t="s">
        <v>157</v>
      </c>
      <c r="Q332" s="10">
        <f t="shared" si="1"/>
        <v>1</v>
      </c>
    </row>
    <row r="333">
      <c r="A333" s="18" t="s">
        <v>125</v>
      </c>
      <c r="B333" s="18" t="s">
        <v>44</v>
      </c>
      <c r="C333" s="18" t="s">
        <v>133</v>
      </c>
      <c r="D333" s="18" t="s">
        <v>1323</v>
      </c>
      <c r="E333" s="18" t="s">
        <v>1324</v>
      </c>
      <c r="F333" s="18" t="s">
        <v>228</v>
      </c>
      <c r="G333" s="18">
        <v>12.48</v>
      </c>
      <c r="H333" s="18" t="s">
        <v>56</v>
      </c>
      <c r="I333" s="19">
        <v>2376.0</v>
      </c>
      <c r="J333" s="19">
        <v>2050.0</v>
      </c>
      <c r="K333" s="19">
        <v>3900.0</v>
      </c>
      <c r="L333" s="18" t="s">
        <v>1325</v>
      </c>
      <c r="M333" s="18" t="s">
        <v>1326</v>
      </c>
      <c r="N333" s="18" t="s">
        <v>403</v>
      </c>
      <c r="O333" s="18" t="s">
        <v>57</v>
      </c>
      <c r="P333" s="18"/>
      <c r="Q333" s="10">
        <f t="shared" si="1"/>
        <v>1</v>
      </c>
    </row>
    <row r="334">
      <c r="A334" s="18" t="s">
        <v>225</v>
      </c>
      <c r="B334" s="18" t="s">
        <v>45</v>
      </c>
      <c r="C334" s="18" t="s">
        <v>45</v>
      </c>
      <c r="D334" s="18" t="s">
        <v>1327</v>
      </c>
      <c r="E334" s="18" t="s">
        <v>1328</v>
      </c>
      <c r="F334" s="18" t="s">
        <v>228</v>
      </c>
      <c r="G334" s="18">
        <v>9.0</v>
      </c>
      <c r="H334" s="18" t="s">
        <v>45</v>
      </c>
      <c r="I334" s="19">
        <v>3100.0</v>
      </c>
      <c r="J334" s="19">
        <v>4050.0</v>
      </c>
      <c r="K334" s="19">
        <v>3600.0</v>
      </c>
      <c r="L334" s="18" t="s">
        <v>1329</v>
      </c>
      <c r="M334" s="18" t="s">
        <v>1145</v>
      </c>
      <c r="N334" s="18" t="s">
        <v>1146</v>
      </c>
      <c r="O334" s="18" t="s">
        <v>41</v>
      </c>
      <c r="P334" s="18" t="s">
        <v>162</v>
      </c>
      <c r="Q334" s="10">
        <f t="shared" si="1"/>
        <v>1</v>
      </c>
    </row>
    <row r="335">
      <c r="A335" s="18" t="s">
        <v>165</v>
      </c>
      <c r="B335" s="18" t="s">
        <v>45</v>
      </c>
      <c r="C335" s="18" t="s">
        <v>45</v>
      </c>
      <c r="D335" s="18" t="s">
        <v>1330</v>
      </c>
      <c r="E335" s="18" t="s">
        <v>1331</v>
      </c>
      <c r="F335" s="18" t="s">
        <v>228</v>
      </c>
      <c r="G335" s="18">
        <v>12.28</v>
      </c>
      <c r="H335" s="18" t="s">
        <v>45</v>
      </c>
      <c r="I335" s="19">
        <v>1892.0</v>
      </c>
      <c r="J335" s="19">
        <v>2300.0</v>
      </c>
      <c r="K335" s="19">
        <v>2300.0</v>
      </c>
      <c r="L335" s="18" t="s">
        <v>1332</v>
      </c>
      <c r="M335" s="18" t="s">
        <v>1333</v>
      </c>
      <c r="N335" s="18" t="s">
        <v>240</v>
      </c>
      <c r="O335" s="18" t="s">
        <v>41</v>
      </c>
      <c r="P335" s="18"/>
      <c r="Q335" s="10">
        <f t="shared" si="1"/>
        <v>1</v>
      </c>
    </row>
    <row r="336">
      <c r="A336" s="18" t="s">
        <v>165</v>
      </c>
      <c r="B336" s="18" t="s">
        <v>44</v>
      </c>
      <c r="C336" s="18" t="s">
        <v>53</v>
      </c>
      <c r="D336" s="18" t="s">
        <v>1334</v>
      </c>
      <c r="E336" s="18" t="s">
        <v>1335</v>
      </c>
      <c r="F336" s="18" t="s">
        <v>228</v>
      </c>
      <c r="G336" s="18">
        <v>16.31</v>
      </c>
      <c r="H336" s="18" t="s">
        <v>56</v>
      </c>
      <c r="I336" s="19">
        <v>3563.0</v>
      </c>
      <c r="J336" s="19">
        <v>4300.0</v>
      </c>
      <c r="K336" s="19">
        <v>4350.0</v>
      </c>
      <c r="L336" s="18" t="s">
        <v>1336</v>
      </c>
      <c r="M336" s="18" t="s">
        <v>1337</v>
      </c>
      <c r="N336" s="18" t="s">
        <v>240</v>
      </c>
      <c r="O336" s="18" t="s">
        <v>41</v>
      </c>
      <c r="P336" s="18"/>
      <c r="Q336" s="10">
        <f t="shared" si="1"/>
        <v>1</v>
      </c>
    </row>
    <row r="337">
      <c r="A337" s="18" t="s">
        <v>165</v>
      </c>
      <c r="B337" s="18" t="s">
        <v>44</v>
      </c>
      <c r="C337" s="18" t="s">
        <v>53</v>
      </c>
      <c r="D337" s="18" t="s">
        <v>1338</v>
      </c>
      <c r="E337" s="18" t="s">
        <v>1339</v>
      </c>
      <c r="F337" s="18" t="s">
        <v>228</v>
      </c>
      <c r="G337" s="18">
        <v>16.98</v>
      </c>
      <c r="H337" s="18" t="s">
        <v>56</v>
      </c>
      <c r="I337" s="19">
        <v>3563.0</v>
      </c>
      <c r="J337" s="19">
        <v>4300.0</v>
      </c>
      <c r="K337" s="19">
        <v>4350.0</v>
      </c>
      <c r="L337" s="18" t="s">
        <v>1340</v>
      </c>
      <c r="M337" s="18" t="s">
        <v>1341</v>
      </c>
      <c r="N337" s="18" t="s">
        <v>240</v>
      </c>
      <c r="O337" s="18" t="s">
        <v>41</v>
      </c>
      <c r="P337" s="18"/>
      <c r="Q337" s="10">
        <f t="shared" si="1"/>
        <v>1</v>
      </c>
    </row>
    <row r="338">
      <c r="A338" s="18" t="s">
        <v>165</v>
      </c>
      <c r="B338" s="18" t="s">
        <v>45</v>
      </c>
      <c r="C338" s="18" t="s">
        <v>45</v>
      </c>
      <c r="D338" s="18" t="s">
        <v>1342</v>
      </c>
      <c r="E338" s="18" t="s">
        <v>1343</v>
      </c>
      <c r="F338" s="18" t="s">
        <v>228</v>
      </c>
      <c r="G338" s="18">
        <v>9.35</v>
      </c>
      <c r="H338" s="18" t="s">
        <v>45</v>
      </c>
      <c r="I338" s="19">
        <v>1892.0</v>
      </c>
      <c r="J338" s="19">
        <v>2300.0</v>
      </c>
      <c r="K338" s="19">
        <v>2300.0</v>
      </c>
      <c r="L338" s="18" t="s">
        <v>1344</v>
      </c>
      <c r="M338" s="18" t="s">
        <v>1345</v>
      </c>
      <c r="N338" s="18" t="s">
        <v>240</v>
      </c>
      <c r="O338" s="18" t="s">
        <v>41</v>
      </c>
      <c r="P338" s="18"/>
      <c r="Q338" s="10">
        <f t="shared" si="1"/>
        <v>1</v>
      </c>
    </row>
    <row r="339">
      <c r="A339" s="18" t="s">
        <v>165</v>
      </c>
      <c r="B339" s="18" t="s">
        <v>44</v>
      </c>
      <c r="C339" s="18" t="s">
        <v>53</v>
      </c>
      <c r="D339" s="18" t="s">
        <v>1346</v>
      </c>
      <c r="E339" s="18" t="s">
        <v>1347</v>
      </c>
      <c r="F339" s="18" t="s">
        <v>228</v>
      </c>
      <c r="G339" s="18">
        <v>15.6</v>
      </c>
      <c r="H339" s="18" t="s">
        <v>56</v>
      </c>
      <c r="I339" s="19">
        <v>3563.0</v>
      </c>
      <c r="J339" s="19">
        <v>4300.0</v>
      </c>
      <c r="K339" s="19">
        <v>4350.0</v>
      </c>
      <c r="L339" s="18" t="s">
        <v>1348</v>
      </c>
      <c r="M339" s="18" t="s">
        <v>1349</v>
      </c>
      <c r="N339" s="18" t="s">
        <v>240</v>
      </c>
      <c r="O339" s="18" t="s">
        <v>41</v>
      </c>
      <c r="P339" s="18"/>
      <c r="Q339" s="10">
        <f t="shared" si="1"/>
        <v>1</v>
      </c>
    </row>
    <row r="340">
      <c r="A340" s="18" t="s">
        <v>165</v>
      </c>
      <c r="B340" s="18" t="s">
        <v>44</v>
      </c>
      <c r="C340" s="18" t="s">
        <v>64</v>
      </c>
      <c r="D340" s="18" t="s">
        <v>1350</v>
      </c>
      <c r="E340" s="18" t="s">
        <v>1351</v>
      </c>
      <c r="F340" s="18" t="s">
        <v>228</v>
      </c>
      <c r="G340" s="18">
        <v>17.58</v>
      </c>
      <c r="H340" s="18" t="s">
        <v>120</v>
      </c>
      <c r="I340" s="19">
        <v>4039.0</v>
      </c>
      <c r="J340" s="19">
        <v>4850.0</v>
      </c>
      <c r="K340" s="19">
        <v>4900.0</v>
      </c>
      <c r="L340" s="18" t="s">
        <v>1352</v>
      </c>
      <c r="M340" s="18" t="s">
        <v>1353</v>
      </c>
      <c r="N340" s="18" t="s">
        <v>240</v>
      </c>
      <c r="O340" s="18" t="s">
        <v>41</v>
      </c>
      <c r="P340" s="18"/>
      <c r="Q340" s="10">
        <f t="shared" si="1"/>
        <v>1</v>
      </c>
    </row>
    <row r="341">
      <c r="A341" s="18" t="s">
        <v>165</v>
      </c>
      <c r="B341" s="18" t="s">
        <v>44</v>
      </c>
      <c r="C341" s="18" t="s">
        <v>64</v>
      </c>
      <c r="D341" s="18" t="s">
        <v>1354</v>
      </c>
      <c r="E341" s="18" t="s">
        <v>1355</v>
      </c>
      <c r="F341" s="18" t="s">
        <v>228</v>
      </c>
      <c r="G341" s="18">
        <v>18.51</v>
      </c>
      <c r="H341" s="18" t="s">
        <v>120</v>
      </c>
      <c r="I341" s="19">
        <v>4039.0</v>
      </c>
      <c r="J341" s="19">
        <v>4850.0</v>
      </c>
      <c r="K341" s="19">
        <v>4900.0</v>
      </c>
      <c r="L341" s="18" t="s">
        <v>1356</v>
      </c>
      <c r="M341" s="18" t="s">
        <v>1357</v>
      </c>
      <c r="N341" s="18" t="s">
        <v>240</v>
      </c>
      <c r="O341" s="18" t="s">
        <v>41</v>
      </c>
      <c r="P341" s="18"/>
      <c r="Q341" s="10">
        <f t="shared" si="1"/>
        <v>1</v>
      </c>
    </row>
    <row r="342">
      <c r="A342" s="18" t="s">
        <v>165</v>
      </c>
      <c r="B342" s="18" t="s">
        <v>44</v>
      </c>
      <c r="C342" s="18" t="s">
        <v>76</v>
      </c>
      <c r="D342" s="18" t="s">
        <v>1358</v>
      </c>
      <c r="E342" s="18" t="s">
        <v>1359</v>
      </c>
      <c r="F342" s="18" t="s">
        <v>228</v>
      </c>
      <c r="G342" s="18">
        <v>19.17</v>
      </c>
      <c r="H342" s="18" t="s">
        <v>120</v>
      </c>
      <c r="I342" s="19">
        <v>4275.0</v>
      </c>
      <c r="J342" s="19">
        <v>5150.0</v>
      </c>
      <c r="K342" s="19">
        <v>5200.0</v>
      </c>
      <c r="L342" s="18" t="s">
        <v>1360</v>
      </c>
      <c r="M342" s="18" t="s">
        <v>1361</v>
      </c>
      <c r="N342" s="18" t="s">
        <v>240</v>
      </c>
      <c r="O342" s="18" t="s">
        <v>41</v>
      </c>
      <c r="P342" s="18"/>
      <c r="Q342" s="10">
        <f t="shared" si="1"/>
        <v>1</v>
      </c>
    </row>
    <row r="343">
      <c r="A343" s="18" t="s">
        <v>165</v>
      </c>
      <c r="B343" s="18" t="s">
        <v>44</v>
      </c>
      <c r="C343" s="18" t="s">
        <v>133</v>
      </c>
      <c r="D343" s="18" t="s">
        <v>1362</v>
      </c>
      <c r="E343" s="18" t="s">
        <v>1363</v>
      </c>
      <c r="F343" s="18" t="s">
        <v>228</v>
      </c>
      <c r="G343" s="18">
        <v>14.04</v>
      </c>
      <c r="H343" s="18" t="s">
        <v>56</v>
      </c>
      <c r="I343" s="19">
        <v>3086.0</v>
      </c>
      <c r="J343" s="19">
        <v>3750.0</v>
      </c>
      <c r="K343" s="19">
        <v>3750.0</v>
      </c>
      <c r="L343" s="18" t="s">
        <v>1364</v>
      </c>
      <c r="M343" s="18" t="s">
        <v>1365</v>
      </c>
      <c r="N343" s="18" t="s">
        <v>240</v>
      </c>
      <c r="O343" s="18" t="s">
        <v>41</v>
      </c>
      <c r="P343" s="18"/>
      <c r="Q343" s="10">
        <f t="shared" si="1"/>
        <v>1</v>
      </c>
    </row>
    <row r="344">
      <c r="A344" s="18" t="s">
        <v>165</v>
      </c>
      <c r="B344" s="18"/>
      <c r="C344" s="18" t="s">
        <v>1166</v>
      </c>
      <c r="D344" s="18" t="s">
        <v>1366</v>
      </c>
      <c r="E344" s="18" t="s">
        <v>1367</v>
      </c>
      <c r="F344" s="18" t="s">
        <v>228</v>
      </c>
      <c r="G344" s="18">
        <v>23.05</v>
      </c>
      <c r="H344" s="18" t="s">
        <v>40</v>
      </c>
      <c r="I344" s="19">
        <v>1500.0</v>
      </c>
      <c r="J344" s="19">
        <v>1800.0</v>
      </c>
      <c r="K344" s="19"/>
      <c r="L344" s="18" t="s">
        <v>1368</v>
      </c>
      <c r="M344" s="18" t="s">
        <v>1369</v>
      </c>
      <c r="N344" s="18" t="s">
        <v>240</v>
      </c>
      <c r="O344" s="18" t="s">
        <v>41</v>
      </c>
      <c r="P344" s="18"/>
      <c r="Q344" s="10">
        <f t="shared" si="1"/>
        <v>1</v>
      </c>
    </row>
    <row r="345">
      <c r="A345" s="18" t="s">
        <v>158</v>
      </c>
      <c r="B345" s="18" t="s">
        <v>45</v>
      </c>
      <c r="C345" s="18" t="s">
        <v>45</v>
      </c>
      <c r="D345" s="18" t="s">
        <v>1370</v>
      </c>
      <c r="E345" s="18" t="s">
        <v>1371</v>
      </c>
      <c r="F345" s="18" t="s">
        <v>228</v>
      </c>
      <c r="G345" s="18">
        <v>8.0</v>
      </c>
      <c r="H345" s="18" t="s">
        <v>45</v>
      </c>
      <c r="I345" s="19">
        <v>2542.0</v>
      </c>
      <c r="J345" s="19">
        <v>2550.0</v>
      </c>
      <c r="K345" s="19">
        <v>3100.0</v>
      </c>
      <c r="L345" s="18" t="s">
        <v>1372</v>
      </c>
      <c r="M345" s="18" t="s">
        <v>1373</v>
      </c>
      <c r="N345" s="18" t="s">
        <v>316</v>
      </c>
      <c r="O345" s="18" t="s">
        <v>41</v>
      </c>
      <c r="P345" s="18" t="s">
        <v>162</v>
      </c>
      <c r="Q345" s="10">
        <f t="shared" si="1"/>
        <v>1</v>
      </c>
    </row>
    <row r="346">
      <c r="A346" s="18" t="s">
        <v>138</v>
      </c>
      <c r="B346" s="18" t="s">
        <v>44</v>
      </c>
      <c r="C346" s="18" t="s">
        <v>64</v>
      </c>
      <c r="D346" s="18" t="s">
        <v>1374</v>
      </c>
      <c r="E346" s="18" t="s">
        <v>1375</v>
      </c>
      <c r="F346" s="18" t="s">
        <v>228</v>
      </c>
      <c r="G346" s="18">
        <v>18.08</v>
      </c>
      <c r="H346" s="18" t="s">
        <v>120</v>
      </c>
      <c r="I346" s="19">
        <v>3944.0</v>
      </c>
      <c r="J346" s="19">
        <v>5750.0</v>
      </c>
      <c r="K346" s="19">
        <v>4750.0</v>
      </c>
      <c r="L346" s="18" t="s">
        <v>1376</v>
      </c>
      <c r="M346" s="18" t="s">
        <v>977</v>
      </c>
      <c r="N346" s="18" t="s">
        <v>403</v>
      </c>
      <c r="O346" s="18" t="s">
        <v>41</v>
      </c>
      <c r="P346" s="18" t="s">
        <v>144</v>
      </c>
      <c r="Q346" s="10">
        <f t="shared" si="1"/>
        <v>1</v>
      </c>
    </row>
    <row r="347">
      <c r="A347" s="18" t="s">
        <v>282</v>
      </c>
      <c r="B347" s="18" t="s">
        <v>44</v>
      </c>
      <c r="C347" s="18" t="s">
        <v>113</v>
      </c>
      <c r="D347" s="18" t="s">
        <v>1377</v>
      </c>
      <c r="E347" s="18" t="s">
        <v>1378</v>
      </c>
      <c r="F347" s="18" t="s">
        <v>228</v>
      </c>
      <c r="G347" s="18">
        <v>10.92</v>
      </c>
      <c r="H347" s="18" t="s">
        <v>120</v>
      </c>
      <c r="I347" s="19">
        <v>4575.0</v>
      </c>
      <c r="J347" s="19">
        <v>5500.0</v>
      </c>
      <c r="K347" s="19">
        <v>5900.0</v>
      </c>
      <c r="L347" s="18" t="s">
        <v>1379</v>
      </c>
      <c r="M347" s="18" t="s">
        <v>1380</v>
      </c>
      <c r="N347" s="18" t="s">
        <v>131</v>
      </c>
      <c r="O347" s="18" t="s">
        <v>57</v>
      </c>
      <c r="P347" s="18" t="s">
        <v>63</v>
      </c>
      <c r="Q347" s="10">
        <f t="shared" si="1"/>
        <v>1</v>
      </c>
    </row>
    <row r="348">
      <c r="A348" s="18" t="s">
        <v>145</v>
      </c>
      <c r="B348" s="18" t="s">
        <v>44</v>
      </c>
      <c r="C348" s="18" t="s">
        <v>64</v>
      </c>
      <c r="D348" s="18" t="s">
        <v>1381</v>
      </c>
      <c r="E348" s="18" t="s">
        <v>1382</v>
      </c>
      <c r="F348" s="18" t="s">
        <v>228</v>
      </c>
      <c r="G348" s="18">
        <v>17.4</v>
      </c>
      <c r="H348" s="18" t="s">
        <v>56</v>
      </c>
      <c r="I348" s="19">
        <v>9022.0</v>
      </c>
      <c r="J348" s="19">
        <v>9950.0</v>
      </c>
      <c r="K348" s="19">
        <v>10900.0</v>
      </c>
      <c r="L348" s="18" t="s">
        <v>1383</v>
      </c>
      <c r="M348" s="18" t="s">
        <v>1384</v>
      </c>
      <c r="N348" s="18" t="s">
        <v>240</v>
      </c>
      <c r="O348" s="18" t="s">
        <v>151</v>
      </c>
      <c r="P348" s="18" t="s">
        <v>63</v>
      </c>
      <c r="Q348" s="10">
        <f t="shared" si="1"/>
        <v>1</v>
      </c>
    </row>
    <row r="349">
      <c r="A349" s="18" t="s">
        <v>154</v>
      </c>
      <c r="B349" s="18" t="s">
        <v>44</v>
      </c>
      <c r="C349" s="18" t="s">
        <v>53</v>
      </c>
      <c r="D349" s="18" t="s">
        <v>1385</v>
      </c>
      <c r="E349" s="18" t="s">
        <v>1386</v>
      </c>
      <c r="F349" s="18" t="s">
        <v>228</v>
      </c>
      <c r="G349" s="18">
        <v>15.0</v>
      </c>
      <c r="H349" s="18" t="s">
        <v>56</v>
      </c>
      <c r="I349" s="19">
        <v>4799.0</v>
      </c>
      <c r="J349" s="19">
        <v>6750.0</v>
      </c>
      <c r="K349" s="19">
        <v>5800.0</v>
      </c>
      <c r="L349" s="18" t="s">
        <v>1387</v>
      </c>
      <c r="M349" s="18" t="s">
        <v>1388</v>
      </c>
      <c r="N349" s="18" t="s">
        <v>903</v>
      </c>
      <c r="O349" s="18" t="s">
        <v>57</v>
      </c>
      <c r="P349" s="18" t="s">
        <v>157</v>
      </c>
      <c r="Q349" s="10">
        <f t="shared" si="1"/>
        <v>1</v>
      </c>
    </row>
    <row r="350">
      <c r="A350" s="18" t="s">
        <v>49</v>
      </c>
      <c r="B350" s="18" t="s">
        <v>44</v>
      </c>
      <c r="C350" s="18" t="s">
        <v>76</v>
      </c>
      <c r="D350" s="18" t="s">
        <v>1389</v>
      </c>
      <c r="E350" s="18" t="s">
        <v>1390</v>
      </c>
      <c r="F350" s="18" t="s">
        <v>228</v>
      </c>
      <c r="G350" s="18">
        <v>18.98</v>
      </c>
      <c r="H350" s="18" t="s">
        <v>120</v>
      </c>
      <c r="I350" s="19">
        <v>7320.0</v>
      </c>
      <c r="J350" s="19">
        <v>8450.0</v>
      </c>
      <c r="K350" s="19">
        <v>8850.0</v>
      </c>
      <c r="L350" s="18" t="s">
        <v>1391</v>
      </c>
      <c r="M350" s="18" t="s">
        <v>1392</v>
      </c>
      <c r="N350" s="18" t="s">
        <v>903</v>
      </c>
      <c r="O350" s="18" t="s">
        <v>57</v>
      </c>
      <c r="P350" s="18" t="s">
        <v>48</v>
      </c>
      <c r="Q350" s="10">
        <f t="shared" si="1"/>
        <v>1</v>
      </c>
    </row>
    <row r="351">
      <c r="A351" s="18" t="s">
        <v>49</v>
      </c>
      <c r="B351" s="18" t="s">
        <v>36</v>
      </c>
      <c r="C351" s="18" t="s">
        <v>37</v>
      </c>
      <c r="D351" s="18" t="s">
        <v>1393</v>
      </c>
      <c r="E351" s="18" t="s">
        <v>1394</v>
      </c>
      <c r="F351" s="18" t="s">
        <v>228</v>
      </c>
      <c r="G351" s="18">
        <v>20.32</v>
      </c>
      <c r="H351" s="18" t="s">
        <v>40</v>
      </c>
      <c r="I351" s="19">
        <v>2921.0</v>
      </c>
      <c r="J351" s="19">
        <v>3400.0</v>
      </c>
      <c r="K351" s="19"/>
      <c r="L351" s="18" t="s">
        <v>1395</v>
      </c>
      <c r="M351" s="18" t="s">
        <v>1396</v>
      </c>
      <c r="N351" s="18" t="s">
        <v>903</v>
      </c>
      <c r="O351" s="18" t="s">
        <v>41</v>
      </c>
      <c r="P351" s="18" t="s">
        <v>48</v>
      </c>
      <c r="Q351" s="10">
        <f t="shared" si="1"/>
        <v>1</v>
      </c>
    </row>
    <row r="352">
      <c r="A352" s="18" t="s">
        <v>210</v>
      </c>
      <c r="B352" s="18" t="s">
        <v>44</v>
      </c>
      <c r="C352" s="18" t="s">
        <v>180</v>
      </c>
      <c r="D352" s="18" t="s">
        <v>1397</v>
      </c>
      <c r="E352" s="18" t="s">
        <v>1398</v>
      </c>
      <c r="F352" s="18" t="s">
        <v>228</v>
      </c>
      <c r="G352" s="18">
        <v>21.94</v>
      </c>
      <c r="H352" s="18" t="s">
        <v>168</v>
      </c>
      <c r="I352" s="19">
        <v>6700.0</v>
      </c>
      <c r="J352" s="19">
        <v>8750.0</v>
      </c>
      <c r="K352" s="19">
        <v>8050.0</v>
      </c>
      <c r="L352" s="18" t="s">
        <v>1399</v>
      </c>
      <c r="M352" s="18" t="s">
        <v>1400</v>
      </c>
      <c r="N352" s="18" t="s">
        <v>903</v>
      </c>
      <c r="O352" s="18" t="s">
        <v>83</v>
      </c>
      <c r="P352" s="18" t="s">
        <v>63</v>
      </c>
      <c r="Q352" s="10">
        <f t="shared" si="1"/>
        <v>1</v>
      </c>
    </row>
    <row r="353">
      <c r="A353" s="18" t="s">
        <v>210</v>
      </c>
      <c r="B353" s="18" t="s">
        <v>44</v>
      </c>
      <c r="C353" s="18" t="s">
        <v>64</v>
      </c>
      <c r="D353" s="18" t="s">
        <v>1401</v>
      </c>
      <c r="E353" s="18" t="s">
        <v>1402</v>
      </c>
      <c r="F353" s="18" t="s">
        <v>228</v>
      </c>
      <c r="G353" s="18">
        <v>18.91</v>
      </c>
      <c r="H353" s="18" t="s">
        <v>120</v>
      </c>
      <c r="I353" s="19">
        <v>6250.0</v>
      </c>
      <c r="J353" s="19">
        <v>8150.0</v>
      </c>
      <c r="K353" s="19">
        <v>7500.0</v>
      </c>
      <c r="L353" s="18" t="s">
        <v>1403</v>
      </c>
      <c r="M353" s="18" t="s">
        <v>1404</v>
      </c>
      <c r="N353" s="18" t="s">
        <v>903</v>
      </c>
      <c r="O353" s="18" t="s">
        <v>213</v>
      </c>
      <c r="P353" s="18" t="s">
        <v>63</v>
      </c>
      <c r="Q353" s="10">
        <f t="shared" si="1"/>
        <v>1</v>
      </c>
    </row>
    <row r="354">
      <c r="A354" s="18" t="s">
        <v>154</v>
      </c>
      <c r="B354" s="18" t="s">
        <v>44</v>
      </c>
      <c r="C354" s="18" t="s">
        <v>64</v>
      </c>
      <c r="D354" s="18" t="s">
        <v>1405</v>
      </c>
      <c r="E354" s="18" t="s">
        <v>1406</v>
      </c>
      <c r="F354" s="18" t="s">
        <v>228</v>
      </c>
      <c r="G354" s="18">
        <v>18.3</v>
      </c>
      <c r="H354" s="18" t="s">
        <v>56</v>
      </c>
      <c r="I354" s="19">
        <v>5731.0</v>
      </c>
      <c r="J354" s="19">
        <v>8050.0</v>
      </c>
      <c r="K354" s="19">
        <v>6900.0</v>
      </c>
      <c r="L354" s="18" t="s">
        <v>1407</v>
      </c>
      <c r="M354" s="18" t="s">
        <v>1408</v>
      </c>
      <c r="N354" s="18" t="s">
        <v>903</v>
      </c>
      <c r="O354" s="18" t="s">
        <v>57</v>
      </c>
      <c r="P354" s="18" t="s">
        <v>157</v>
      </c>
      <c r="Q354" s="10">
        <f t="shared" si="1"/>
        <v>1</v>
      </c>
    </row>
    <row r="355">
      <c r="A355" s="18" t="s">
        <v>154</v>
      </c>
      <c r="B355" s="18" t="s">
        <v>44</v>
      </c>
      <c r="C355" s="18" t="s">
        <v>53</v>
      </c>
      <c r="D355" s="18" t="s">
        <v>1409</v>
      </c>
      <c r="E355" s="18" t="s">
        <v>1410</v>
      </c>
      <c r="F355" s="18" t="s">
        <v>228</v>
      </c>
      <c r="G355" s="18">
        <v>15.4</v>
      </c>
      <c r="H355" s="18" t="s">
        <v>56</v>
      </c>
      <c r="I355" s="19">
        <v>4799.0</v>
      </c>
      <c r="J355" s="19">
        <v>6750.0</v>
      </c>
      <c r="K355" s="19">
        <v>5800.0</v>
      </c>
      <c r="L355" s="18" t="s">
        <v>1411</v>
      </c>
      <c r="M355" s="18" t="s">
        <v>1412</v>
      </c>
      <c r="N355" s="18" t="s">
        <v>903</v>
      </c>
      <c r="O355" s="18" t="s">
        <v>57</v>
      </c>
      <c r="P355" s="18" t="s">
        <v>157</v>
      </c>
      <c r="Q355" s="10">
        <f t="shared" si="1"/>
        <v>1</v>
      </c>
    </row>
    <row r="356">
      <c r="A356" s="18" t="s">
        <v>154</v>
      </c>
      <c r="B356" s="18" t="s">
        <v>44</v>
      </c>
      <c r="C356" s="18" t="s">
        <v>53</v>
      </c>
      <c r="D356" s="18" t="s">
        <v>1413</v>
      </c>
      <c r="E356" s="18" t="s">
        <v>1414</v>
      </c>
      <c r="F356" s="18" t="s">
        <v>228</v>
      </c>
      <c r="G356" s="18">
        <v>15.1</v>
      </c>
      <c r="H356" s="18" t="s">
        <v>56</v>
      </c>
      <c r="I356" s="19">
        <v>4799.0</v>
      </c>
      <c r="J356" s="19">
        <v>6750.0</v>
      </c>
      <c r="K356" s="19">
        <v>5800.0</v>
      </c>
      <c r="L356" s="18" t="s">
        <v>1415</v>
      </c>
      <c r="M356" s="18" t="s">
        <v>1416</v>
      </c>
      <c r="N356" s="18" t="s">
        <v>903</v>
      </c>
      <c r="O356" s="18" t="s">
        <v>57</v>
      </c>
      <c r="P356" s="18" t="s">
        <v>157</v>
      </c>
      <c r="Q356" s="10">
        <f t="shared" si="1"/>
        <v>1</v>
      </c>
    </row>
    <row r="357">
      <c r="A357" s="18" t="s">
        <v>154</v>
      </c>
      <c r="B357" s="18" t="s">
        <v>44</v>
      </c>
      <c r="C357" s="18" t="s">
        <v>64</v>
      </c>
      <c r="D357" s="18" t="s">
        <v>1417</v>
      </c>
      <c r="E357" s="18" t="s">
        <v>1418</v>
      </c>
      <c r="F357" s="18" t="s">
        <v>228</v>
      </c>
      <c r="G357" s="18">
        <v>18.3</v>
      </c>
      <c r="H357" s="18" t="s">
        <v>56</v>
      </c>
      <c r="I357" s="19">
        <v>5731.0</v>
      </c>
      <c r="J357" s="19">
        <v>8050.0</v>
      </c>
      <c r="K357" s="19">
        <v>6900.0</v>
      </c>
      <c r="L357" s="18" t="s">
        <v>1419</v>
      </c>
      <c r="M357" s="18" t="s">
        <v>1420</v>
      </c>
      <c r="N357" s="18" t="s">
        <v>903</v>
      </c>
      <c r="O357" s="18" t="s">
        <v>57</v>
      </c>
      <c r="P357" s="18" t="s">
        <v>157</v>
      </c>
      <c r="Q357" s="10">
        <f t="shared" si="1"/>
        <v>1</v>
      </c>
    </row>
    <row r="358">
      <c r="A358" s="18" t="s">
        <v>154</v>
      </c>
      <c r="B358" s="18" t="s">
        <v>44</v>
      </c>
      <c r="C358" s="18" t="s">
        <v>64</v>
      </c>
      <c r="D358" s="18" t="s">
        <v>1421</v>
      </c>
      <c r="E358" s="18" t="s">
        <v>1422</v>
      </c>
      <c r="F358" s="18" t="s">
        <v>228</v>
      </c>
      <c r="G358" s="18">
        <v>18.0</v>
      </c>
      <c r="H358" s="18" t="s">
        <v>56</v>
      </c>
      <c r="I358" s="19">
        <v>5731.0</v>
      </c>
      <c r="J358" s="19">
        <v>8050.0</v>
      </c>
      <c r="K358" s="19">
        <v>6900.0</v>
      </c>
      <c r="L358" s="18" t="s">
        <v>1423</v>
      </c>
      <c r="M358" s="18" t="s">
        <v>1424</v>
      </c>
      <c r="N358" s="18" t="s">
        <v>903</v>
      </c>
      <c r="O358" s="18" t="s">
        <v>57</v>
      </c>
      <c r="P358" s="18" t="s">
        <v>157</v>
      </c>
      <c r="Q358" s="10">
        <f t="shared" si="1"/>
        <v>1</v>
      </c>
    </row>
    <row r="359">
      <c r="A359" s="18" t="s">
        <v>154</v>
      </c>
      <c r="B359" s="18" t="s">
        <v>44</v>
      </c>
      <c r="C359" s="18" t="s">
        <v>64</v>
      </c>
      <c r="D359" s="18" t="s">
        <v>1425</v>
      </c>
      <c r="E359" s="18" t="s">
        <v>1426</v>
      </c>
      <c r="F359" s="18" t="s">
        <v>228</v>
      </c>
      <c r="G359" s="18">
        <v>18.0</v>
      </c>
      <c r="H359" s="18" t="s">
        <v>56</v>
      </c>
      <c r="I359" s="19">
        <v>5731.0</v>
      </c>
      <c r="J359" s="19">
        <v>8050.0</v>
      </c>
      <c r="K359" s="19">
        <v>6900.0</v>
      </c>
      <c r="L359" s="18" t="s">
        <v>1427</v>
      </c>
      <c r="M359" s="18" t="s">
        <v>1428</v>
      </c>
      <c r="N359" s="18" t="s">
        <v>903</v>
      </c>
      <c r="O359" s="18" t="s">
        <v>57</v>
      </c>
      <c r="P359" s="18" t="s">
        <v>157</v>
      </c>
      <c r="Q359" s="10">
        <f t="shared" si="1"/>
        <v>1</v>
      </c>
    </row>
    <row r="360">
      <c r="A360" s="18" t="s">
        <v>154</v>
      </c>
      <c r="B360" s="18" t="s">
        <v>44</v>
      </c>
      <c r="C360" s="18" t="s">
        <v>64</v>
      </c>
      <c r="D360" s="18" t="s">
        <v>1429</v>
      </c>
      <c r="E360" s="18" t="s">
        <v>1430</v>
      </c>
      <c r="F360" s="18" t="s">
        <v>228</v>
      </c>
      <c r="G360" s="18">
        <v>18.1</v>
      </c>
      <c r="H360" s="18" t="s">
        <v>56</v>
      </c>
      <c r="I360" s="19">
        <v>5731.0</v>
      </c>
      <c r="J360" s="19">
        <v>8050.0</v>
      </c>
      <c r="K360" s="19">
        <v>6900.0</v>
      </c>
      <c r="L360" s="18" t="s">
        <v>1431</v>
      </c>
      <c r="M360" s="18" t="s">
        <v>1432</v>
      </c>
      <c r="N360" s="18" t="s">
        <v>903</v>
      </c>
      <c r="O360" s="18" t="s">
        <v>57</v>
      </c>
      <c r="P360" s="18" t="s">
        <v>157</v>
      </c>
      <c r="Q360" s="10">
        <f t="shared" si="1"/>
        <v>1</v>
      </c>
    </row>
    <row r="361">
      <c r="A361" s="18" t="s">
        <v>154</v>
      </c>
      <c r="B361" s="18" t="s">
        <v>44</v>
      </c>
      <c r="C361" s="18" t="s">
        <v>64</v>
      </c>
      <c r="D361" s="18" t="s">
        <v>1433</v>
      </c>
      <c r="E361" s="18" t="s">
        <v>1434</v>
      </c>
      <c r="F361" s="18" t="s">
        <v>228</v>
      </c>
      <c r="G361" s="18">
        <v>18.1</v>
      </c>
      <c r="H361" s="18" t="s">
        <v>56</v>
      </c>
      <c r="I361" s="19">
        <v>5731.0</v>
      </c>
      <c r="J361" s="19">
        <v>8050.0</v>
      </c>
      <c r="K361" s="19">
        <v>6900.0</v>
      </c>
      <c r="L361" s="18" t="s">
        <v>1435</v>
      </c>
      <c r="M361" s="18" t="s">
        <v>1436</v>
      </c>
      <c r="N361" s="18" t="s">
        <v>903</v>
      </c>
      <c r="O361" s="18" t="s">
        <v>57</v>
      </c>
      <c r="P361" s="18" t="s">
        <v>157</v>
      </c>
      <c r="Q361" s="10">
        <f t="shared" si="1"/>
        <v>1</v>
      </c>
    </row>
    <row r="362">
      <c r="A362" s="18" t="s">
        <v>154</v>
      </c>
      <c r="B362" s="18" t="s">
        <v>44</v>
      </c>
      <c r="C362" s="18" t="s">
        <v>64</v>
      </c>
      <c r="D362" s="18" t="s">
        <v>1437</v>
      </c>
      <c r="E362" s="18" t="s">
        <v>1438</v>
      </c>
      <c r="F362" s="18" t="s">
        <v>228</v>
      </c>
      <c r="G362" s="18">
        <v>18.0</v>
      </c>
      <c r="H362" s="18" t="s">
        <v>56</v>
      </c>
      <c r="I362" s="19">
        <v>5731.0</v>
      </c>
      <c r="J362" s="19">
        <v>8050.0</v>
      </c>
      <c r="K362" s="19">
        <v>6900.0</v>
      </c>
      <c r="L362" s="18" t="s">
        <v>1439</v>
      </c>
      <c r="M362" s="18" t="s">
        <v>1440</v>
      </c>
      <c r="N362" s="18" t="s">
        <v>903</v>
      </c>
      <c r="O362" s="18" t="s">
        <v>57</v>
      </c>
      <c r="P362" s="18" t="s">
        <v>157</v>
      </c>
      <c r="Q362" s="10">
        <f t="shared" si="1"/>
        <v>1</v>
      </c>
    </row>
    <row r="363">
      <c r="A363" s="18" t="s">
        <v>154</v>
      </c>
      <c r="B363" s="18" t="s">
        <v>44</v>
      </c>
      <c r="C363" s="18" t="s">
        <v>64</v>
      </c>
      <c r="D363" s="18" t="s">
        <v>1441</v>
      </c>
      <c r="E363" s="18" t="s">
        <v>1442</v>
      </c>
      <c r="F363" s="18" t="s">
        <v>228</v>
      </c>
      <c r="G363" s="18">
        <v>18.0</v>
      </c>
      <c r="H363" s="18" t="s">
        <v>56</v>
      </c>
      <c r="I363" s="19">
        <v>5731.0</v>
      </c>
      <c r="J363" s="19">
        <v>8050.0</v>
      </c>
      <c r="K363" s="19">
        <v>6900.0</v>
      </c>
      <c r="L363" s="18" t="s">
        <v>1443</v>
      </c>
      <c r="M363" s="18" t="s">
        <v>1444</v>
      </c>
      <c r="N363" s="18" t="s">
        <v>903</v>
      </c>
      <c r="O363" s="18" t="s">
        <v>57</v>
      </c>
      <c r="P363" s="18" t="s">
        <v>157</v>
      </c>
      <c r="Q363" s="10">
        <f t="shared" si="1"/>
        <v>1</v>
      </c>
    </row>
    <row r="364">
      <c r="A364" s="18" t="s">
        <v>154</v>
      </c>
      <c r="B364" s="18" t="s">
        <v>44</v>
      </c>
      <c r="C364" s="18" t="s">
        <v>64</v>
      </c>
      <c r="D364" s="18" t="s">
        <v>1445</v>
      </c>
      <c r="E364" s="18" t="s">
        <v>1446</v>
      </c>
      <c r="F364" s="18" t="s">
        <v>228</v>
      </c>
      <c r="G364" s="18">
        <v>18.0</v>
      </c>
      <c r="H364" s="18" t="s">
        <v>56</v>
      </c>
      <c r="I364" s="19">
        <v>5731.0</v>
      </c>
      <c r="J364" s="19">
        <v>8050.0</v>
      </c>
      <c r="K364" s="19">
        <v>6900.0</v>
      </c>
      <c r="L364" s="18" t="s">
        <v>1447</v>
      </c>
      <c r="M364" s="18" t="s">
        <v>1448</v>
      </c>
      <c r="N364" s="18" t="s">
        <v>903</v>
      </c>
      <c r="O364" s="18" t="s">
        <v>57</v>
      </c>
      <c r="P364" s="18" t="s">
        <v>157</v>
      </c>
      <c r="Q364" s="10">
        <f t="shared" si="1"/>
        <v>1</v>
      </c>
    </row>
    <row r="365">
      <c r="A365" s="18" t="s">
        <v>282</v>
      </c>
      <c r="B365" s="18" t="s">
        <v>44</v>
      </c>
      <c r="C365" s="18" t="s">
        <v>64</v>
      </c>
      <c r="D365" s="18" t="s">
        <v>1449</v>
      </c>
      <c r="E365" s="18" t="s">
        <v>1450</v>
      </c>
      <c r="F365" s="18" t="s">
        <v>228</v>
      </c>
      <c r="G365" s="18">
        <v>18.91</v>
      </c>
      <c r="H365" s="18" t="s">
        <v>168</v>
      </c>
      <c r="I365" s="19">
        <v>6499.0</v>
      </c>
      <c r="J365" s="19">
        <v>7800.0</v>
      </c>
      <c r="K365" s="19">
        <v>7800.0</v>
      </c>
      <c r="L365" s="18" t="s">
        <v>1451</v>
      </c>
      <c r="M365" s="18" t="s">
        <v>1452</v>
      </c>
      <c r="N365" s="18" t="s">
        <v>131</v>
      </c>
      <c r="O365" s="18" t="s">
        <v>57</v>
      </c>
      <c r="P365" s="18" t="s">
        <v>63</v>
      </c>
      <c r="Q365" s="10">
        <f t="shared" si="1"/>
        <v>1</v>
      </c>
    </row>
    <row r="366">
      <c r="A366" s="18" t="s">
        <v>154</v>
      </c>
      <c r="B366" s="18" t="s">
        <v>44</v>
      </c>
      <c r="C366" s="18" t="s">
        <v>64</v>
      </c>
      <c r="D366" s="18" t="s">
        <v>1453</v>
      </c>
      <c r="E366" s="18" t="s">
        <v>1454</v>
      </c>
      <c r="F366" s="18" t="s">
        <v>228</v>
      </c>
      <c r="G366" s="18">
        <v>18.0</v>
      </c>
      <c r="H366" s="18" t="s">
        <v>56</v>
      </c>
      <c r="I366" s="19">
        <v>5731.0</v>
      </c>
      <c r="J366" s="19">
        <v>8050.0</v>
      </c>
      <c r="K366" s="19">
        <v>6900.0</v>
      </c>
      <c r="L366" s="18" t="s">
        <v>1455</v>
      </c>
      <c r="M366" s="18" t="s">
        <v>1456</v>
      </c>
      <c r="N366" s="18" t="s">
        <v>903</v>
      </c>
      <c r="O366" s="18" t="s">
        <v>57</v>
      </c>
      <c r="P366" s="18" t="s">
        <v>157</v>
      </c>
      <c r="Q366" s="10">
        <f t="shared" si="1"/>
        <v>1</v>
      </c>
    </row>
    <row r="367">
      <c r="A367" s="18" t="s">
        <v>148</v>
      </c>
      <c r="B367" s="18" t="s">
        <v>44</v>
      </c>
      <c r="C367" s="18" t="s">
        <v>64</v>
      </c>
      <c r="D367" s="18" t="s">
        <v>1457</v>
      </c>
      <c r="E367" s="18" t="s">
        <v>1458</v>
      </c>
      <c r="F367" s="18" t="s">
        <v>228</v>
      </c>
      <c r="G367" s="18">
        <v>17.8</v>
      </c>
      <c r="H367" s="18" t="s">
        <v>56</v>
      </c>
      <c r="I367" s="19">
        <v>7096.0</v>
      </c>
      <c r="J367" s="19">
        <v>7100.0</v>
      </c>
      <c r="K367" s="19">
        <v>8550.0</v>
      </c>
      <c r="L367" s="18" t="s">
        <v>1459</v>
      </c>
      <c r="M367" s="18" t="s">
        <v>1460</v>
      </c>
      <c r="N367" s="18" t="s">
        <v>343</v>
      </c>
      <c r="O367" s="18" t="s">
        <v>57</v>
      </c>
      <c r="P367" s="18" t="s">
        <v>48</v>
      </c>
      <c r="Q367" s="10">
        <f t="shared" si="1"/>
        <v>1</v>
      </c>
    </row>
    <row r="368">
      <c r="A368" s="18" t="s">
        <v>191</v>
      </c>
      <c r="B368" s="18" t="s">
        <v>44</v>
      </c>
      <c r="C368" s="18" t="s">
        <v>64</v>
      </c>
      <c r="D368" s="18" t="s">
        <v>1461</v>
      </c>
      <c r="E368" s="18" t="s">
        <v>1462</v>
      </c>
      <c r="F368" s="18" t="s">
        <v>228</v>
      </c>
      <c r="G368" s="18">
        <v>18.96</v>
      </c>
      <c r="H368" s="18" t="s">
        <v>168</v>
      </c>
      <c r="I368" s="19">
        <v>6200.0</v>
      </c>
      <c r="J368" s="19">
        <v>8100.0</v>
      </c>
      <c r="K368" s="19"/>
      <c r="L368" s="18" t="s">
        <v>1463</v>
      </c>
      <c r="M368" s="18" t="s">
        <v>1464</v>
      </c>
      <c r="N368" s="18" t="s">
        <v>403</v>
      </c>
      <c r="O368" s="18" t="s">
        <v>57</v>
      </c>
      <c r="P368" s="18" t="s">
        <v>48</v>
      </c>
      <c r="Q368" s="10">
        <f t="shared" si="1"/>
        <v>1</v>
      </c>
    </row>
    <row r="369">
      <c r="A369" s="18" t="s">
        <v>154</v>
      </c>
      <c r="B369" s="18" t="s">
        <v>44</v>
      </c>
      <c r="C369" s="18" t="s">
        <v>64</v>
      </c>
      <c r="D369" s="18" t="s">
        <v>1465</v>
      </c>
      <c r="E369" s="18" t="s">
        <v>1466</v>
      </c>
      <c r="F369" s="18" t="s">
        <v>228</v>
      </c>
      <c r="G369" s="18">
        <v>18.3</v>
      </c>
      <c r="H369" s="18" t="s">
        <v>56</v>
      </c>
      <c r="I369" s="19">
        <v>5731.0</v>
      </c>
      <c r="J369" s="19">
        <v>8050.0</v>
      </c>
      <c r="K369" s="19">
        <v>6900.0</v>
      </c>
      <c r="L369" s="18" t="s">
        <v>1467</v>
      </c>
      <c r="M369" s="18" t="s">
        <v>1468</v>
      </c>
      <c r="N369" s="18" t="s">
        <v>903</v>
      </c>
      <c r="O369" s="18" t="s">
        <v>57</v>
      </c>
      <c r="P369" s="18" t="s">
        <v>157</v>
      </c>
      <c r="Q369" s="10">
        <f t="shared" si="1"/>
        <v>1</v>
      </c>
    </row>
    <row r="370">
      <c r="A370" s="18" t="s">
        <v>154</v>
      </c>
      <c r="B370" s="18" t="s">
        <v>44</v>
      </c>
      <c r="C370" s="18" t="s">
        <v>64</v>
      </c>
      <c r="D370" s="18" t="s">
        <v>1469</v>
      </c>
      <c r="E370" s="18" t="s">
        <v>1470</v>
      </c>
      <c r="F370" s="18" t="s">
        <v>228</v>
      </c>
      <c r="G370" s="18">
        <v>18.0</v>
      </c>
      <c r="H370" s="18" t="s">
        <v>56</v>
      </c>
      <c r="I370" s="19">
        <v>5731.0</v>
      </c>
      <c r="J370" s="19">
        <v>8050.0</v>
      </c>
      <c r="K370" s="19">
        <v>6900.0</v>
      </c>
      <c r="L370" s="18" t="s">
        <v>1471</v>
      </c>
      <c r="M370" s="18" t="s">
        <v>1472</v>
      </c>
      <c r="N370" s="18" t="s">
        <v>903</v>
      </c>
      <c r="O370" s="18" t="s">
        <v>57</v>
      </c>
      <c r="P370" s="18" t="s">
        <v>157</v>
      </c>
      <c r="Q370" s="10">
        <f t="shared" si="1"/>
        <v>1</v>
      </c>
    </row>
    <row r="371">
      <c r="A371" s="18" t="s">
        <v>154</v>
      </c>
      <c r="B371" s="18" t="s">
        <v>44</v>
      </c>
      <c r="C371" s="18" t="s">
        <v>53</v>
      </c>
      <c r="D371" s="18" t="s">
        <v>1473</v>
      </c>
      <c r="E371" s="18" t="s">
        <v>1474</v>
      </c>
      <c r="F371" s="18" t="s">
        <v>228</v>
      </c>
      <c r="G371" s="18">
        <v>15.3</v>
      </c>
      <c r="H371" s="18" t="s">
        <v>56</v>
      </c>
      <c r="I371" s="19">
        <v>4799.0</v>
      </c>
      <c r="J371" s="19">
        <v>6750.0</v>
      </c>
      <c r="K371" s="19">
        <v>5800.0</v>
      </c>
      <c r="L371" s="18" t="s">
        <v>1475</v>
      </c>
      <c r="M371" s="18" t="s">
        <v>1476</v>
      </c>
      <c r="N371" s="18" t="s">
        <v>903</v>
      </c>
      <c r="O371" s="18" t="s">
        <v>57</v>
      </c>
      <c r="P371" s="18" t="s">
        <v>157</v>
      </c>
      <c r="Q371" s="10">
        <f t="shared" si="1"/>
        <v>1</v>
      </c>
    </row>
    <row r="372">
      <c r="A372" s="18" t="s">
        <v>154</v>
      </c>
      <c r="B372" s="18" t="s">
        <v>36</v>
      </c>
      <c r="C372" s="18" t="s">
        <v>37</v>
      </c>
      <c r="D372" s="18" t="s">
        <v>1477</v>
      </c>
      <c r="E372" s="18" t="s">
        <v>1478</v>
      </c>
      <c r="F372" s="18" t="s">
        <v>228</v>
      </c>
      <c r="G372" s="18">
        <v>37.4</v>
      </c>
      <c r="H372" s="18" t="s">
        <v>40</v>
      </c>
      <c r="I372" s="19">
        <v>4988.0</v>
      </c>
      <c r="J372" s="19">
        <v>7000.0</v>
      </c>
      <c r="K372" s="19"/>
      <c r="L372" s="18" t="s">
        <v>1479</v>
      </c>
      <c r="M372" s="18" t="s">
        <v>1480</v>
      </c>
      <c r="N372" s="18" t="s">
        <v>903</v>
      </c>
      <c r="O372" s="18" t="s">
        <v>41</v>
      </c>
      <c r="P372" s="18" t="s">
        <v>157</v>
      </c>
      <c r="Q372" s="10">
        <f t="shared" si="1"/>
        <v>1</v>
      </c>
    </row>
    <row r="373">
      <c r="A373" s="18" t="s">
        <v>154</v>
      </c>
      <c r="B373" s="18" t="s">
        <v>45</v>
      </c>
      <c r="C373" s="18" t="s">
        <v>45</v>
      </c>
      <c r="D373" s="18" t="s">
        <v>1481</v>
      </c>
      <c r="E373" s="18" t="s">
        <v>1482</v>
      </c>
      <c r="F373" s="18" t="s">
        <v>228</v>
      </c>
      <c r="G373" s="18">
        <v>13.0</v>
      </c>
      <c r="H373" s="18" t="s">
        <v>45</v>
      </c>
      <c r="I373" s="19">
        <v>3580.0</v>
      </c>
      <c r="J373" s="19">
        <v>5050.0</v>
      </c>
      <c r="K373" s="19">
        <v>4350.0</v>
      </c>
      <c r="L373" s="18" t="s">
        <v>1483</v>
      </c>
      <c r="M373" s="18" t="s">
        <v>1484</v>
      </c>
      <c r="N373" s="18" t="s">
        <v>903</v>
      </c>
      <c r="O373" s="18" t="s">
        <v>57</v>
      </c>
      <c r="P373" s="18" t="s">
        <v>157</v>
      </c>
      <c r="Q373" s="10">
        <f t="shared" si="1"/>
        <v>1</v>
      </c>
    </row>
    <row r="374">
      <c r="A374" s="18" t="s">
        <v>154</v>
      </c>
      <c r="B374" s="18" t="s">
        <v>44</v>
      </c>
      <c r="C374" s="18" t="s">
        <v>64</v>
      </c>
      <c r="D374" s="18" t="s">
        <v>1485</v>
      </c>
      <c r="E374" s="18" t="s">
        <v>1486</v>
      </c>
      <c r="F374" s="18" t="s">
        <v>228</v>
      </c>
      <c r="G374" s="18">
        <v>18.0</v>
      </c>
      <c r="H374" s="18" t="s">
        <v>56</v>
      </c>
      <c r="I374" s="19">
        <v>5731.0</v>
      </c>
      <c r="J374" s="19">
        <v>8050.0</v>
      </c>
      <c r="K374" s="19">
        <v>6900.0</v>
      </c>
      <c r="L374" s="18" t="s">
        <v>1487</v>
      </c>
      <c r="M374" s="18" t="s">
        <v>1488</v>
      </c>
      <c r="N374" s="18" t="s">
        <v>903</v>
      </c>
      <c r="O374" s="18" t="s">
        <v>57</v>
      </c>
      <c r="P374" s="18" t="s">
        <v>157</v>
      </c>
      <c r="Q374" s="10">
        <f t="shared" si="1"/>
        <v>1</v>
      </c>
    </row>
    <row r="375">
      <c r="A375" s="18" t="s">
        <v>154</v>
      </c>
      <c r="B375" s="18" t="s">
        <v>44</v>
      </c>
      <c r="C375" s="18" t="s">
        <v>53</v>
      </c>
      <c r="D375" s="18" t="s">
        <v>1489</v>
      </c>
      <c r="E375" s="18" t="s">
        <v>1490</v>
      </c>
      <c r="F375" s="18" t="s">
        <v>228</v>
      </c>
      <c r="G375" s="18">
        <v>16.0</v>
      </c>
      <c r="H375" s="18" t="s">
        <v>56</v>
      </c>
      <c r="I375" s="19">
        <v>4799.0</v>
      </c>
      <c r="J375" s="19">
        <v>6750.0</v>
      </c>
      <c r="K375" s="19">
        <v>5800.0</v>
      </c>
      <c r="L375" s="18" t="s">
        <v>1491</v>
      </c>
      <c r="M375" s="18" t="s">
        <v>1492</v>
      </c>
      <c r="N375" s="18" t="s">
        <v>250</v>
      </c>
      <c r="O375" s="18" t="s">
        <v>151</v>
      </c>
      <c r="P375" s="18" t="s">
        <v>157</v>
      </c>
      <c r="Q375" s="10">
        <f t="shared" si="1"/>
        <v>1</v>
      </c>
    </row>
    <row r="376">
      <c r="A376" s="18" t="s">
        <v>1238</v>
      </c>
      <c r="B376" s="18" t="s">
        <v>44</v>
      </c>
      <c r="C376" s="18" t="s">
        <v>76</v>
      </c>
      <c r="D376" s="18" t="s">
        <v>1493</v>
      </c>
      <c r="E376" s="18" t="s">
        <v>1494</v>
      </c>
      <c r="F376" s="18" t="s">
        <v>228</v>
      </c>
      <c r="G376" s="18">
        <v>19.26</v>
      </c>
      <c r="H376" s="18" t="s">
        <v>1495</v>
      </c>
      <c r="I376" s="19">
        <v>4489.0</v>
      </c>
      <c r="J376" s="19">
        <v>5850.0</v>
      </c>
      <c r="K376" s="19"/>
      <c r="L376" s="18" t="s">
        <v>1496</v>
      </c>
      <c r="M376" s="18" t="s">
        <v>1497</v>
      </c>
      <c r="N376" s="18" t="s">
        <v>403</v>
      </c>
      <c r="O376" s="18" t="s">
        <v>41</v>
      </c>
      <c r="P376" s="18" t="s">
        <v>144</v>
      </c>
      <c r="Q376" s="10">
        <f t="shared" si="1"/>
        <v>1</v>
      </c>
    </row>
    <row r="377">
      <c r="A377" s="18" t="s">
        <v>154</v>
      </c>
      <c r="B377" s="18" t="s">
        <v>44</v>
      </c>
      <c r="C377" s="18" t="s">
        <v>53</v>
      </c>
      <c r="D377" s="18" t="s">
        <v>1498</v>
      </c>
      <c r="E377" s="18" t="s">
        <v>1499</v>
      </c>
      <c r="F377" s="18" t="s">
        <v>228</v>
      </c>
      <c r="G377" s="18">
        <v>15.3</v>
      </c>
      <c r="H377" s="18" t="s">
        <v>56</v>
      </c>
      <c r="I377" s="19">
        <v>4799.0</v>
      </c>
      <c r="J377" s="19">
        <v>6750.0</v>
      </c>
      <c r="K377" s="19">
        <v>5800.0</v>
      </c>
      <c r="L377" s="18" t="s">
        <v>1500</v>
      </c>
      <c r="M377" s="18" t="s">
        <v>1501</v>
      </c>
      <c r="N377" s="18" t="s">
        <v>903</v>
      </c>
      <c r="O377" s="18" t="s">
        <v>57</v>
      </c>
      <c r="P377" s="18" t="s">
        <v>157</v>
      </c>
      <c r="Q377" s="10">
        <f t="shared" si="1"/>
        <v>1</v>
      </c>
    </row>
    <row r="378">
      <c r="A378" s="18" t="s">
        <v>154</v>
      </c>
      <c r="B378" s="18" t="s">
        <v>44</v>
      </c>
      <c r="C378" s="18" t="s">
        <v>64</v>
      </c>
      <c r="D378" s="18" t="s">
        <v>1502</v>
      </c>
      <c r="E378" s="18" t="s">
        <v>1503</v>
      </c>
      <c r="F378" s="18" t="s">
        <v>228</v>
      </c>
      <c r="G378" s="18">
        <v>18.3</v>
      </c>
      <c r="H378" s="18" t="s">
        <v>56</v>
      </c>
      <c r="I378" s="19">
        <v>5731.0</v>
      </c>
      <c r="J378" s="19">
        <v>8050.0</v>
      </c>
      <c r="K378" s="19">
        <v>6900.0</v>
      </c>
      <c r="L378" s="18" t="s">
        <v>1504</v>
      </c>
      <c r="M378" s="18" t="s">
        <v>1505</v>
      </c>
      <c r="N378" s="18" t="s">
        <v>903</v>
      </c>
      <c r="O378" s="18" t="s">
        <v>57</v>
      </c>
      <c r="P378" s="18" t="s">
        <v>157</v>
      </c>
      <c r="Q378" s="10">
        <f t="shared" si="1"/>
        <v>1</v>
      </c>
    </row>
    <row r="379">
      <c r="A379" s="18" t="s">
        <v>364</v>
      </c>
      <c r="B379" s="18" t="s">
        <v>45</v>
      </c>
      <c r="C379" s="18" t="s">
        <v>45</v>
      </c>
      <c r="D379" s="18" t="s">
        <v>1506</v>
      </c>
      <c r="E379" s="18" t="s">
        <v>1507</v>
      </c>
      <c r="F379" s="18" t="s">
        <v>228</v>
      </c>
      <c r="G379" s="18">
        <v>10.15</v>
      </c>
      <c r="H379" s="18" t="s">
        <v>45</v>
      </c>
      <c r="I379" s="19">
        <v>1999.0</v>
      </c>
      <c r="J379" s="19">
        <v>2000.0</v>
      </c>
      <c r="K379" s="19">
        <v>2400.0</v>
      </c>
      <c r="L379" s="18" t="s">
        <v>1508</v>
      </c>
      <c r="M379" s="18" t="s">
        <v>1509</v>
      </c>
      <c r="N379" s="18" t="s">
        <v>316</v>
      </c>
      <c r="O379" s="18" t="s">
        <v>41</v>
      </c>
      <c r="P379" s="18" t="s">
        <v>369</v>
      </c>
      <c r="Q379" s="10">
        <f t="shared" si="1"/>
        <v>1</v>
      </c>
    </row>
    <row r="380">
      <c r="A380" s="18" t="s">
        <v>148</v>
      </c>
      <c r="B380" s="18" t="s">
        <v>44</v>
      </c>
      <c r="C380" s="18" t="s">
        <v>53</v>
      </c>
      <c r="D380" s="18" t="s">
        <v>1510</v>
      </c>
      <c r="E380" s="18" t="s">
        <v>1511</v>
      </c>
      <c r="F380" s="18" t="s">
        <v>228</v>
      </c>
      <c r="G380" s="18">
        <v>16.0</v>
      </c>
      <c r="H380" s="18" t="s">
        <v>56</v>
      </c>
      <c r="I380" s="19">
        <v>6678.0</v>
      </c>
      <c r="J380" s="19">
        <v>6700.0</v>
      </c>
      <c r="K380" s="19">
        <v>8050.0</v>
      </c>
      <c r="L380" s="18" t="s">
        <v>1512</v>
      </c>
      <c r="M380" s="18" t="s">
        <v>1513</v>
      </c>
      <c r="N380" s="18" t="s">
        <v>131</v>
      </c>
      <c r="O380" s="18" t="s">
        <v>151</v>
      </c>
      <c r="P380" s="18" t="s">
        <v>48</v>
      </c>
      <c r="Q380" s="10">
        <f t="shared" si="1"/>
        <v>1</v>
      </c>
    </row>
    <row r="381">
      <c r="A381" s="18" t="s">
        <v>201</v>
      </c>
      <c r="B381" s="18" t="s">
        <v>44</v>
      </c>
      <c r="C381" s="18" t="s">
        <v>133</v>
      </c>
      <c r="D381" s="18" t="s">
        <v>1514</v>
      </c>
      <c r="E381" s="18" t="s">
        <v>1515</v>
      </c>
      <c r="F381" s="18" t="s">
        <v>228</v>
      </c>
      <c r="G381" s="18">
        <v>13.56</v>
      </c>
      <c r="H381" s="18" t="s">
        <v>56</v>
      </c>
      <c r="I381" s="19">
        <v>2800.0</v>
      </c>
      <c r="J381" s="19">
        <v>3400.0</v>
      </c>
      <c r="K381" s="19">
        <v>3250.0</v>
      </c>
      <c r="L381" s="18" t="s">
        <v>1516</v>
      </c>
      <c r="M381" s="18" t="s">
        <v>1517</v>
      </c>
      <c r="N381" s="18" t="s">
        <v>403</v>
      </c>
      <c r="O381" s="18" t="s">
        <v>57</v>
      </c>
      <c r="P381" s="18"/>
      <c r="Q381" s="10">
        <f t="shared" si="1"/>
        <v>1</v>
      </c>
    </row>
    <row r="382">
      <c r="A382" s="18" t="s">
        <v>148</v>
      </c>
      <c r="B382" s="18" t="s">
        <v>44</v>
      </c>
      <c r="C382" s="18" t="s">
        <v>180</v>
      </c>
      <c r="D382" s="18" t="s">
        <v>1518</v>
      </c>
      <c r="E382" s="18" t="s">
        <v>1519</v>
      </c>
      <c r="F382" s="18" t="s">
        <v>228</v>
      </c>
      <c r="G382" s="18">
        <v>22.1</v>
      </c>
      <c r="H382" s="18" t="s">
        <v>56</v>
      </c>
      <c r="I382" s="19">
        <v>8349.0</v>
      </c>
      <c r="J382" s="19">
        <v>8350.0</v>
      </c>
      <c r="K382" s="19">
        <v>10050.0</v>
      </c>
      <c r="L382" s="18" t="s">
        <v>1520</v>
      </c>
      <c r="M382" s="18" t="s">
        <v>1521</v>
      </c>
      <c r="N382" s="18" t="s">
        <v>403</v>
      </c>
      <c r="O382" s="18" t="s">
        <v>151</v>
      </c>
      <c r="P382" s="18" t="s">
        <v>48</v>
      </c>
      <c r="Q382" s="10">
        <f t="shared" si="1"/>
        <v>1</v>
      </c>
    </row>
    <row r="383">
      <c r="A383" s="18" t="s">
        <v>148</v>
      </c>
      <c r="B383" s="18" t="s">
        <v>45</v>
      </c>
      <c r="C383" s="18" t="s">
        <v>45</v>
      </c>
      <c r="D383" s="18" t="s">
        <v>1522</v>
      </c>
      <c r="E383" s="18" t="s">
        <v>1523</v>
      </c>
      <c r="F383" s="18" t="s">
        <v>228</v>
      </c>
      <c r="G383" s="18">
        <v>8.8</v>
      </c>
      <c r="H383" s="18" t="s">
        <v>45</v>
      </c>
      <c r="I383" s="19">
        <v>4171.0</v>
      </c>
      <c r="J383" s="19">
        <v>4200.0</v>
      </c>
      <c r="K383" s="19">
        <v>5050.0</v>
      </c>
      <c r="L383" s="18" t="s">
        <v>1524</v>
      </c>
      <c r="M383" s="18" t="s">
        <v>1525</v>
      </c>
      <c r="N383" s="18" t="s">
        <v>143</v>
      </c>
      <c r="O383" s="18" t="s">
        <v>57</v>
      </c>
      <c r="P383" s="18" t="s">
        <v>48</v>
      </c>
      <c r="Q383" s="10">
        <f t="shared" si="1"/>
        <v>1</v>
      </c>
    </row>
    <row r="384">
      <c r="A384" s="18" t="s">
        <v>148</v>
      </c>
      <c r="B384" s="18" t="s">
        <v>45</v>
      </c>
      <c r="C384" s="18" t="s">
        <v>45</v>
      </c>
      <c r="D384" s="18" t="s">
        <v>1526</v>
      </c>
      <c r="E384" s="18" t="s">
        <v>1527</v>
      </c>
      <c r="F384" s="18" t="s">
        <v>228</v>
      </c>
      <c r="G384" s="18">
        <v>13.7</v>
      </c>
      <c r="H384" s="18"/>
      <c r="I384" s="19">
        <v>4171.0</v>
      </c>
      <c r="J384" s="19">
        <v>4200.0</v>
      </c>
      <c r="K384" s="19"/>
      <c r="L384" s="18" t="s">
        <v>1528</v>
      </c>
      <c r="M384" s="18" t="s">
        <v>1529</v>
      </c>
      <c r="N384" s="18" t="s">
        <v>903</v>
      </c>
      <c r="O384" s="18" t="s">
        <v>151</v>
      </c>
      <c r="P384" s="18" t="s">
        <v>48</v>
      </c>
      <c r="Q384" s="10">
        <f t="shared" si="1"/>
        <v>1</v>
      </c>
    </row>
    <row r="385">
      <c r="A385" s="18" t="s">
        <v>158</v>
      </c>
      <c r="B385" s="18" t="s">
        <v>44</v>
      </c>
      <c r="C385" s="18" t="s">
        <v>64</v>
      </c>
      <c r="D385" s="18" t="s">
        <v>1530</v>
      </c>
      <c r="E385" s="18" t="s">
        <v>1531</v>
      </c>
      <c r="F385" s="18" t="s">
        <v>228</v>
      </c>
      <c r="G385" s="18">
        <v>17.93</v>
      </c>
      <c r="H385" s="18" t="s">
        <v>120</v>
      </c>
      <c r="I385" s="19">
        <v>5516.0</v>
      </c>
      <c r="J385" s="19">
        <v>5550.0</v>
      </c>
      <c r="K385" s="19">
        <v>6700.0</v>
      </c>
      <c r="L385" s="18" t="s">
        <v>1532</v>
      </c>
      <c r="M385" s="18" t="s">
        <v>1533</v>
      </c>
      <c r="N385" s="18" t="s">
        <v>316</v>
      </c>
      <c r="O385" s="18" t="s">
        <v>41</v>
      </c>
      <c r="P385" s="18" t="s">
        <v>162</v>
      </c>
      <c r="Q385" s="10">
        <f t="shared" si="1"/>
        <v>1</v>
      </c>
    </row>
    <row r="386">
      <c r="A386" s="18" t="s">
        <v>1029</v>
      </c>
      <c r="B386" s="18" t="s">
        <v>44</v>
      </c>
      <c r="C386" s="18" t="s">
        <v>53</v>
      </c>
      <c r="D386" s="18" t="s">
        <v>1534</v>
      </c>
      <c r="E386" s="18" t="s">
        <v>1535</v>
      </c>
      <c r="F386" s="18" t="s">
        <v>228</v>
      </c>
      <c r="G386" s="18">
        <v>15.35</v>
      </c>
      <c r="H386" s="18" t="s">
        <v>56</v>
      </c>
      <c r="I386" s="19">
        <v>450.0</v>
      </c>
      <c r="J386" s="19">
        <v>360.0</v>
      </c>
      <c r="K386" s="19"/>
      <c r="L386" s="18" t="s">
        <v>1536</v>
      </c>
      <c r="M386" s="18" t="s">
        <v>1537</v>
      </c>
      <c r="N386" s="18" t="s">
        <v>1034</v>
      </c>
      <c r="O386" s="18" t="s">
        <v>57</v>
      </c>
      <c r="P386" s="18"/>
      <c r="Q386" s="10">
        <f t="shared" si="1"/>
        <v>1</v>
      </c>
    </row>
    <row r="387">
      <c r="A387" s="18" t="s">
        <v>148</v>
      </c>
      <c r="B387" s="18" t="s">
        <v>45</v>
      </c>
      <c r="C387" s="18" t="s">
        <v>45</v>
      </c>
      <c r="D387" s="18" t="s">
        <v>1538</v>
      </c>
      <c r="E387" s="18" t="s">
        <v>1539</v>
      </c>
      <c r="F387" s="18" t="s">
        <v>228</v>
      </c>
      <c r="G387" s="18">
        <v>10.0</v>
      </c>
      <c r="H387" s="18" t="s">
        <v>45</v>
      </c>
      <c r="I387" s="19">
        <v>4171.0</v>
      </c>
      <c r="J387" s="19">
        <v>4200.0</v>
      </c>
      <c r="K387" s="19">
        <v>5050.0</v>
      </c>
      <c r="L387" s="18" t="s">
        <v>1540</v>
      </c>
      <c r="M387" s="18" t="s">
        <v>1541</v>
      </c>
      <c r="N387" s="18" t="s">
        <v>343</v>
      </c>
      <c r="O387" s="18" t="s">
        <v>57</v>
      </c>
      <c r="P387" s="18" t="s">
        <v>48</v>
      </c>
      <c r="Q387" s="10">
        <f t="shared" si="1"/>
        <v>1</v>
      </c>
    </row>
    <row r="388">
      <c r="A388" s="18" t="s">
        <v>191</v>
      </c>
      <c r="B388" s="18" t="s">
        <v>45</v>
      </c>
      <c r="C388" s="18" t="s">
        <v>45</v>
      </c>
      <c r="D388" s="18" t="s">
        <v>1542</v>
      </c>
      <c r="E388" s="18" t="s">
        <v>1543</v>
      </c>
      <c r="F388" s="18" t="s">
        <v>228</v>
      </c>
      <c r="G388" s="18">
        <v>11.26</v>
      </c>
      <c r="H388" s="18" t="s">
        <v>45</v>
      </c>
      <c r="I388" s="19">
        <v>3900.0</v>
      </c>
      <c r="J388" s="19">
        <v>5100.0</v>
      </c>
      <c r="K388" s="19"/>
      <c r="L388" s="18" t="s">
        <v>1544</v>
      </c>
      <c r="M388" s="18" t="s">
        <v>1545</v>
      </c>
      <c r="N388" s="18" t="s">
        <v>903</v>
      </c>
      <c r="O388" s="18" t="s">
        <v>57</v>
      </c>
      <c r="P388" s="18" t="s">
        <v>48</v>
      </c>
      <c r="Q388" s="10">
        <f t="shared" si="1"/>
        <v>1</v>
      </c>
    </row>
    <row r="389">
      <c r="A389" s="18" t="s">
        <v>154</v>
      </c>
      <c r="B389" s="18" t="s">
        <v>45</v>
      </c>
      <c r="C389" s="18" t="s">
        <v>45</v>
      </c>
      <c r="D389" s="18" t="s">
        <v>1546</v>
      </c>
      <c r="E389" s="18" t="s">
        <v>1547</v>
      </c>
      <c r="F389" s="18" t="s">
        <v>228</v>
      </c>
      <c r="G389" s="18">
        <v>11.0</v>
      </c>
      <c r="H389" s="18" t="s">
        <v>45</v>
      </c>
      <c r="I389" s="19">
        <v>3580.0</v>
      </c>
      <c r="J389" s="19">
        <v>5050.0</v>
      </c>
      <c r="K389" s="19">
        <v>4350.0</v>
      </c>
      <c r="L389" s="18" t="s">
        <v>1548</v>
      </c>
      <c r="M389" s="18" t="s">
        <v>1549</v>
      </c>
      <c r="N389" s="18" t="s">
        <v>1146</v>
      </c>
      <c r="O389" s="18" t="s">
        <v>151</v>
      </c>
      <c r="P389" s="18" t="s">
        <v>157</v>
      </c>
      <c r="Q389" s="10">
        <f t="shared" si="1"/>
        <v>1</v>
      </c>
    </row>
    <row r="390">
      <c r="A390" s="18" t="s">
        <v>49</v>
      </c>
      <c r="B390" s="18" t="s">
        <v>44</v>
      </c>
      <c r="C390" s="18" t="s">
        <v>76</v>
      </c>
      <c r="D390" s="18" t="s">
        <v>1550</v>
      </c>
      <c r="E390" s="18" t="s">
        <v>1551</v>
      </c>
      <c r="F390" s="18" t="s">
        <v>228</v>
      </c>
      <c r="G390" s="18">
        <v>19.08</v>
      </c>
      <c r="H390" s="18" t="s">
        <v>120</v>
      </c>
      <c r="I390" s="19">
        <v>7320.0</v>
      </c>
      <c r="J390" s="19">
        <v>8450.0</v>
      </c>
      <c r="K390" s="19">
        <v>8850.0</v>
      </c>
      <c r="L390" s="18" t="s">
        <v>1552</v>
      </c>
      <c r="M390" s="18" t="s">
        <v>1553</v>
      </c>
      <c r="N390" s="18" t="s">
        <v>903</v>
      </c>
      <c r="O390" s="18" t="s">
        <v>57</v>
      </c>
      <c r="P390" s="18" t="s">
        <v>48</v>
      </c>
      <c r="Q390" s="10">
        <f t="shared" si="1"/>
        <v>1</v>
      </c>
    </row>
    <row r="391">
      <c r="A391" s="18" t="s">
        <v>216</v>
      </c>
      <c r="B391" s="18" t="s">
        <v>45</v>
      </c>
      <c r="C391" s="18" t="s">
        <v>45</v>
      </c>
      <c r="D391" s="18" t="s">
        <v>1554</v>
      </c>
      <c r="E391" s="18" t="s">
        <v>1555</v>
      </c>
      <c r="F391" s="18" t="s">
        <v>228</v>
      </c>
      <c r="G391" s="18">
        <v>8.47</v>
      </c>
      <c r="H391" s="18" t="s">
        <v>45</v>
      </c>
      <c r="I391" s="19">
        <v>3194.0</v>
      </c>
      <c r="J391" s="19">
        <v>4500.0</v>
      </c>
      <c r="K391" s="19">
        <v>3850.0</v>
      </c>
      <c r="L391" s="18" t="s">
        <v>1556</v>
      </c>
      <c r="M391" s="18" t="s">
        <v>1557</v>
      </c>
      <c r="N391" s="18" t="s">
        <v>343</v>
      </c>
      <c r="O391" s="18" t="s">
        <v>83</v>
      </c>
      <c r="P391" s="18" t="s">
        <v>42</v>
      </c>
      <c r="Q391" s="10">
        <f t="shared" si="1"/>
        <v>1</v>
      </c>
    </row>
    <row r="392">
      <c r="A392" s="18" t="s">
        <v>282</v>
      </c>
      <c r="B392" s="18" t="s">
        <v>44</v>
      </c>
      <c r="C392" s="18" t="s">
        <v>64</v>
      </c>
      <c r="D392" s="18" t="s">
        <v>1558</v>
      </c>
      <c r="E392" s="18" t="s">
        <v>1559</v>
      </c>
      <c r="F392" s="18" t="s">
        <v>228</v>
      </c>
      <c r="G392" s="18">
        <v>17.44</v>
      </c>
      <c r="H392" s="18" t="s">
        <v>120</v>
      </c>
      <c r="I392" s="19">
        <v>5767.0</v>
      </c>
      <c r="J392" s="19">
        <v>6950.0</v>
      </c>
      <c r="K392" s="19">
        <v>7000.0</v>
      </c>
      <c r="L392" s="18" t="s">
        <v>1560</v>
      </c>
      <c r="M392" s="18" t="s">
        <v>977</v>
      </c>
      <c r="N392" s="18" t="s">
        <v>403</v>
      </c>
      <c r="O392" s="18" t="s">
        <v>41</v>
      </c>
      <c r="P392" s="18" t="s">
        <v>63</v>
      </c>
      <c r="Q392" s="10">
        <f t="shared" si="1"/>
        <v>1</v>
      </c>
    </row>
    <row r="393">
      <c r="A393" s="18" t="s">
        <v>148</v>
      </c>
      <c r="B393" s="18" t="s">
        <v>44</v>
      </c>
      <c r="C393" s="18" t="s">
        <v>180</v>
      </c>
      <c r="D393" s="18" t="s">
        <v>1561</v>
      </c>
      <c r="E393" s="18" t="s">
        <v>1562</v>
      </c>
      <c r="F393" s="18" t="s">
        <v>228</v>
      </c>
      <c r="G393" s="18">
        <v>22.2</v>
      </c>
      <c r="H393" s="18" t="s">
        <v>56</v>
      </c>
      <c r="I393" s="19">
        <v>8349.0</v>
      </c>
      <c r="J393" s="19">
        <v>8350.0</v>
      </c>
      <c r="K393" s="19">
        <v>10050.0</v>
      </c>
      <c r="L393" s="18" t="s">
        <v>1563</v>
      </c>
      <c r="M393" s="18" t="s">
        <v>1564</v>
      </c>
      <c r="N393" s="18" t="s">
        <v>240</v>
      </c>
      <c r="O393" s="18" t="s">
        <v>151</v>
      </c>
      <c r="P393" s="18" t="s">
        <v>48</v>
      </c>
      <c r="Q393" s="10">
        <f t="shared" si="1"/>
        <v>1</v>
      </c>
    </row>
    <row r="394">
      <c r="A394" s="18" t="s">
        <v>112</v>
      </c>
      <c r="B394" s="18" t="s">
        <v>45</v>
      </c>
      <c r="C394" s="18" t="s">
        <v>45</v>
      </c>
      <c r="D394" s="18" t="s">
        <v>1565</v>
      </c>
      <c r="E394" s="18" t="s">
        <v>1566</v>
      </c>
      <c r="F394" s="18" t="s">
        <v>228</v>
      </c>
      <c r="G394" s="18">
        <v>10.6</v>
      </c>
      <c r="H394" s="18" t="s">
        <v>45</v>
      </c>
      <c r="I394" s="19">
        <v>3257.0</v>
      </c>
      <c r="J394" s="19">
        <v>4600.0</v>
      </c>
      <c r="K394" s="19">
        <v>4000.0</v>
      </c>
      <c r="L394" s="18" t="s">
        <v>1567</v>
      </c>
      <c r="M394" s="18" t="s">
        <v>1568</v>
      </c>
      <c r="N394" s="18" t="s">
        <v>403</v>
      </c>
      <c r="O394" s="18" t="s">
        <v>198</v>
      </c>
      <c r="P394" s="18" t="s">
        <v>42</v>
      </c>
      <c r="Q394" s="10">
        <f t="shared" si="1"/>
        <v>1</v>
      </c>
    </row>
    <row r="395">
      <c r="A395" s="18" t="s">
        <v>171</v>
      </c>
      <c r="B395" s="18" t="s">
        <v>45</v>
      </c>
      <c r="C395" s="18" t="s">
        <v>45</v>
      </c>
      <c r="D395" s="18" t="s">
        <v>1569</v>
      </c>
      <c r="E395" s="18" t="s">
        <v>1570</v>
      </c>
      <c r="F395" s="18" t="s">
        <v>228</v>
      </c>
      <c r="G395" s="18">
        <v>10.41</v>
      </c>
      <c r="H395" s="18" t="s">
        <v>45</v>
      </c>
      <c r="I395" s="19">
        <v>1990.0</v>
      </c>
      <c r="J395" s="19">
        <v>2300.0</v>
      </c>
      <c r="K395" s="19">
        <v>3000.0</v>
      </c>
      <c r="L395" s="18" t="s">
        <v>1571</v>
      </c>
      <c r="M395" s="18" t="s">
        <v>1572</v>
      </c>
      <c r="N395" s="18" t="s">
        <v>403</v>
      </c>
      <c r="O395" s="18" t="s">
        <v>198</v>
      </c>
      <c r="P395" s="18"/>
      <c r="Q395" s="10">
        <f t="shared" si="1"/>
        <v>1</v>
      </c>
    </row>
    <row r="396">
      <c r="A396" s="18" t="s">
        <v>132</v>
      </c>
      <c r="B396" s="18" t="s">
        <v>45</v>
      </c>
      <c r="C396" s="18" t="s">
        <v>45</v>
      </c>
      <c r="D396" s="18" t="s">
        <v>1573</v>
      </c>
      <c r="E396" s="18" t="s">
        <v>1574</v>
      </c>
      <c r="F396" s="18" t="s">
        <v>228</v>
      </c>
      <c r="G396" s="18">
        <v>10.46</v>
      </c>
      <c r="H396" s="18" t="s">
        <v>400</v>
      </c>
      <c r="I396" s="19">
        <v>1822.08</v>
      </c>
      <c r="J396" s="19">
        <v>1500.0</v>
      </c>
      <c r="K396" s="19">
        <v>5050.0</v>
      </c>
      <c r="L396" s="18" t="s">
        <v>1575</v>
      </c>
      <c r="M396" s="18" t="s">
        <v>1576</v>
      </c>
      <c r="N396" s="18" t="s">
        <v>403</v>
      </c>
      <c r="O396" s="18" t="s">
        <v>41</v>
      </c>
      <c r="P396" s="18"/>
      <c r="Q396" s="10">
        <f t="shared" si="1"/>
        <v>1</v>
      </c>
    </row>
    <row r="397">
      <c r="A397" s="18" t="s">
        <v>148</v>
      </c>
      <c r="B397" s="18" t="s">
        <v>45</v>
      </c>
      <c r="C397" s="18" t="s">
        <v>45</v>
      </c>
      <c r="D397" s="18" t="s">
        <v>1577</v>
      </c>
      <c r="E397" s="18" t="s">
        <v>1578</v>
      </c>
      <c r="F397" s="18" t="s">
        <v>228</v>
      </c>
      <c r="G397" s="18">
        <v>8.8</v>
      </c>
      <c r="H397" s="18" t="s">
        <v>45</v>
      </c>
      <c r="I397" s="19">
        <v>4171.0</v>
      </c>
      <c r="J397" s="19">
        <v>4200.0</v>
      </c>
      <c r="K397" s="19">
        <v>5050.0</v>
      </c>
      <c r="L397" s="18" t="s">
        <v>1579</v>
      </c>
      <c r="M397" s="18" t="s">
        <v>1580</v>
      </c>
      <c r="N397" s="18" t="s">
        <v>403</v>
      </c>
      <c r="O397" s="18" t="s">
        <v>57</v>
      </c>
      <c r="P397" s="18" t="s">
        <v>48</v>
      </c>
      <c r="Q397" s="10">
        <f t="shared" si="1"/>
        <v>1</v>
      </c>
    </row>
    <row r="398">
      <c r="A398" s="18" t="s">
        <v>225</v>
      </c>
      <c r="B398" s="18" t="s">
        <v>45</v>
      </c>
      <c r="C398" s="18" t="s">
        <v>45</v>
      </c>
      <c r="D398" s="18" t="s">
        <v>1581</v>
      </c>
      <c r="E398" s="18" t="s">
        <v>1582</v>
      </c>
      <c r="F398" s="18" t="s">
        <v>228</v>
      </c>
      <c r="G398" s="18">
        <v>9.0</v>
      </c>
      <c r="H398" s="18" t="s">
        <v>45</v>
      </c>
      <c r="I398" s="19">
        <v>3100.0</v>
      </c>
      <c r="J398" s="19">
        <v>4050.0</v>
      </c>
      <c r="K398" s="19">
        <v>3600.0</v>
      </c>
      <c r="L398" s="18" t="s">
        <v>1583</v>
      </c>
      <c r="M398" s="18" t="s">
        <v>1584</v>
      </c>
      <c r="N398" s="18" t="s">
        <v>403</v>
      </c>
      <c r="O398" s="18" t="s">
        <v>161</v>
      </c>
      <c r="P398" s="18" t="s">
        <v>162</v>
      </c>
      <c r="Q398" s="10">
        <f t="shared" si="1"/>
        <v>1</v>
      </c>
    </row>
    <row r="399">
      <c r="A399" s="18" t="s">
        <v>132</v>
      </c>
      <c r="B399" s="18" t="s">
        <v>44</v>
      </c>
      <c r="C399" s="18" t="s">
        <v>151</v>
      </c>
      <c r="D399" s="18" t="s">
        <v>1585</v>
      </c>
      <c r="E399" s="18" t="s">
        <v>1586</v>
      </c>
      <c r="F399" s="18" t="s">
        <v>228</v>
      </c>
      <c r="G399" s="18">
        <v>24.65</v>
      </c>
      <c r="H399" s="18" t="s">
        <v>574</v>
      </c>
      <c r="I399" s="19">
        <v>4563.0</v>
      </c>
      <c r="J399" s="19">
        <v>3700.0</v>
      </c>
      <c r="K399" s="19">
        <v>3500.0</v>
      </c>
      <c r="L399" s="18" t="s">
        <v>1587</v>
      </c>
      <c r="M399" s="18" t="s">
        <v>1533</v>
      </c>
      <c r="N399" s="18" t="s">
        <v>240</v>
      </c>
      <c r="O399" s="18" t="s">
        <v>41</v>
      </c>
      <c r="P399" s="18"/>
      <c r="Q399" s="10">
        <f t="shared" si="1"/>
        <v>1</v>
      </c>
    </row>
    <row r="400">
      <c r="A400" s="18" t="s">
        <v>364</v>
      </c>
      <c r="B400" s="18" t="s">
        <v>44</v>
      </c>
      <c r="C400" s="18" t="s">
        <v>64</v>
      </c>
      <c r="D400" s="18" t="s">
        <v>1588</v>
      </c>
      <c r="E400" s="18" t="s">
        <v>1589</v>
      </c>
      <c r="F400" s="18" t="s">
        <v>228</v>
      </c>
      <c r="G400" s="18">
        <v>17.92</v>
      </c>
      <c r="H400" s="18" t="s">
        <v>120</v>
      </c>
      <c r="I400" s="19">
        <v>4500.0</v>
      </c>
      <c r="J400" s="19">
        <v>4500.0</v>
      </c>
      <c r="K400" s="19">
        <v>5400.0</v>
      </c>
      <c r="L400" s="18" t="s">
        <v>1590</v>
      </c>
      <c r="M400" s="18" t="s">
        <v>1591</v>
      </c>
      <c r="N400" s="18" t="s">
        <v>491</v>
      </c>
      <c r="O400" s="18" t="s">
        <v>41</v>
      </c>
      <c r="P400" s="18" t="s">
        <v>369</v>
      </c>
      <c r="Q400" s="10">
        <f t="shared" si="1"/>
        <v>1</v>
      </c>
    </row>
    <row r="401">
      <c r="A401" s="18" t="s">
        <v>1238</v>
      </c>
      <c r="B401" s="18" t="s">
        <v>44</v>
      </c>
      <c r="C401" s="18" t="s">
        <v>53</v>
      </c>
      <c r="D401" s="18" t="s">
        <v>1592</v>
      </c>
      <c r="E401" s="18" t="s">
        <v>1593</v>
      </c>
      <c r="F401" s="18" t="s">
        <v>228</v>
      </c>
      <c r="G401" s="18">
        <v>15.59</v>
      </c>
      <c r="H401" s="18" t="s">
        <v>1242</v>
      </c>
      <c r="I401" s="19">
        <v>3600.0</v>
      </c>
      <c r="J401" s="19">
        <v>4700.0</v>
      </c>
      <c r="K401" s="19"/>
      <c r="L401" s="18" t="s">
        <v>1594</v>
      </c>
      <c r="M401" s="18" t="s">
        <v>1595</v>
      </c>
      <c r="N401" s="18" t="s">
        <v>240</v>
      </c>
      <c r="O401" s="18" t="s">
        <v>41</v>
      </c>
      <c r="P401" s="18" t="s">
        <v>144</v>
      </c>
      <c r="Q401" s="10">
        <f t="shared" si="1"/>
        <v>1</v>
      </c>
    </row>
    <row r="402">
      <c r="A402" s="18" t="s">
        <v>1596</v>
      </c>
      <c r="B402" s="18" t="s">
        <v>44</v>
      </c>
      <c r="C402" s="18" t="s">
        <v>151</v>
      </c>
      <c r="D402" s="18" t="s">
        <v>1597</v>
      </c>
      <c r="E402" s="18" t="s">
        <v>1598</v>
      </c>
      <c r="F402" s="18" t="s">
        <v>228</v>
      </c>
      <c r="G402" s="18">
        <v>26.91</v>
      </c>
      <c r="H402" s="18" t="s">
        <v>168</v>
      </c>
      <c r="I402" s="19">
        <v>5096.0</v>
      </c>
      <c r="J402" s="19">
        <v>5400.0</v>
      </c>
      <c r="K402" s="19"/>
      <c r="L402" s="18" t="s">
        <v>1599</v>
      </c>
      <c r="M402" s="18" t="s">
        <v>1600</v>
      </c>
      <c r="N402" s="18" t="s">
        <v>131</v>
      </c>
      <c r="O402" s="18" t="s">
        <v>41</v>
      </c>
      <c r="P402" s="18" t="s">
        <v>162</v>
      </c>
      <c r="Q402" s="10">
        <f t="shared" si="1"/>
        <v>1</v>
      </c>
    </row>
    <row r="403">
      <c r="A403" s="18" t="s">
        <v>138</v>
      </c>
      <c r="B403" s="18" t="s">
        <v>44</v>
      </c>
      <c r="C403" s="18" t="s">
        <v>53</v>
      </c>
      <c r="D403" s="18" t="s">
        <v>1601</v>
      </c>
      <c r="E403" s="18" t="s">
        <v>1602</v>
      </c>
      <c r="F403" s="18" t="s">
        <v>228</v>
      </c>
      <c r="G403" s="18">
        <v>15.88</v>
      </c>
      <c r="H403" s="18" t="s">
        <v>56</v>
      </c>
      <c r="I403" s="19">
        <v>3529.0</v>
      </c>
      <c r="J403" s="19">
        <v>5150.0</v>
      </c>
      <c r="K403" s="19">
        <v>4300.0</v>
      </c>
      <c r="L403" s="18" t="s">
        <v>1603</v>
      </c>
      <c r="M403" s="18" t="s">
        <v>1604</v>
      </c>
      <c r="N403" s="18" t="s">
        <v>763</v>
      </c>
      <c r="O403" s="18" t="s">
        <v>41</v>
      </c>
      <c r="P403" s="18" t="s">
        <v>144</v>
      </c>
      <c r="Q403" s="10">
        <f t="shared" si="1"/>
        <v>1</v>
      </c>
    </row>
    <row r="404">
      <c r="A404" s="18" t="s">
        <v>158</v>
      </c>
      <c r="B404" s="18" t="s">
        <v>44</v>
      </c>
      <c r="C404" s="18" t="s">
        <v>53</v>
      </c>
      <c r="D404" s="18" t="s">
        <v>1605</v>
      </c>
      <c r="E404" s="18" t="s">
        <v>1606</v>
      </c>
      <c r="F404" s="18" t="s">
        <v>228</v>
      </c>
      <c r="G404" s="18">
        <v>15.64</v>
      </c>
      <c r="H404" s="18" t="s">
        <v>120</v>
      </c>
      <c r="I404" s="19">
        <v>5091.0</v>
      </c>
      <c r="J404" s="19">
        <v>5100.0</v>
      </c>
      <c r="K404" s="19">
        <v>6150.0</v>
      </c>
      <c r="L404" s="18" t="s">
        <v>1607</v>
      </c>
      <c r="M404" s="18" t="s">
        <v>1608</v>
      </c>
      <c r="N404" s="18" t="s">
        <v>403</v>
      </c>
      <c r="O404" s="18" t="s">
        <v>161</v>
      </c>
      <c r="P404" s="18" t="s">
        <v>162</v>
      </c>
      <c r="Q404" s="10">
        <f t="shared" si="1"/>
        <v>1</v>
      </c>
    </row>
    <row r="405">
      <c r="A405" s="18" t="s">
        <v>158</v>
      </c>
      <c r="B405" s="18" t="s">
        <v>44</v>
      </c>
      <c r="C405" s="18" t="s">
        <v>53</v>
      </c>
      <c r="D405" s="18" t="s">
        <v>1609</v>
      </c>
      <c r="E405" s="18" t="s">
        <v>1610</v>
      </c>
      <c r="F405" s="18" t="s">
        <v>228</v>
      </c>
      <c r="G405" s="18">
        <v>15.19</v>
      </c>
      <c r="H405" s="18" t="s">
        <v>120</v>
      </c>
      <c r="I405" s="19">
        <v>5091.0</v>
      </c>
      <c r="J405" s="19">
        <v>5100.0</v>
      </c>
      <c r="K405" s="19">
        <v>6150.0</v>
      </c>
      <c r="L405" s="18" t="s">
        <v>1611</v>
      </c>
      <c r="M405" s="18" t="s">
        <v>1608</v>
      </c>
      <c r="N405" s="18" t="s">
        <v>403</v>
      </c>
      <c r="O405" s="18" t="s">
        <v>161</v>
      </c>
      <c r="P405" s="18" t="s">
        <v>162</v>
      </c>
      <c r="Q405" s="10">
        <f t="shared" si="1"/>
        <v>1</v>
      </c>
    </row>
    <row r="406">
      <c r="A406" s="18" t="s">
        <v>912</v>
      </c>
      <c r="B406" s="18" t="s">
        <v>45</v>
      </c>
      <c r="C406" s="18" t="s">
        <v>45</v>
      </c>
      <c r="D406" s="18" t="s">
        <v>1612</v>
      </c>
      <c r="E406" s="18" t="s">
        <v>1613</v>
      </c>
      <c r="F406" s="18" t="s">
        <v>228</v>
      </c>
      <c r="G406" s="18">
        <v>11.21</v>
      </c>
      <c r="H406" s="18" t="s">
        <v>45</v>
      </c>
      <c r="I406" s="19">
        <v>2600.0</v>
      </c>
      <c r="J406" s="19">
        <v>3250.0</v>
      </c>
      <c r="K406" s="19">
        <v>3000.0</v>
      </c>
      <c r="L406" s="18" t="s">
        <v>1614</v>
      </c>
      <c r="M406" s="18" t="s">
        <v>1615</v>
      </c>
      <c r="N406" s="18" t="s">
        <v>143</v>
      </c>
      <c r="O406" s="18" t="s">
        <v>41</v>
      </c>
      <c r="P406" s="18" t="s">
        <v>917</v>
      </c>
      <c r="Q406" s="10">
        <f t="shared" si="1"/>
        <v>1</v>
      </c>
    </row>
    <row r="407">
      <c r="A407" s="18" t="s">
        <v>201</v>
      </c>
      <c r="B407" s="18" t="s">
        <v>44</v>
      </c>
      <c r="C407" s="18" t="s">
        <v>53</v>
      </c>
      <c r="D407" s="18" t="s">
        <v>1616</v>
      </c>
      <c r="E407" s="18" t="s">
        <v>1617</v>
      </c>
      <c r="F407" s="18" t="s">
        <v>228</v>
      </c>
      <c r="G407" s="18">
        <v>16.36</v>
      </c>
      <c r="H407" s="18" t="s">
        <v>56</v>
      </c>
      <c r="I407" s="19">
        <v>3150.0</v>
      </c>
      <c r="J407" s="19">
        <v>3800.0</v>
      </c>
      <c r="K407" s="19">
        <v>3700.0</v>
      </c>
      <c r="L407" s="18" t="s">
        <v>1618</v>
      </c>
      <c r="M407" s="18" t="s">
        <v>1619</v>
      </c>
      <c r="N407" s="18" t="s">
        <v>240</v>
      </c>
      <c r="O407" s="18" t="s">
        <v>41</v>
      </c>
      <c r="P407" s="18"/>
      <c r="Q407" s="10">
        <f t="shared" si="1"/>
        <v>1</v>
      </c>
    </row>
    <row r="408">
      <c r="A408" s="18" t="s">
        <v>171</v>
      </c>
      <c r="B408" s="18" t="s">
        <v>44</v>
      </c>
      <c r="C408" s="18" t="s">
        <v>53</v>
      </c>
      <c r="D408" s="18" t="s">
        <v>1620</v>
      </c>
      <c r="E408" s="18" t="s">
        <v>1621</v>
      </c>
      <c r="F408" s="18" t="s">
        <v>228</v>
      </c>
      <c r="G408" s="18">
        <v>15.97</v>
      </c>
      <c r="H408" s="18" t="s">
        <v>56</v>
      </c>
      <c r="I408" s="19">
        <v>4250.0</v>
      </c>
      <c r="J408" s="19">
        <v>4900.0</v>
      </c>
      <c r="K408" s="19">
        <v>5100.0</v>
      </c>
      <c r="L408" s="18" t="s">
        <v>1622</v>
      </c>
      <c r="M408" s="18" t="s">
        <v>600</v>
      </c>
      <c r="N408" s="18" t="s">
        <v>240</v>
      </c>
      <c r="O408" s="18" t="s">
        <v>41</v>
      </c>
      <c r="P408" s="18"/>
      <c r="Q408" s="10">
        <f t="shared" si="1"/>
        <v>1</v>
      </c>
    </row>
    <row r="409">
      <c r="A409" s="18" t="s">
        <v>43</v>
      </c>
      <c r="B409" s="18" t="s">
        <v>44</v>
      </c>
      <c r="C409" s="18" t="s">
        <v>180</v>
      </c>
      <c r="D409" s="18" t="s">
        <v>1623</v>
      </c>
      <c r="E409" s="18" t="s">
        <v>1624</v>
      </c>
      <c r="F409" s="18" t="s">
        <v>228</v>
      </c>
      <c r="G409" s="18">
        <v>22.1</v>
      </c>
      <c r="H409" s="18" t="s">
        <v>168</v>
      </c>
      <c r="I409" s="19">
        <v>7700.0</v>
      </c>
      <c r="J409" s="19">
        <v>9250.0</v>
      </c>
      <c r="K409" s="19"/>
      <c r="L409" s="18" t="s">
        <v>1625</v>
      </c>
      <c r="M409" s="18" t="s">
        <v>1626</v>
      </c>
      <c r="N409" s="18" t="s">
        <v>240</v>
      </c>
      <c r="O409" s="18" t="s">
        <v>57</v>
      </c>
      <c r="P409" s="18" t="s">
        <v>48</v>
      </c>
      <c r="Q409" s="10">
        <f t="shared" si="1"/>
        <v>1</v>
      </c>
    </row>
    <row r="410">
      <c r="A410" s="18" t="s">
        <v>171</v>
      </c>
      <c r="B410" s="18" t="s">
        <v>45</v>
      </c>
      <c r="C410" s="18" t="s">
        <v>45</v>
      </c>
      <c r="D410" s="18" t="s">
        <v>1627</v>
      </c>
      <c r="E410" s="18" t="s">
        <v>1628</v>
      </c>
      <c r="F410" s="18" t="s">
        <v>228</v>
      </c>
      <c r="G410" s="18">
        <v>10.28</v>
      </c>
      <c r="H410" s="18" t="s">
        <v>45</v>
      </c>
      <c r="I410" s="19">
        <v>1990.0</v>
      </c>
      <c r="J410" s="19">
        <v>2300.0</v>
      </c>
      <c r="K410" s="19">
        <v>2400.0</v>
      </c>
      <c r="L410" s="18" t="s">
        <v>1629</v>
      </c>
      <c r="M410" s="18" t="s">
        <v>1630</v>
      </c>
      <c r="N410" s="18" t="s">
        <v>143</v>
      </c>
      <c r="O410" s="18" t="s">
        <v>41</v>
      </c>
      <c r="P410" s="18"/>
      <c r="Q410" s="10">
        <f t="shared" si="1"/>
        <v>1</v>
      </c>
    </row>
    <row r="411">
      <c r="A411" s="18" t="s">
        <v>210</v>
      </c>
      <c r="B411" s="18" t="s">
        <v>44</v>
      </c>
      <c r="C411" s="18" t="s">
        <v>151</v>
      </c>
      <c r="D411" s="18" t="s">
        <v>1631</v>
      </c>
      <c r="E411" s="18" t="s">
        <v>1632</v>
      </c>
      <c r="F411" s="18" t="s">
        <v>228</v>
      </c>
      <c r="G411" s="18">
        <v>26.07</v>
      </c>
      <c r="H411" s="18" t="s">
        <v>168</v>
      </c>
      <c r="I411" s="19">
        <v>7250.0</v>
      </c>
      <c r="J411" s="19">
        <v>9450.0</v>
      </c>
      <c r="K411" s="19">
        <v>8700.0</v>
      </c>
      <c r="L411" s="18" t="s">
        <v>1633</v>
      </c>
      <c r="M411" s="18" t="s">
        <v>1634</v>
      </c>
      <c r="N411" s="18" t="s">
        <v>403</v>
      </c>
      <c r="O411" s="18" t="s">
        <v>57</v>
      </c>
      <c r="P411" s="18" t="s">
        <v>63</v>
      </c>
      <c r="Q411" s="10">
        <f t="shared" si="1"/>
        <v>1</v>
      </c>
    </row>
    <row r="412">
      <c r="A412" s="18" t="s">
        <v>35</v>
      </c>
      <c r="B412" s="18" t="s">
        <v>44</v>
      </c>
      <c r="C412" s="18" t="s">
        <v>53</v>
      </c>
      <c r="D412" s="18" t="s">
        <v>1635</v>
      </c>
      <c r="E412" s="18" t="s">
        <v>1636</v>
      </c>
      <c r="F412" s="18" t="s">
        <v>228</v>
      </c>
      <c r="G412" s="18">
        <v>16.08</v>
      </c>
      <c r="H412" s="18" t="s">
        <v>120</v>
      </c>
      <c r="I412" s="19">
        <v>6230.0</v>
      </c>
      <c r="J412" s="19">
        <v>8450.0</v>
      </c>
      <c r="K412" s="19">
        <v>7500.0</v>
      </c>
      <c r="L412" s="18" t="s">
        <v>1637</v>
      </c>
      <c r="M412" s="18" t="s">
        <v>1638</v>
      </c>
      <c r="N412" s="18" t="s">
        <v>131</v>
      </c>
      <c r="O412" s="18" t="s">
        <v>41</v>
      </c>
      <c r="P412" s="18" t="s">
        <v>42</v>
      </c>
      <c r="Q412" s="10">
        <f t="shared" si="1"/>
        <v>1</v>
      </c>
    </row>
    <row r="413">
      <c r="A413" s="18" t="s">
        <v>43</v>
      </c>
      <c r="B413" s="18" t="s">
        <v>44</v>
      </c>
      <c r="C413" s="18" t="s">
        <v>37</v>
      </c>
      <c r="D413" s="18" t="s">
        <v>1639</v>
      </c>
      <c r="E413" s="18" t="s">
        <v>1640</v>
      </c>
      <c r="F413" s="18" t="s">
        <v>228</v>
      </c>
      <c r="G413" s="18">
        <v>42.41</v>
      </c>
      <c r="H413" s="18" t="s">
        <v>168</v>
      </c>
      <c r="I413" s="19">
        <v>10800.0</v>
      </c>
      <c r="J413" s="19">
        <v>13000.0</v>
      </c>
      <c r="K413" s="19"/>
      <c r="L413" s="18" t="s">
        <v>1641</v>
      </c>
      <c r="M413" s="18" t="s">
        <v>1634</v>
      </c>
      <c r="N413" s="18" t="s">
        <v>403</v>
      </c>
      <c r="O413" s="18" t="s">
        <v>83</v>
      </c>
      <c r="P413" s="18" t="s">
        <v>48</v>
      </c>
      <c r="Q413" s="10">
        <f t="shared" si="1"/>
        <v>1</v>
      </c>
    </row>
    <row r="414">
      <c r="A414" s="18" t="s">
        <v>43</v>
      </c>
      <c r="B414" s="18" t="s">
        <v>44</v>
      </c>
      <c r="C414" s="18" t="s">
        <v>76</v>
      </c>
      <c r="D414" s="18" t="s">
        <v>1642</v>
      </c>
      <c r="E414" s="18" t="s">
        <v>1643</v>
      </c>
      <c r="F414" s="18" t="s">
        <v>228</v>
      </c>
      <c r="G414" s="18">
        <v>19.18</v>
      </c>
      <c r="H414" s="18" t="s">
        <v>120</v>
      </c>
      <c r="I414" s="19">
        <v>7200.0</v>
      </c>
      <c r="J414" s="19">
        <v>8650.0</v>
      </c>
      <c r="K414" s="19"/>
      <c r="L414" s="18" t="s">
        <v>1644</v>
      </c>
      <c r="M414" s="18" t="s">
        <v>447</v>
      </c>
      <c r="N414" s="18" t="s">
        <v>240</v>
      </c>
      <c r="O414" s="18" t="s">
        <v>41</v>
      </c>
      <c r="P414" s="18" t="s">
        <v>48</v>
      </c>
      <c r="Q414" s="10">
        <f t="shared" si="1"/>
        <v>1</v>
      </c>
    </row>
    <row r="415">
      <c r="A415" s="18" t="s">
        <v>138</v>
      </c>
      <c r="B415" s="18" t="s">
        <v>45</v>
      </c>
      <c r="C415" s="18" t="s">
        <v>45</v>
      </c>
      <c r="D415" s="18" t="s">
        <v>1645</v>
      </c>
      <c r="E415" s="18" t="s">
        <v>1646</v>
      </c>
      <c r="F415" s="18" t="s">
        <v>228</v>
      </c>
      <c r="G415" s="18">
        <v>9.99</v>
      </c>
      <c r="H415" s="18" t="s">
        <v>45</v>
      </c>
      <c r="I415" s="19">
        <v>1652.0</v>
      </c>
      <c r="J415" s="19">
        <v>2400.0</v>
      </c>
      <c r="K415" s="19">
        <v>2050.0</v>
      </c>
      <c r="L415" s="18" t="s">
        <v>1647</v>
      </c>
      <c r="M415" s="18" t="s">
        <v>1648</v>
      </c>
      <c r="N415" s="18" t="s">
        <v>131</v>
      </c>
      <c r="O415" s="18" t="s">
        <v>57</v>
      </c>
      <c r="P415" s="18" t="s">
        <v>144</v>
      </c>
      <c r="Q415" s="10">
        <f t="shared" si="1"/>
        <v>1</v>
      </c>
    </row>
    <row r="416">
      <c r="A416" s="18" t="s">
        <v>148</v>
      </c>
      <c r="B416" s="18" t="s">
        <v>44</v>
      </c>
      <c r="C416" s="18" t="s">
        <v>64</v>
      </c>
      <c r="D416" s="18" t="s">
        <v>1649</v>
      </c>
      <c r="E416" s="18" t="s">
        <v>1650</v>
      </c>
      <c r="F416" s="18" t="s">
        <v>228</v>
      </c>
      <c r="G416" s="18">
        <v>18.1</v>
      </c>
      <c r="H416" s="18" t="s">
        <v>56</v>
      </c>
      <c r="I416" s="19">
        <v>7096.0</v>
      </c>
      <c r="J416" s="19">
        <v>7100.0</v>
      </c>
      <c r="K416" s="19">
        <v>8550.0</v>
      </c>
      <c r="L416" s="18" t="s">
        <v>1651</v>
      </c>
      <c r="M416" s="18" t="s">
        <v>1652</v>
      </c>
      <c r="N416" s="18" t="s">
        <v>131</v>
      </c>
      <c r="O416" s="18" t="s">
        <v>151</v>
      </c>
      <c r="P416" s="18" t="s">
        <v>48</v>
      </c>
      <c r="Q416" s="10">
        <f t="shared" si="1"/>
        <v>1</v>
      </c>
    </row>
    <row r="417">
      <c r="A417" s="18" t="s">
        <v>171</v>
      </c>
      <c r="B417" s="18" t="s">
        <v>45</v>
      </c>
      <c r="C417" s="18" t="s">
        <v>45</v>
      </c>
      <c r="D417" s="18" t="s">
        <v>1653</v>
      </c>
      <c r="E417" s="18" t="s">
        <v>1654</v>
      </c>
      <c r="F417" s="18" t="s">
        <v>228</v>
      </c>
      <c r="G417" s="18">
        <v>9.33</v>
      </c>
      <c r="H417" s="18" t="s">
        <v>45</v>
      </c>
      <c r="I417" s="19">
        <v>1990.0</v>
      </c>
      <c r="J417" s="19">
        <v>2300.0</v>
      </c>
      <c r="K417" s="19">
        <v>2400.0</v>
      </c>
      <c r="L417" s="18" t="s">
        <v>1655</v>
      </c>
      <c r="M417" s="18" t="s">
        <v>1656</v>
      </c>
      <c r="N417" s="18" t="s">
        <v>1657</v>
      </c>
      <c r="O417" s="18" t="s">
        <v>117</v>
      </c>
      <c r="P417" s="18"/>
      <c r="Q417" s="10">
        <f t="shared" si="1"/>
        <v>1</v>
      </c>
    </row>
    <row r="418">
      <c r="A418" s="18" t="s">
        <v>210</v>
      </c>
      <c r="B418" s="18" t="s">
        <v>44</v>
      </c>
      <c r="C418" s="18" t="s">
        <v>53</v>
      </c>
      <c r="D418" s="18" t="s">
        <v>1658</v>
      </c>
      <c r="E418" s="18" t="s">
        <v>1659</v>
      </c>
      <c r="F418" s="18" t="s">
        <v>228</v>
      </c>
      <c r="G418" s="18">
        <v>16.7</v>
      </c>
      <c r="H418" s="18" t="s">
        <v>56</v>
      </c>
      <c r="I418" s="19">
        <v>5900.0</v>
      </c>
      <c r="J418" s="19">
        <v>7700.0</v>
      </c>
      <c r="K418" s="19">
        <v>7100.0</v>
      </c>
      <c r="L418" s="18" t="s">
        <v>1660</v>
      </c>
      <c r="M418" s="18" t="s">
        <v>1661</v>
      </c>
      <c r="N418" s="18" t="s">
        <v>131</v>
      </c>
      <c r="O418" s="18" t="s">
        <v>57</v>
      </c>
      <c r="P418" s="18" t="s">
        <v>63</v>
      </c>
      <c r="Q418" s="10">
        <f t="shared" si="1"/>
        <v>1</v>
      </c>
    </row>
    <row r="419">
      <c r="A419" s="18" t="s">
        <v>216</v>
      </c>
      <c r="B419" s="18" t="s">
        <v>44</v>
      </c>
      <c r="C419" s="18" t="s">
        <v>76</v>
      </c>
      <c r="D419" s="18" t="s">
        <v>1662</v>
      </c>
      <c r="E419" s="18" t="s">
        <v>1663</v>
      </c>
      <c r="F419" s="18" t="s">
        <v>228</v>
      </c>
      <c r="G419" s="18">
        <v>18.68</v>
      </c>
      <c r="H419" s="18" t="s">
        <v>168</v>
      </c>
      <c r="I419" s="19">
        <v>6601.0</v>
      </c>
      <c r="J419" s="19">
        <v>9250.0</v>
      </c>
      <c r="K419" s="19">
        <v>8000.0</v>
      </c>
      <c r="L419" s="18" t="s">
        <v>1664</v>
      </c>
      <c r="M419" s="18" t="s">
        <v>1665</v>
      </c>
      <c r="N419" s="18" t="s">
        <v>903</v>
      </c>
      <c r="O419" s="18" t="s">
        <v>41</v>
      </c>
      <c r="P419" s="18" t="s">
        <v>42</v>
      </c>
      <c r="Q419" s="10">
        <f t="shared" si="1"/>
        <v>1</v>
      </c>
    </row>
    <row r="420">
      <c r="A420" s="18" t="s">
        <v>138</v>
      </c>
      <c r="B420" s="18" t="s">
        <v>44</v>
      </c>
      <c r="C420" s="18" t="s">
        <v>53</v>
      </c>
      <c r="D420" s="18" t="s">
        <v>1666</v>
      </c>
      <c r="E420" s="18" t="s">
        <v>1667</v>
      </c>
      <c r="F420" s="18" t="s">
        <v>228</v>
      </c>
      <c r="G420" s="18">
        <v>15.59</v>
      </c>
      <c r="H420" s="18" t="s">
        <v>56</v>
      </c>
      <c r="I420" s="19">
        <v>3529.0</v>
      </c>
      <c r="J420" s="19">
        <v>5150.0</v>
      </c>
      <c r="K420" s="19">
        <v>4300.0</v>
      </c>
      <c r="L420" s="18" t="s">
        <v>1668</v>
      </c>
      <c r="M420" s="18" t="s">
        <v>1669</v>
      </c>
      <c r="N420" s="18" t="s">
        <v>131</v>
      </c>
      <c r="O420" s="18" t="s">
        <v>57</v>
      </c>
      <c r="P420" s="18" t="s">
        <v>144</v>
      </c>
      <c r="Q420" s="10">
        <f t="shared" si="1"/>
        <v>1</v>
      </c>
    </row>
    <row r="421">
      <c r="A421" s="18" t="s">
        <v>225</v>
      </c>
      <c r="B421" s="18" t="s">
        <v>44</v>
      </c>
      <c r="C421" s="18" t="s">
        <v>53</v>
      </c>
      <c r="D421" s="18" t="s">
        <v>1670</v>
      </c>
      <c r="E421" s="18" t="s">
        <v>1671</v>
      </c>
      <c r="F421" s="18" t="s">
        <v>228</v>
      </c>
      <c r="G421" s="18">
        <v>16.4</v>
      </c>
      <c r="H421" s="18" t="s">
        <v>120</v>
      </c>
      <c r="I421" s="19">
        <v>5700.0</v>
      </c>
      <c r="J421" s="19">
        <v>7450.0</v>
      </c>
      <c r="K421" s="19">
        <v>6600.0</v>
      </c>
      <c r="L421" s="18" t="s">
        <v>1672</v>
      </c>
      <c r="M421" s="18" t="s">
        <v>1673</v>
      </c>
      <c r="N421" s="18" t="s">
        <v>131</v>
      </c>
      <c r="O421" s="18" t="s">
        <v>41</v>
      </c>
      <c r="P421" s="18" t="s">
        <v>162</v>
      </c>
      <c r="Q421" s="10">
        <f t="shared" si="1"/>
        <v>1</v>
      </c>
    </row>
    <row r="422">
      <c r="A422" s="18" t="s">
        <v>282</v>
      </c>
      <c r="B422" s="18" t="s">
        <v>45</v>
      </c>
      <c r="C422" s="18" t="s">
        <v>45</v>
      </c>
      <c r="D422" s="18" t="s">
        <v>1674</v>
      </c>
      <c r="E422" s="18" t="s">
        <v>1675</v>
      </c>
      <c r="F422" s="18" t="s">
        <v>228</v>
      </c>
      <c r="G422" s="18">
        <v>11.81</v>
      </c>
      <c r="H422" s="18" t="s">
        <v>45</v>
      </c>
      <c r="I422" s="19">
        <v>2838.0</v>
      </c>
      <c r="J422" s="19">
        <v>3450.0</v>
      </c>
      <c r="K422" s="19">
        <v>3450.0</v>
      </c>
      <c r="L422" s="18" t="s">
        <v>1676</v>
      </c>
      <c r="M422" s="18" t="s">
        <v>1677</v>
      </c>
      <c r="N422" s="18" t="s">
        <v>1657</v>
      </c>
      <c r="O422" s="18" t="s">
        <v>57</v>
      </c>
      <c r="P422" s="18" t="s">
        <v>63</v>
      </c>
      <c r="Q422" s="10">
        <f t="shared" si="1"/>
        <v>1</v>
      </c>
    </row>
    <row r="423">
      <c r="A423" s="18" t="s">
        <v>1238</v>
      </c>
      <c r="B423" s="18" t="s">
        <v>44</v>
      </c>
      <c r="C423" s="18" t="s">
        <v>133</v>
      </c>
      <c r="D423" s="18" t="s">
        <v>1678</v>
      </c>
      <c r="E423" s="18" t="s">
        <v>1679</v>
      </c>
      <c r="F423" s="18" t="s">
        <v>228</v>
      </c>
      <c r="G423" s="18">
        <v>13.72</v>
      </c>
      <c r="H423" s="18" t="s">
        <v>1242</v>
      </c>
      <c r="I423" s="19">
        <v>3199.0</v>
      </c>
      <c r="J423" s="19">
        <v>4200.0</v>
      </c>
      <c r="K423" s="19"/>
      <c r="L423" s="18" t="s">
        <v>1680</v>
      </c>
      <c r="M423" s="18" t="s">
        <v>1681</v>
      </c>
      <c r="N423" s="18" t="s">
        <v>1657</v>
      </c>
      <c r="O423" s="18" t="s">
        <v>41</v>
      </c>
      <c r="P423" s="18" t="s">
        <v>144</v>
      </c>
      <c r="Q423" s="10">
        <f t="shared" si="1"/>
        <v>1</v>
      </c>
    </row>
    <row r="424">
      <c r="A424" s="18" t="s">
        <v>364</v>
      </c>
      <c r="B424" s="18" t="s">
        <v>44</v>
      </c>
      <c r="C424" s="18" t="s">
        <v>133</v>
      </c>
      <c r="D424" s="18" t="s">
        <v>1682</v>
      </c>
      <c r="E424" s="18" t="s">
        <v>1683</v>
      </c>
      <c r="F424" s="18" t="s">
        <v>228</v>
      </c>
      <c r="G424" s="18">
        <v>14.38</v>
      </c>
      <c r="H424" s="18" t="s">
        <v>56</v>
      </c>
      <c r="I424" s="19">
        <v>3900.0</v>
      </c>
      <c r="J424" s="19">
        <v>3900.0</v>
      </c>
      <c r="K424" s="19">
        <v>4500.0</v>
      </c>
      <c r="L424" s="18" t="s">
        <v>1684</v>
      </c>
      <c r="M424" s="18" t="s">
        <v>1685</v>
      </c>
      <c r="N424" s="18" t="s">
        <v>1657</v>
      </c>
      <c r="O424" s="18" t="s">
        <v>117</v>
      </c>
      <c r="P424" s="18" t="s">
        <v>369</v>
      </c>
      <c r="Q424" s="10">
        <f t="shared" si="1"/>
        <v>1</v>
      </c>
    </row>
    <row r="425">
      <c r="A425" s="18" t="s">
        <v>43</v>
      </c>
      <c r="B425" s="18" t="s">
        <v>44</v>
      </c>
      <c r="C425" s="18" t="s">
        <v>76</v>
      </c>
      <c r="D425" s="18" t="s">
        <v>1686</v>
      </c>
      <c r="E425" s="18" t="s">
        <v>1687</v>
      </c>
      <c r="F425" s="18" t="s">
        <v>228</v>
      </c>
      <c r="G425" s="18">
        <v>19.92</v>
      </c>
      <c r="H425" s="18" t="s">
        <v>120</v>
      </c>
      <c r="I425" s="19">
        <v>7200.0</v>
      </c>
      <c r="J425" s="19">
        <v>8650.0</v>
      </c>
      <c r="K425" s="19"/>
      <c r="L425" s="18" t="s">
        <v>1688</v>
      </c>
      <c r="M425" s="18" t="s">
        <v>1689</v>
      </c>
      <c r="N425" s="18" t="s">
        <v>903</v>
      </c>
      <c r="O425" s="18" t="s">
        <v>57</v>
      </c>
      <c r="P425" s="18" t="s">
        <v>48</v>
      </c>
      <c r="Q425" s="10">
        <f t="shared" si="1"/>
        <v>1</v>
      </c>
    </row>
    <row r="426">
      <c r="A426" s="18" t="s">
        <v>171</v>
      </c>
      <c r="B426" s="18" t="s">
        <v>44</v>
      </c>
      <c r="C426" s="18" t="s">
        <v>53</v>
      </c>
      <c r="D426" s="18" t="s">
        <v>1690</v>
      </c>
      <c r="E426" s="18" t="s">
        <v>1691</v>
      </c>
      <c r="F426" s="18" t="s">
        <v>228</v>
      </c>
      <c r="G426" s="18">
        <v>15.62</v>
      </c>
      <c r="H426" s="18" t="s">
        <v>56</v>
      </c>
      <c r="I426" s="19">
        <v>4250.0</v>
      </c>
      <c r="J426" s="19">
        <v>4900.0</v>
      </c>
      <c r="K426" s="19">
        <v>5100.0</v>
      </c>
      <c r="L426" s="18" t="s">
        <v>1692</v>
      </c>
      <c r="M426" s="18" t="s">
        <v>1693</v>
      </c>
      <c r="N426" s="18" t="s">
        <v>903</v>
      </c>
      <c r="O426" s="18" t="s">
        <v>41</v>
      </c>
      <c r="P426" s="18"/>
      <c r="Q426" s="10">
        <f t="shared" si="1"/>
        <v>1</v>
      </c>
    </row>
    <row r="427">
      <c r="A427" s="18" t="s">
        <v>138</v>
      </c>
      <c r="B427" s="18" t="s">
        <v>44</v>
      </c>
      <c r="C427" s="18" t="s">
        <v>151</v>
      </c>
      <c r="D427" s="18" t="s">
        <v>1694</v>
      </c>
      <c r="E427" s="18" t="s">
        <v>1695</v>
      </c>
      <c r="F427" s="18" t="s">
        <v>228</v>
      </c>
      <c r="G427" s="18">
        <v>25.87</v>
      </c>
      <c r="H427" s="18" t="s">
        <v>168</v>
      </c>
      <c r="I427" s="19">
        <v>4973.0</v>
      </c>
      <c r="J427" s="19">
        <v>7250.0</v>
      </c>
      <c r="K427" s="19">
        <v>6000.0</v>
      </c>
      <c r="L427" s="18" t="s">
        <v>1696</v>
      </c>
      <c r="M427" s="18" t="s">
        <v>1697</v>
      </c>
      <c r="N427" s="18" t="s">
        <v>1146</v>
      </c>
      <c r="O427" s="18" t="s">
        <v>57</v>
      </c>
      <c r="P427" s="18" t="s">
        <v>144</v>
      </c>
      <c r="Q427" s="10">
        <f t="shared" si="1"/>
        <v>1</v>
      </c>
    </row>
    <row r="428">
      <c r="A428" s="18" t="s">
        <v>154</v>
      </c>
      <c r="B428" s="18" t="s">
        <v>44</v>
      </c>
      <c r="C428" s="18" t="s">
        <v>76</v>
      </c>
      <c r="D428" s="18" t="s">
        <v>1698</v>
      </c>
      <c r="E428" s="18" t="s">
        <v>1699</v>
      </c>
      <c r="F428" s="18" t="s">
        <v>228</v>
      </c>
      <c r="G428" s="18">
        <v>21.0</v>
      </c>
      <c r="H428" s="18" t="s">
        <v>56</v>
      </c>
      <c r="I428" s="19">
        <v>6090.0</v>
      </c>
      <c r="J428" s="19">
        <v>8550.0</v>
      </c>
      <c r="K428" s="19">
        <v>7350.0</v>
      </c>
      <c r="L428" s="18" t="s">
        <v>1700</v>
      </c>
      <c r="M428" s="18" t="s">
        <v>1701</v>
      </c>
      <c r="N428" s="18" t="s">
        <v>240</v>
      </c>
      <c r="O428" s="18" t="s">
        <v>151</v>
      </c>
      <c r="P428" s="18" t="s">
        <v>157</v>
      </c>
      <c r="Q428" s="10">
        <f t="shared" si="1"/>
        <v>1</v>
      </c>
    </row>
    <row r="429">
      <c r="A429" s="18" t="s">
        <v>225</v>
      </c>
      <c r="B429" s="18" t="s">
        <v>45</v>
      </c>
      <c r="C429" s="18" t="s">
        <v>45</v>
      </c>
      <c r="D429" s="18" t="s">
        <v>1702</v>
      </c>
      <c r="E429" s="18" t="s">
        <v>1703</v>
      </c>
      <c r="F429" s="18" t="s">
        <v>228</v>
      </c>
      <c r="G429" s="18">
        <v>9.0</v>
      </c>
      <c r="H429" s="18" t="s">
        <v>45</v>
      </c>
      <c r="I429" s="19">
        <v>3100.0</v>
      </c>
      <c r="J429" s="19">
        <v>4050.0</v>
      </c>
      <c r="K429" s="19">
        <v>3600.0</v>
      </c>
      <c r="L429" s="18" t="s">
        <v>1704</v>
      </c>
      <c r="M429" s="18" t="s">
        <v>1705</v>
      </c>
      <c r="N429" s="18" t="s">
        <v>143</v>
      </c>
      <c r="O429" s="18" t="s">
        <v>161</v>
      </c>
      <c r="P429" s="18" t="s">
        <v>162</v>
      </c>
      <c r="Q429" s="10">
        <f t="shared" si="1"/>
        <v>1</v>
      </c>
    </row>
    <row r="430">
      <c r="A430" s="18" t="s">
        <v>210</v>
      </c>
      <c r="B430" s="18" t="s">
        <v>44</v>
      </c>
      <c r="C430" s="18" t="s">
        <v>180</v>
      </c>
      <c r="D430" s="18" t="s">
        <v>1706</v>
      </c>
      <c r="E430" s="18" t="s">
        <v>1707</v>
      </c>
      <c r="F430" s="18" t="s">
        <v>228</v>
      </c>
      <c r="G430" s="18">
        <v>23.22</v>
      </c>
      <c r="H430" s="18" t="s">
        <v>168</v>
      </c>
      <c r="I430" s="19">
        <v>6700.0</v>
      </c>
      <c r="J430" s="19">
        <v>8750.0</v>
      </c>
      <c r="K430" s="19">
        <v>8050.0</v>
      </c>
      <c r="L430" s="18" t="s">
        <v>1708</v>
      </c>
      <c r="M430" s="18" t="s">
        <v>1709</v>
      </c>
      <c r="N430" s="18" t="s">
        <v>903</v>
      </c>
      <c r="O430" s="18" t="s">
        <v>57</v>
      </c>
      <c r="P430" s="18" t="s">
        <v>63</v>
      </c>
      <c r="Q430" s="10">
        <f t="shared" si="1"/>
        <v>1</v>
      </c>
    </row>
    <row r="431">
      <c r="A431" s="18" t="s">
        <v>191</v>
      </c>
      <c r="B431" s="18" t="s">
        <v>44</v>
      </c>
      <c r="C431" s="18" t="s">
        <v>180</v>
      </c>
      <c r="D431" s="18" t="s">
        <v>1710</v>
      </c>
      <c r="E431" s="18" t="s">
        <v>1711</v>
      </c>
      <c r="F431" s="18" t="s">
        <v>228</v>
      </c>
      <c r="G431" s="18">
        <v>23.01</v>
      </c>
      <c r="H431" s="18" t="s">
        <v>168</v>
      </c>
      <c r="I431" s="19">
        <v>6900.0</v>
      </c>
      <c r="J431" s="19">
        <v>9000.0</v>
      </c>
      <c r="K431" s="19"/>
      <c r="L431" s="18" t="s">
        <v>1712</v>
      </c>
      <c r="M431" s="18" t="s">
        <v>1713</v>
      </c>
      <c r="N431" s="18" t="s">
        <v>240</v>
      </c>
      <c r="O431" s="18" t="s">
        <v>57</v>
      </c>
      <c r="P431" s="18" t="s">
        <v>48</v>
      </c>
      <c r="Q431" s="10">
        <f t="shared" si="1"/>
        <v>1</v>
      </c>
    </row>
    <row r="432">
      <c r="A432" s="18" t="s">
        <v>145</v>
      </c>
      <c r="B432" s="18" t="s">
        <v>44</v>
      </c>
      <c r="C432" s="18" t="s">
        <v>64</v>
      </c>
      <c r="D432" s="18" t="s">
        <v>1714</v>
      </c>
      <c r="E432" s="18" t="s">
        <v>1715</v>
      </c>
      <c r="F432" s="18" t="s">
        <v>228</v>
      </c>
      <c r="G432" s="18">
        <v>17.0</v>
      </c>
      <c r="H432" s="18" t="s">
        <v>56</v>
      </c>
      <c r="I432" s="19">
        <v>9022.0</v>
      </c>
      <c r="J432" s="19">
        <v>9950.0</v>
      </c>
      <c r="K432" s="19">
        <v>10900.0</v>
      </c>
      <c r="L432" s="18" t="s">
        <v>1716</v>
      </c>
      <c r="M432" s="18" t="s">
        <v>1701</v>
      </c>
      <c r="N432" s="18" t="s">
        <v>240</v>
      </c>
      <c r="O432" s="18" t="s">
        <v>151</v>
      </c>
      <c r="P432" s="18" t="s">
        <v>63</v>
      </c>
      <c r="Q432" s="10">
        <f t="shared" si="1"/>
        <v>1</v>
      </c>
    </row>
    <row r="433">
      <c r="A433" s="18" t="s">
        <v>158</v>
      </c>
      <c r="B433" s="18" t="s">
        <v>44</v>
      </c>
      <c r="C433" s="18" t="s">
        <v>133</v>
      </c>
      <c r="D433" s="18" t="s">
        <v>1717</v>
      </c>
      <c r="E433" s="18" t="s">
        <v>1718</v>
      </c>
      <c r="F433" s="18" t="s">
        <v>228</v>
      </c>
      <c r="G433" s="18">
        <v>14.49</v>
      </c>
      <c r="H433" s="18" t="s">
        <v>56</v>
      </c>
      <c r="I433" s="19">
        <v>4667.0</v>
      </c>
      <c r="J433" s="19">
        <v>4700.0</v>
      </c>
      <c r="K433" s="19">
        <v>5650.0</v>
      </c>
      <c r="L433" s="18" t="s">
        <v>1719</v>
      </c>
      <c r="M433" s="18" t="s">
        <v>1720</v>
      </c>
      <c r="N433" s="18" t="s">
        <v>131</v>
      </c>
      <c r="O433" s="18" t="s">
        <v>41</v>
      </c>
      <c r="P433" s="18" t="s">
        <v>162</v>
      </c>
      <c r="Q433" s="10">
        <f t="shared" si="1"/>
        <v>1</v>
      </c>
    </row>
    <row r="434">
      <c r="A434" s="18" t="s">
        <v>1238</v>
      </c>
      <c r="B434" s="18" t="s">
        <v>44</v>
      </c>
      <c r="C434" s="18" t="s">
        <v>1239</v>
      </c>
      <c r="D434" s="18" t="s">
        <v>1721</v>
      </c>
      <c r="E434" s="18" t="s">
        <v>1722</v>
      </c>
      <c r="F434" s="18" t="s">
        <v>228</v>
      </c>
      <c r="G434" s="18">
        <v>52.23</v>
      </c>
      <c r="H434" s="18" t="s">
        <v>471</v>
      </c>
      <c r="I434" s="19">
        <v>6949.0</v>
      </c>
      <c r="J434" s="19">
        <v>9050.0</v>
      </c>
      <c r="K434" s="19"/>
      <c r="L434" s="18" t="s">
        <v>1723</v>
      </c>
      <c r="M434" s="18" t="s">
        <v>1724</v>
      </c>
      <c r="N434" s="18" t="s">
        <v>1146</v>
      </c>
      <c r="O434" s="18" t="s">
        <v>57</v>
      </c>
      <c r="P434" s="18" t="s">
        <v>144</v>
      </c>
      <c r="Q434" s="10">
        <f t="shared" si="1"/>
        <v>1</v>
      </c>
    </row>
    <row r="435">
      <c r="A435" s="18" t="s">
        <v>154</v>
      </c>
      <c r="B435" s="18" t="s">
        <v>44</v>
      </c>
      <c r="C435" s="18" t="s">
        <v>53</v>
      </c>
      <c r="D435" s="18" t="s">
        <v>1725</v>
      </c>
      <c r="E435" s="18" t="s">
        <v>1726</v>
      </c>
      <c r="F435" s="18" t="s">
        <v>228</v>
      </c>
      <c r="G435" s="18">
        <v>16.0</v>
      </c>
      <c r="H435" s="18" t="s">
        <v>56</v>
      </c>
      <c r="I435" s="19">
        <v>4799.0</v>
      </c>
      <c r="J435" s="19">
        <v>6750.0</v>
      </c>
      <c r="K435" s="19">
        <v>5800.0</v>
      </c>
      <c r="L435" s="18" t="s">
        <v>1727</v>
      </c>
      <c r="M435" s="18" t="s">
        <v>265</v>
      </c>
      <c r="N435" s="18" t="s">
        <v>240</v>
      </c>
      <c r="O435" s="18" t="s">
        <v>151</v>
      </c>
      <c r="P435" s="18" t="s">
        <v>157</v>
      </c>
      <c r="Q435" s="10">
        <f t="shared" si="1"/>
        <v>1</v>
      </c>
    </row>
    <row r="436">
      <c r="A436" s="18" t="s">
        <v>912</v>
      </c>
      <c r="B436" s="18" t="s">
        <v>44</v>
      </c>
      <c r="C436" s="18" t="s">
        <v>53</v>
      </c>
      <c r="D436" s="18" t="s">
        <v>1728</v>
      </c>
      <c r="E436" s="18" t="s">
        <v>1729</v>
      </c>
      <c r="F436" s="18" t="s">
        <v>228</v>
      </c>
      <c r="G436" s="18">
        <v>16.05</v>
      </c>
      <c r="H436" s="18" t="s">
        <v>120</v>
      </c>
      <c r="I436" s="19">
        <v>4900.0</v>
      </c>
      <c r="J436" s="19">
        <v>6150.0</v>
      </c>
      <c r="K436" s="19">
        <v>5700.0</v>
      </c>
      <c r="L436" s="18" t="s">
        <v>1730</v>
      </c>
      <c r="M436" s="18" t="s">
        <v>265</v>
      </c>
      <c r="N436" s="18" t="s">
        <v>240</v>
      </c>
      <c r="O436" s="18" t="s">
        <v>41</v>
      </c>
      <c r="P436" s="18" t="s">
        <v>917</v>
      </c>
      <c r="Q436" s="10">
        <f t="shared" si="1"/>
        <v>1</v>
      </c>
    </row>
    <row r="437">
      <c r="A437" s="18" t="s">
        <v>1238</v>
      </c>
      <c r="B437" s="18" t="s">
        <v>44</v>
      </c>
      <c r="C437" s="18" t="s">
        <v>37</v>
      </c>
      <c r="D437" s="18" t="s">
        <v>1731</v>
      </c>
      <c r="E437" s="18" t="s">
        <v>1732</v>
      </c>
      <c r="F437" s="18" t="s">
        <v>228</v>
      </c>
      <c r="G437" s="18">
        <v>41.59</v>
      </c>
      <c r="H437" s="18" t="s">
        <v>471</v>
      </c>
      <c r="I437" s="19">
        <v>6563.0</v>
      </c>
      <c r="J437" s="19">
        <v>8550.0</v>
      </c>
      <c r="K437" s="19"/>
      <c r="L437" s="18" t="s">
        <v>1733</v>
      </c>
      <c r="M437" s="18" t="s">
        <v>1384</v>
      </c>
      <c r="N437" s="18" t="s">
        <v>240</v>
      </c>
      <c r="O437" s="18" t="s">
        <v>57</v>
      </c>
      <c r="P437" s="18" t="s">
        <v>144</v>
      </c>
      <c r="Q437" s="10">
        <f t="shared" si="1"/>
        <v>1</v>
      </c>
    </row>
    <row r="438">
      <c r="A438" s="18" t="s">
        <v>165</v>
      </c>
      <c r="B438" s="18" t="s">
        <v>45</v>
      </c>
      <c r="C438" s="18" t="s">
        <v>45</v>
      </c>
      <c r="D438" s="18" t="s">
        <v>1734</v>
      </c>
      <c r="E438" s="18" t="s">
        <v>1735</v>
      </c>
      <c r="F438" s="18" t="s">
        <v>228</v>
      </c>
      <c r="G438" s="18">
        <v>13.53</v>
      </c>
      <c r="H438" s="18" t="s">
        <v>45</v>
      </c>
      <c r="I438" s="19">
        <v>1892.0</v>
      </c>
      <c r="J438" s="19">
        <v>2300.0</v>
      </c>
      <c r="K438" s="19">
        <v>2300.0</v>
      </c>
      <c r="L438" s="18" t="s">
        <v>1736</v>
      </c>
      <c r="M438" s="18" t="s">
        <v>1737</v>
      </c>
      <c r="N438" s="18" t="s">
        <v>240</v>
      </c>
      <c r="O438" s="18" t="s">
        <v>41</v>
      </c>
      <c r="P438" s="18"/>
      <c r="Q438" s="10">
        <f t="shared" si="1"/>
        <v>1</v>
      </c>
    </row>
    <row r="439">
      <c r="A439" s="18" t="s">
        <v>158</v>
      </c>
      <c r="B439" s="18" t="s">
        <v>44</v>
      </c>
      <c r="C439" s="18" t="s">
        <v>64</v>
      </c>
      <c r="D439" s="18" t="s">
        <v>1738</v>
      </c>
      <c r="E439" s="18" t="s">
        <v>1739</v>
      </c>
      <c r="F439" s="18" t="s">
        <v>228</v>
      </c>
      <c r="G439" s="18">
        <v>17.93</v>
      </c>
      <c r="H439" s="18" t="s">
        <v>120</v>
      </c>
      <c r="I439" s="19">
        <v>5516.0</v>
      </c>
      <c r="J439" s="19">
        <v>5550.0</v>
      </c>
      <c r="K439" s="19">
        <v>6700.0</v>
      </c>
      <c r="L439" s="18" t="s">
        <v>1740</v>
      </c>
      <c r="M439" s="18" t="s">
        <v>1017</v>
      </c>
      <c r="N439" s="18" t="s">
        <v>403</v>
      </c>
      <c r="O439" s="18" t="s">
        <v>41</v>
      </c>
      <c r="P439" s="18" t="s">
        <v>162</v>
      </c>
      <c r="Q439" s="10">
        <f t="shared" si="1"/>
        <v>1</v>
      </c>
    </row>
    <row r="440">
      <c r="A440" s="18" t="s">
        <v>201</v>
      </c>
      <c r="B440" s="18" t="s">
        <v>44</v>
      </c>
      <c r="C440" s="18" t="s">
        <v>113</v>
      </c>
      <c r="D440" s="18" t="s">
        <v>1741</v>
      </c>
      <c r="E440" s="18" t="s">
        <v>1742</v>
      </c>
      <c r="F440" s="18" t="s">
        <v>228</v>
      </c>
      <c r="G440" s="18">
        <v>10.23</v>
      </c>
      <c r="H440" s="18" t="s">
        <v>116</v>
      </c>
      <c r="I440" s="19">
        <v>2600.0</v>
      </c>
      <c r="J440" s="19">
        <v>3150.0</v>
      </c>
      <c r="K440" s="19">
        <v>3000.0</v>
      </c>
      <c r="L440" s="18" t="s">
        <v>1743</v>
      </c>
      <c r="M440" s="18" t="s">
        <v>1744</v>
      </c>
      <c r="N440" s="18" t="s">
        <v>363</v>
      </c>
      <c r="O440" s="18" t="s">
        <v>57</v>
      </c>
      <c r="P440" s="18"/>
      <c r="Q440" s="10">
        <f t="shared" si="1"/>
        <v>1</v>
      </c>
    </row>
    <row r="441">
      <c r="A441" s="18" t="s">
        <v>191</v>
      </c>
      <c r="B441" s="18" t="s">
        <v>44</v>
      </c>
      <c r="C441" s="18" t="s">
        <v>64</v>
      </c>
      <c r="D441" s="18" t="s">
        <v>1745</v>
      </c>
      <c r="E441" s="18" t="s">
        <v>1746</v>
      </c>
      <c r="F441" s="18" t="s">
        <v>228</v>
      </c>
      <c r="G441" s="18">
        <v>18.79</v>
      </c>
      <c r="H441" s="18" t="s">
        <v>120</v>
      </c>
      <c r="I441" s="19">
        <v>6200.0</v>
      </c>
      <c r="J441" s="19">
        <v>8100.0</v>
      </c>
      <c r="K441" s="19"/>
      <c r="L441" s="18" t="s">
        <v>1747</v>
      </c>
      <c r="M441" s="18" t="s">
        <v>1748</v>
      </c>
      <c r="N441" s="18" t="s">
        <v>143</v>
      </c>
      <c r="O441" s="18" t="s">
        <v>57</v>
      </c>
      <c r="P441" s="18" t="s">
        <v>48</v>
      </c>
      <c r="Q441" s="10">
        <f t="shared" si="1"/>
        <v>1</v>
      </c>
    </row>
    <row r="442">
      <c r="A442" s="18" t="s">
        <v>138</v>
      </c>
      <c r="B442" s="18" t="s">
        <v>45</v>
      </c>
      <c r="C442" s="18" t="s">
        <v>45</v>
      </c>
      <c r="D442" s="18" t="s">
        <v>1749</v>
      </c>
      <c r="E442" s="18" t="s">
        <v>1750</v>
      </c>
      <c r="F442" s="18" t="s">
        <v>228</v>
      </c>
      <c r="G442" s="18">
        <v>9.23</v>
      </c>
      <c r="H442" s="18" t="s">
        <v>45</v>
      </c>
      <c r="I442" s="19">
        <v>1652.0</v>
      </c>
      <c r="J442" s="19">
        <v>2400.0</v>
      </c>
      <c r="K442" s="19">
        <v>2050.0</v>
      </c>
      <c r="L442" s="18" t="s">
        <v>1751</v>
      </c>
      <c r="M442" s="18" t="s">
        <v>1752</v>
      </c>
      <c r="N442" s="18" t="s">
        <v>143</v>
      </c>
      <c r="O442" s="18" t="s">
        <v>41</v>
      </c>
      <c r="P442" s="18" t="s">
        <v>144</v>
      </c>
      <c r="Q442" s="10">
        <f t="shared" si="1"/>
        <v>1</v>
      </c>
    </row>
    <row r="443">
      <c r="A443" s="18" t="s">
        <v>201</v>
      </c>
      <c r="B443" s="18" t="s">
        <v>45</v>
      </c>
      <c r="C443" s="18" t="s">
        <v>45</v>
      </c>
      <c r="D443" s="18" t="s">
        <v>1753</v>
      </c>
      <c r="E443" s="18" t="s">
        <v>1754</v>
      </c>
      <c r="F443" s="18" t="s">
        <v>228</v>
      </c>
      <c r="G443" s="18">
        <v>10.96</v>
      </c>
      <c r="H443" s="18" t="s">
        <v>45</v>
      </c>
      <c r="I443" s="19">
        <v>1900.0</v>
      </c>
      <c r="J443" s="19">
        <v>2300.0</v>
      </c>
      <c r="K443" s="19">
        <v>2300.0</v>
      </c>
      <c r="L443" s="18" t="s">
        <v>1755</v>
      </c>
      <c r="M443" s="18" t="s">
        <v>1756</v>
      </c>
      <c r="N443" s="18" t="s">
        <v>143</v>
      </c>
      <c r="O443" s="18" t="s">
        <v>41</v>
      </c>
      <c r="P443" s="18"/>
      <c r="Q443" s="10">
        <f t="shared" si="1"/>
        <v>1</v>
      </c>
    </row>
    <row r="444">
      <c r="A444" s="18" t="s">
        <v>201</v>
      </c>
      <c r="B444" s="18" t="s">
        <v>44</v>
      </c>
      <c r="C444" s="18" t="s">
        <v>133</v>
      </c>
      <c r="D444" s="18" t="s">
        <v>1757</v>
      </c>
      <c r="E444" s="18" t="s">
        <v>1758</v>
      </c>
      <c r="F444" s="18" t="s">
        <v>228</v>
      </c>
      <c r="G444" s="18">
        <v>13.42</v>
      </c>
      <c r="H444" s="18" t="s">
        <v>56</v>
      </c>
      <c r="I444" s="19">
        <v>2800.0</v>
      </c>
      <c r="J444" s="19">
        <v>3400.0</v>
      </c>
      <c r="K444" s="19">
        <v>3250.0</v>
      </c>
      <c r="L444" s="18" t="s">
        <v>1759</v>
      </c>
      <c r="M444" s="18" t="s">
        <v>1760</v>
      </c>
      <c r="N444" s="18" t="s">
        <v>131</v>
      </c>
      <c r="O444" s="18" t="s">
        <v>57</v>
      </c>
      <c r="P444" s="18"/>
      <c r="Q444" s="10">
        <f t="shared" si="1"/>
        <v>1</v>
      </c>
    </row>
    <row r="445">
      <c r="A445" s="18" t="s">
        <v>158</v>
      </c>
      <c r="B445" s="18" t="s">
        <v>45</v>
      </c>
      <c r="C445" s="18" t="s">
        <v>45</v>
      </c>
      <c r="D445" s="18" t="s">
        <v>1761</v>
      </c>
      <c r="E445" s="18" t="s">
        <v>1762</v>
      </c>
      <c r="F445" s="18" t="s">
        <v>228</v>
      </c>
      <c r="G445" s="18">
        <v>8.0</v>
      </c>
      <c r="H445" s="18" t="s">
        <v>45</v>
      </c>
      <c r="I445" s="19">
        <v>2542.0</v>
      </c>
      <c r="J445" s="19">
        <v>2550.0</v>
      </c>
      <c r="K445" s="19">
        <v>3100.0</v>
      </c>
      <c r="L445" s="18" t="s">
        <v>1763</v>
      </c>
      <c r="M445" s="18" t="s">
        <v>1764</v>
      </c>
      <c r="N445" s="18" t="s">
        <v>903</v>
      </c>
      <c r="O445" s="18" t="s">
        <v>41</v>
      </c>
      <c r="P445" s="18" t="s">
        <v>162</v>
      </c>
      <c r="Q445" s="10">
        <f t="shared" si="1"/>
        <v>1</v>
      </c>
    </row>
    <row r="446">
      <c r="A446" s="18" t="s">
        <v>1238</v>
      </c>
      <c r="B446" s="18" t="s">
        <v>44</v>
      </c>
      <c r="C446" s="18" t="s">
        <v>76</v>
      </c>
      <c r="D446" s="18" t="s">
        <v>1765</v>
      </c>
      <c r="E446" s="18" t="s">
        <v>1766</v>
      </c>
      <c r="F446" s="18" t="s">
        <v>228</v>
      </c>
      <c r="G446" s="18">
        <v>19.77</v>
      </c>
      <c r="H446" s="18" t="s">
        <v>1495</v>
      </c>
      <c r="I446" s="19">
        <v>4489.0</v>
      </c>
      <c r="J446" s="19">
        <v>5850.0</v>
      </c>
      <c r="K446" s="19"/>
      <c r="L446" s="18" t="s">
        <v>1767</v>
      </c>
      <c r="M446" s="18" t="s">
        <v>1768</v>
      </c>
      <c r="N446" s="18" t="s">
        <v>131</v>
      </c>
      <c r="O446" s="18" t="s">
        <v>41</v>
      </c>
      <c r="P446" s="18" t="s">
        <v>144</v>
      </c>
      <c r="Q446" s="10">
        <f t="shared" si="1"/>
        <v>1</v>
      </c>
    </row>
    <row r="447">
      <c r="A447" s="18" t="s">
        <v>138</v>
      </c>
      <c r="B447" s="18" t="s">
        <v>45</v>
      </c>
      <c r="C447" s="18" t="s">
        <v>45</v>
      </c>
      <c r="D447" s="18" t="s">
        <v>1769</v>
      </c>
      <c r="E447" s="18" t="s">
        <v>1770</v>
      </c>
      <c r="F447" s="18" t="s">
        <v>228</v>
      </c>
      <c r="G447" s="18">
        <v>8.65</v>
      </c>
      <c r="H447" s="18" t="s">
        <v>45</v>
      </c>
      <c r="I447" s="19">
        <v>1652.0</v>
      </c>
      <c r="J447" s="19">
        <v>2400.0</v>
      </c>
      <c r="K447" s="19">
        <v>2050.0</v>
      </c>
      <c r="L447" s="18" t="s">
        <v>1771</v>
      </c>
      <c r="M447" s="18" t="s">
        <v>1772</v>
      </c>
      <c r="N447" s="18" t="s">
        <v>363</v>
      </c>
      <c r="O447" s="18" t="s">
        <v>83</v>
      </c>
      <c r="P447" s="18" t="s">
        <v>144</v>
      </c>
      <c r="Q447" s="10">
        <f t="shared" si="1"/>
        <v>1</v>
      </c>
    </row>
    <row r="448">
      <c r="A448" s="18" t="s">
        <v>225</v>
      </c>
      <c r="B448" s="18" t="s">
        <v>45</v>
      </c>
      <c r="C448" s="18" t="s">
        <v>45</v>
      </c>
      <c r="D448" s="18" t="s">
        <v>1773</v>
      </c>
      <c r="E448" s="18" t="s">
        <v>1774</v>
      </c>
      <c r="F448" s="18" t="s">
        <v>228</v>
      </c>
      <c r="G448" s="18">
        <v>9.0</v>
      </c>
      <c r="H448" s="18" t="s">
        <v>45</v>
      </c>
      <c r="I448" s="19">
        <v>3100.0</v>
      </c>
      <c r="J448" s="19">
        <v>4050.0</v>
      </c>
      <c r="K448" s="19">
        <v>3600.0</v>
      </c>
      <c r="L448" s="18" t="s">
        <v>1775</v>
      </c>
      <c r="M448" s="18" t="s">
        <v>1776</v>
      </c>
      <c r="N448" s="18" t="s">
        <v>363</v>
      </c>
      <c r="O448" s="18" t="s">
        <v>161</v>
      </c>
      <c r="P448" s="18" t="s">
        <v>162</v>
      </c>
      <c r="Q448" s="10">
        <f t="shared" si="1"/>
        <v>1</v>
      </c>
    </row>
    <row r="449">
      <c r="A449" s="18" t="s">
        <v>112</v>
      </c>
      <c r="B449" s="18" t="s">
        <v>44</v>
      </c>
      <c r="C449" s="18" t="s">
        <v>133</v>
      </c>
      <c r="D449" s="18" t="s">
        <v>1777</v>
      </c>
      <c r="E449" s="18" t="s">
        <v>1778</v>
      </c>
      <c r="F449" s="18" t="s">
        <v>228</v>
      </c>
      <c r="G449" s="18">
        <v>14.5</v>
      </c>
      <c r="H449" s="18" t="s">
        <v>56</v>
      </c>
      <c r="I449" s="19">
        <v>5578.0</v>
      </c>
      <c r="J449" s="19">
        <v>7850.0</v>
      </c>
      <c r="K449" s="19">
        <v>6750.0</v>
      </c>
      <c r="L449" s="18" t="s">
        <v>1779</v>
      </c>
      <c r="M449" s="18" t="s">
        <v>1780</v>
      </c>
      <c r="N449" s="18" t="s">
        <v>363</v>
      </c>
      <c r="O449" s="18" t="s">
        <v>117</v>
      </c>
      <c r="P449" s="18" t="s">
        <v>42</v>
      </c>
      <c r="Q449" s="10">
        <f t="shared" si="1"/>
        <v>1</v>
      </c>
    </row>
    <row r="450">
      <c r="A450" s="18" t="s">
        <v>1596</v>
      </c>
      <c r="B450" s="18" t="s">
        <v>44</v>
      </c>
      <c r="C450" s="18" t="s">
        <v>1781</v>
      </c>
      <c r="D450" s="18" t="s">
        <v>1782</v>
      </c>
      <c r="E450" s="18" t="s">
        <v>1783</v>
      </c>
      <c r="F450" s="18" t="s">
        <v>228</v>
      </c>
      <c r="G450" s="18">
        <v>34.12</v>
      </c>
      <c r="H450" s="18" t="s">
        <v>168</v>
      </c>
      <c r="I450" s="19">
        <v>6200.0</v>
      </c>
      <c r="J450" s="19">
        <v>6550.0</v>
      </c>
      <c r="K450" s="19"/>
      <c r="L450" s="18" t="s">
        <v>1784</v>
      </c>
      <c r="M450" s="18" t="s">
        <v>1785</v>
      </c>
      <c r="N450" s="18" t="s">
        <v>131</v>
      </c>
      <c r="O450" s="18" t="s">
        <v>57</v>
      </c>
      <c r="P450" s="18" t="s">
        <v>162</v>
      </c>
      <c r="Q450" s="10">
        <f t="shared" si="1"/>
        <v>1</v>
      </c>
    </row>
    <row r="451">
      <c r="A451" s="18" t="s">
        <v>1596</v>
      </c>
      <c r="B451" s="18" t="s">
        <v>44</v>
      </c>
      <c r="C451" s="18" t="s">
        <v>151</v>
      </c>
      <c r="D451" s="18" t="s">
        <v>1786</v>
      </c>
      <c r="E451" s="18" t="s">
        <v>1787</v>
      </c>
      <c r="F451" s="18" t="s">
        <v>228</v>
      </c>
      <c r="G451" s="18">
        <v>25.48</v>
      </c>
      <c r="H451" s="18" t="s">
        <v>168</v>
      </c>
      <c r="I451" s="19">
        <v>5096.0</v>
      </c>
      <c r="J451" s="19">
        <v>5400.0</v>
      </c>
      <c r="K451" s="19"/>
      <c r="L451" s="18" t="s">
        <v>1788</v>
      </c>
      <c r="M451" s="18" t="s">
        <v>1789</v>
      </c>
      <c r="N451" s="18" t="s">
        <v>131</v>
      </c>
      <c r="O451" s="18" t="s">
        <v>41</v>
      </c>
      <c r="P451" s="18" t="s">
        <v>162</v>
      </c>
      <c r="Q451" s="10">
        <f t="shared" si="1"/>
        <v>1</v>
      </c>
    </row>
    <row r="452">
      <c r="A452" s="18" t="s">
        <v>1596</v>
      </c>
      <c r="B452" s="18" t="s">
        <v>44</v>
      </c>
      <c r="C452" s="18" t="s">
        <v>1239</v>
      </c>
      <c r="D452" s="18" t="s">
        <v>1790</v>
      </c>
      <c r="E452" s="18" t="s">
        <v>1791</v>
      </c>
      <c r="F452" s="18" t="s">
        <v>228</v>
      </c>
      <c r="G452" s="18">
        <v>40.31</v>
      </c>
      <c r="H452" s="18" t="s">
        <v>168</v>
      </c>
      <c r="I452" s="19">
        <v>6938.0</v>
      </c>
      <c r="J452" s="19">
        <v>7300.0</v>
      </c>
      <c r="K452" s="19"/>
      <c r="L452" s="18" t="s">
        <v>1792</v>
      </c>
      <c r="M452" s="18" t="s">
        <v>1793</v>
      </c>
      <c r="N452" s="18" t="s">
        <v>131</v>
      </c>
      <c r="O452" s="18" t="s">
        <v>41</v>
      </c>
      <c r="P452" s="18" t="s">
        <v>162</v>
      </c>
      <c r="Q452" s="10">
        <f t="shared" si="1"/>
        <v>1</v>
      </c>
    </row>
    <row r="453">
      <c r="A453" s="18" t="s">
        <v>1596</v>
      </c>
      <c r="B453" s="18" t="s">
        <v>44</v>
      </c>
      <c r="C453" s="18" t="s">
        <v>1239</v>
      </c>
      <c r="D453" s="18" t="s">
        <v>1794</v>
      </c>
      <c r="E453" s="18" t="s">
        <v>1795</v>
      </c>
      <c r="F453" s="18" t="s">
        <v>228</v>
      </c>
      <c r="G453" s="18">
        <v>40.65</v>
      </c>
      <c r="H453" s="18" t="s">
        <v>168</v>
      </c>
      <c r="I453" s="19">
        <v>6938.0</v>
      </c>
      <c r="J453" s="19">
        <v>7300.0</v>
      </c>
      <c r="K453" s="19"/>
      <c r="L453" s="18" t="s">
        <v>1796</v>
      </c>
      <c r="M453" s="18" t="s">
        <v>1797</v>
      </c>
      <c r="N453" s="18" t="s">
        <v>131</v>
      </c>
      <c r="O453" s="18" t="s">
        <v>57</v>
      </c>
      <c r="P453" s="18" t="s">
        <v>162</v>
      </c>
      <c r="Q453" s="10">
        <f t="shared" si="1"/>
        <v>1</v>
      </c>
    </row>
    <row r="454">
      <c r="A454" s="18" t="s">
        <v>1596</v>
      </c>
      <c r="B454" s="18" t="s">
        <v>44</v>
      </c>
      <c r="C454" s="18" t="s">
        <v>1781</v>
      </c>
      <c r="D454" s="18" t="s">
        <v>1798</v>
      </c>
      <c r="E454" s="18" t="s">
        <v>1799</v>
      </c>
      <c r="F454" s="18" t="s">
        <v>228</v>
      </c>
      <c r="G454" s="18">
        <v>34.13</v>
      </c>
      <c r="H454" s="18" t="s">
        <v>168</v>
      </c>
      <c r="I454" s="19">
        <v>6200.0</v>
      </c>
      <c r="J454" s="19">
        <v>6550.0</v>
      </c>
      <c r="K454" s="19"/>
      <c r="L454" s="18" t="s">
        <v>1800</v>
      </c>
      <c r="M454" s="18" t="s">
        <v>1801</v>
      </c>
      <c r="N454" s="18" t="s">
        <v>131</v>
      </c>
      <c r="O454" s="18" t="s">
        <v>57</v>
      </c>
      <c r="P454" s="18" t="s">
        <v>162</v>
      </c>
      <c r="Q454" s="10">
        <f t="shared" si="1"/>
        <v>1</v>
      </c>
    </row>
    <row r="455">
      <c r="A455" s="18" t="s">
        <v>1596</v>
      </c>
      <c r="B455" s="18" t="s">
        <v>44</v>
      </c>
      <c r="C455" s="18" t="s">
        <v>1239</v>
      </c>
      <c r="D455" s="18" t="s">
        <v>1802</v>
      </c>
      <c r="E455" s="18" t="s">
        <v>1803</v>
      </c>
      <c r="F455" s="18" t="s">
        <v>228</v>
      </c>
      <c r="G455" s="18">
        <v>45.93</v>
      </c>
      <c r="H455" s="18" t="s">
        <v>168</v>
      </c>
      <c r="I455" s="19">
        <v>6938.0</v>
      </c>
      <c r="J455" s="19">
        <v>7300.0</v>
      </c>
      <c r="K455" s="19"/>
      <c r="L455" s="18" t="s">
        <v>1804</v>
      </c>
      <c r="M455" s="18" t="s">
        <v>1805</v>
      </c>
      <c r="N455" s="18" t="s">
        <v>131</v>
      </c>
      <c r="O455" s="18" t="s">
        <v>57</v>
      </c>
      <c r="P455" s="18" t="s">
        <v>162</v>
      </c>
      <c r="Q455" s="10">
        <f t="shared" si="1"/>
        <v>1</v>
      </c>
    </row>
    <row r="456">
      <c r="A456" s="18" t="s">
        <v>225</v>
      </c>
      <c r="B456" s="18" t="s">
        <v>44</v>
      </c>
      <c r="C456" s="18" t="s">
        <v>53</v>
      </c>
      <c r="D456" s="18" t="s">
        <v>1806</v>
      </c>
      <c r="E456" s="18" t="s">
        <v>1807</v>
      </c>
      <c r="F456" s="18" t="s">
        <v>228</v>
      </c>
      <c r="G456" s="18">
        <v>15.1</v>
      </c>
      <c r="H456" s="18" t="s">
        <v>120</v>
      </c>
      <c r="I456" s="19">
        <v>5150.0</v>
      </c>
      <c r="J456" s="19">
        <v>6700.0</v>
      </c>
      <c r="K456" s="19">
        <v>6000.0</v>
      </c>
      <c r="L456" s="18" t="s">
        <v>1808</v>
      </c>
      <c r="M456" s="18" t="s">
        <v>1809</v>
      </c>
      <c r="N456" s="18" t="s">
        <v>131</v>
      </c>
      <c r="O456" s="18" t="s">
        <v>161</v>
      </c>
      <c r="P456" s="18" t="s">
        <v>162</v>
      </c>
      <c r="Q456" s="10">
        <f t="shared" si="1"/>
        <v>1</v>
      </c>
    </row>
    <row r="457">
      <c r="A457" s="18" t="s">
        <v>132</v>
      </c>
      <c r="B457" s="18" t="s">
        <v>45</v>
      </c>
      <c r="C457" s="18" t="s">
        <v>45</v>
      </c>
      <c r="D457" s="18" t="s">
        <v>1810</v>
      </c>
      <c r="E457" s="18" t="s">
        <v>1811</v>
      </c>
      <c r="F457" s="18" t="s">
        <v>228</v>
      </c>
      <c r="G457" s="18">
        <v>10.93</v>
      </c>
      <c r="H457" s="18" t="s">
        <v>400</v>
      </c>
      <c r="I457" s="19">
        <v>1822.08</v>
      </c>
      <c r="J457" s="19">
        <v>1500.0</v>
      </c>
      <c r="K457" s="19">
        <v>2200.0</v>
      </c>
      <c r="L457" s="18" t="s">
        <v>1812</v>
      </c>
      <c r="M457" s="18" t="s">
        <v>1813</v>
      </c>
      <c r="N457" s="18" t="s">
        <v>143</v>
      </c>
      <c r="O457" s="18" t="s">
        <v>57</v>
      </c>
      <c r="P457" s="18"/>
      <c r="Q457" s="10">
        <f t="shared" si="1"/>
        <v>1</v>
      </c>
    </row>
    <row r="458">
      <c r="A458" s="18" t="s">
        <v>216</v>
      </c>
      <c r="B458" s="18" t="s">
        <v>45</v>
      </c>
      <c r="C458" s="18" t="s">
        <v>45</v>
      </c>
      <c r="D458" s="18" t="s">
        <v>1814</v>
      </c>
      <c r="E458" s="18" t="s">
        <v>1815</v>
      </c>
      <c r="F458" s="18" t="s">
        <v>228</v>
      </c>
      <c r="G458" s="18">
        <v>8.39</v>
      </c>
      <c r="H458" s="18" t="s">
        <v>45</v>
      </c>
      <c r="I458" s="19">
        <v>3194.0</v>
      </c>
      <c r="J458" s="19">
        <v>4500.0</v>
      </c>
      <c r="K458" s="19">
        <v>3850.0</v>
      </c>
      <c r="L458" s="18" t="s">
        <v>1816</v>
      </c>
      <c r="M458" s="18" t="s">
        <v>1817</v>
      </c>
      <c r="N458" s="18" t="s">
        <v>1657</v>
      </c>
      <c r="O458" s="18" t="s">
        <v>83</v>
      </c>
      <c r="P458" s="18" t="s">
        <v>42</v>
      </c>
      <c r="Q458" s="10">
        <f t="shared" si="1"/>
        <v>1</v>
      </c>
    </row>
    <row r="459">
      <c r="A459" s="18" t="s">
        <v>282</v>
      </c>
      <c r="B459" s="18" t="s">
        <v>44</v>
      </c>
      <c r="C459" s="18" t="s">
        <v>76</v>
      </c>
      <c r="D459" s="18" t="s">
        <v>1818</v>
      </c>
      <c r="E459" s="18" t="s">
        <v>1819</v>
      </c>
      <c r="F459" s="18" t="s">
        <v>228</v>
      </c>
      <c r="G459" s="18">
        <v>20.59</v>
      </c>
      <c r="H459" s="18" t="s">
        <v>168</v>
      </c>
      <c r="I459" s="19">
        <v>6499.0</v>
      </c>
      <c r="J459" s="19">
        <v>7800.0</v>
      </c>
      <c r="K459" s="19">
        <v>7800.0</v>
      </c>
      <c r="L459" s="18" t="s">
        <v>1820</v>
      </c>
      <c r="M459" s="18" t="s">
        <v>1821</v>
      </c>
      <c r="N459" s="18" t="s">
        <v>240</v>
      </c>
      <c r="O459" s="18" t="s">
        <v>41</v>
      </c>
      <c r="P459" s="18" t="s">
        <v>63</v>
      </c>
      <c r="Q459" s="10">
        <f t="shared" si="1"/>
        <v>1</v>
      </c>
    </row>
    <row r="460">
      <c r="A460" s="18" t="s">
        <v>1822</v>
      </c>
      <c r="B460" s="18" t="s">
        <v>44</v>
      </c>
      <c r="C460" s="18" t="s">
        <v>53</v>
      </c>
      <c r="D460" s="18" t="s">
        <v>1823</v>
      </c>
      <c r="E460" s="18" t="s">
        <v>1824</v>
      </c>
      <c r="F460" s="18" t="s">
        <v>228</v>
      </c>
      <c r="G460" s="18">
        <v>15.07</v>
      </c>
      <c r="H460" s="18" t="s">
        <v>56</v>
      </c>
      <c r="I460" s="19">
        <v>3700.0</v>
      </c>
      <c r="J460" s="19">
        <v>4100.0</v>
      </c>
      <c r="K460" s="19"/>
      <c r="L460" s="18" t="s">
        <v>1825</v>
      </c>
      <c r="M460" s="18" t="s">
        <v>1826</v>
      </c>
      <c r="N460" s="18" t="s">
        <v>363</v>
      </c>
      <c r="O460" s="18" t="s">
        <v>57</v>
      </c>
      <c r="P460" s="18"/>
      <c r="Q460" s="10">
        <f t="shared" si="1"/>
        <v>1</v>
      </c>
    </row>
    <row r="461">
      <c r="A461" s="18" t="s">
        <v>49</v>
      </c>
      <c r="B461" s="18" t="s">
        <v>44</v>
      </c>
      <c r="C461" s="18" t="s">
        <v>180</v>
      </c>
      <c r="D461" s="18" t="s">
        <v>1827</v>
      </c>
      <c r="E461" s="18" t="s">
        <v>1828</v>
      </c>
      <c r="F461" s="18" t="s">
        <v>228</v>
      </c>
      <c r="G461" s="18">
        <v>22.86</v>
      </c>
      <c r="H461" s="18" t="s">
        <v>168</v>
      </c>
      <c r="I461" s="19">
        <v>8300.0</v>
      </c>
      <c r="J461" s="19">
        <v>9550.0</v>
      </c>
      <c r="K461" s="19">
        <v>10000.0</v>
      </c>
      <c r="L461" s="18" t="s">
        <v>1829</v>
      </c>
      <c r="M461" s="18" t="s">
        <v>1634</v>
      </c>
      <c r="N461" s="18" t="s">
        <v>403</v>
      </c>
      <c r="O461" s="18" t="s">
        <v>57</v>
      </c>
      <c r="P461" s="18" t="s">
        <v>48</v>
      </c>
      <c r="Q461" s="10">
        <f t="shared" si="1"/>
        <v>1</v>
      </c>
    </row>
    <row r="462">
      <c r="A462" s="18" t="s">
        <v>138</v>
      </c>
      <c r="B462" s="18" t="s">
        <v>45</v>
      </c>
      <c r="C462" s="18" t="s">
        <v>45</v>
      </c>
      <c r="D462" s="18" t="s">
        <v>1830</v>
      </c>
      <c r="E462" s="18" t="s">
        <v>1831</v>
      </c>
      <c r="F462" s="18" t="s">
        <v>228</v>
      </c>
      <c r="G462" s="18">
        <v>9.21</v>
      </c>
      <c r="H462" s="18" t="s">
        <v>45</v>
      </c>
      <c r="I462" s="19">
        <v>1652.0</v>
      </c>
      <c r="J462" s="19">
        <v>2400.0</v>
      </c>
      <c r="K462" s="19">
        <v>2050.0</v>
      </c>
      <c r="L462" s="18" t="s">
        <v>1832</v>
      </c>
      <c r="M462" s="18" t="s">
        <v>1833</v>
      </c>
      <c r="N462" s="18" t="s">
        <v>403</v>
      </c>
      <c r="O462" s="18" t="s">
        <v>41</v>
      </c>
      <c r="P462" s="18" t="s">
        <v>144</v>
      </c>
      <c r="Q462" s="10">
        <f t="shared" si="1"/>
        <v>1</v>
      </c>
    </row>
    <row r="463">
      <c r="A463" s="18" t="s">
        <v>1238</v>
      </c>
      <c r="B463" s="18" t="s">
        <v>44</v>
      </c>
      <c r="C463" s="18" t="s">
        <v>1834</v>
      </c>
      <c r="D463" s="18" t="s">
        <v>1835</v>
      </c>
      <c r="E463" s="18" t="s">
        <v>1836</v>
      </c>
      <c r="F463" s="18" t="s">
        <v>228</v>
      </c>
      <c r="G463" s="18">
        <v>58.23</v>
      </c>
      <c r="H463" s="18" t="s">
        <v>471</v>
      </c>
      <c r="I463" s="19">
        <v>7800.0</v>
      </c>
      <c r="J463" s="19">
        <v>10150.0</v>
      </c>
      <c r="K463" s="19"/>
      <c r="L463" s="18" t="s">
        <v>1837</v>
      </c>
      <c r="M463" s="18" t="s">
        <v>1838</v>
      </c>
      <c r="N463" s="18" t="s">
        <v>806</v>
      </c>
      <c r="O463" s="18" t="s">
        <v>57</v>
      </c>
      <c r="P463" s="18" t="s">
        <v>144</v>
      </c>
      <c r="Q463" s="10">
        <f t="shared" si="1"/>
        <v>1</v>
      </c>
    </row>
    <row r="464">
      <c r="A464" s="18" t="s">
        <v>171</v>
      </c>
      <c r="B464" s="18" t="s">
        <v>44</v>
      </c>
      <c r="C464" s="18" t="s">
        <v>113</v>
      </c>
      <c r="D464" s="18" t="s">
        <v>1839</v>
      </c>
      <c r="E464" s="18" t="s">
        <v>1840</v>
      </c>
      <c r="F464" s="18" t="s">
        <v>228</v>
      </c>
      <c r="G464" s="18">
        <v>9.57</v>
      </c>
      <c r="H464" s="18" t="s">
        <v>116</v>
      </c>
      <c r="I464" s="19">
        <v>2990.0</v>
      </c>
      <c r="J464" s="19">
        <v>3450.0</v>
      </c>
      <c r="K464" s="19">
        <v>3600.0</v>
      </c>
      <c r="L464" s="18" t="s">
        <v>1841</v>
      </c>
      <c r="M464" s="18" t="s">
        <v>1842</v>
      </c>
      <c r="N464" s="18" t="s">
        <v>363</v>
      </c>
      <c r="O464" s="18" t="s">
        <v>41</v>
      </c>
      <c r="P464" s="18"/>
      <c r="Q464" s="10">
        <f t="shared" si="1"/>
        <v>1</v>
      </c>
    </row>
    <row r="465">
      <c r="A465" s="18" t="s">
        <v>165</v>
      </c>
      <c r="B465" s="18" t="s">
        <v>44</v>
      </c>
      <c r="C465" s="18" t="s">
        <v>180</v>
      </c>
      <c r="D465" s="18" t="s">
        <v>1843</v>
      </c>
      <c r="E465" s="18" t="s">
        <v>1844</v>
      </c>
      <c r="F465" s="18" t="s">
        <v>228</v>
      </c>
      <c r="G465" s="18">
        <v>23.4</v>
      </c>
      <c r="H465" s="18" t="s">
        <v>168</v>
      </c>
      <c r="I465" s="19">
        <v>4511.0</v>
      </c>
      <c r="J465" s="19">
        <v>5450.0</v>
      </c>
      <c r="K465" s="19">
        <v>5500.0</v>
      </c>
      <c r="L465" s="18" t="s">
        <v>1845</v>
      </c>
      <c r="M465" s="18" t="s">
        <v>1846</v>
      </c>
      <c r="N465" s="18" t="s">
        <v>131</v>
      </c>
      <c r="O465" s="18" t="s">
        <v>117</v>
      </c>
      <c r="P465" s="18"/>
      <c r="Q465" s="10">
        <f t="shared" si="1"/>
        <v>1</v>
      </c>
    </row>
    <row r="466">
      <c r="A466" s="18" t="s">
        <v>1238</v>
      </c>
      <c r="B466" s="18" t="s">
        <v>44</v>
      </c>
      <c r="C466" s="18" t="s">
        <v>133</v>
      </c>
      <c r="D466" s="18" t="s">
        <v>1847</v>
      </c>
      <c r="E466" s="18" t="s">
        <v>1848</v>
      </c>
      <c r="F466" s="18" t="s">
        <v>228</v>
      </c>
      <c r="G466" s="18">
        <v>14.58</v>
      </c>
      <c r="H466" s="18" t="s">
        <v>1242</v>
      </c>
      <c r="I466" s="19">
        <v>3199.0</v>
      </c>
      <c r="J466" s="19">
        <v>4200.0</v>
      </c>
      <c r="K466" s="19"/>
      <c r="L466" s="18" t="s">
        <v>1849</v>
      </c>
      <c r="M466" s="18" t="s">
        <v>1850</v>
      </c>
      <c r="N466" s="18" t="s">
        <v>143</v>
      </c>
      <c r="O466" s="18" t="s">
        <v>41</v>
      </c>
      <c r="P466" s="18" t="s">
        <v>144</v>
      </c>
      <c r="Q466" s="10">
        <f t="shared" si="1"/>
        <v>1</v>
      </c>
    </row>
    <row r="467">
      <c r="A467" s="18" t="s">
        <v>201</v>
      </c>
      <c r="B467" s="18" t="s">
        <v>45</v>
      </c>
      <c r="C467" s="18" t="s">
        <v>45</v>
      </c>
      <c r="D467" s="18" t="s">
        <v>1851</v>
      </c>
      <c r="E467" s="18" t="s">
        <v>1852</v>
      </c>
      <c r="F467" s="18" t="s">
        <v>228</v>
      </c>
      <c r="G467" s="18">
        <v>11.16</v>
      </c>
      <c r="H467" s="18" t="s">
        <v>45</v>
      </c>
      <c r="I467" s="19">
        <v>1900.0</v>
      </c>
      <c r="J467" s="19">
        <v>2300.0</v>
      </c>
      <c r="K467" s="19">
        <v>2300.0</v>
      </c>
      <c r="L467" s="18" t="s">
        <v>1853</v>
      </c>
      <c r="M467" s="18" t="s">
        <v>1854</v>
      </c>
      <c r="N467" s="18" t="s">
        <v>903</v>
      </c>
      <c r="O467" s="18" t="s">
        <v>57</v>
      </c>
      <c r="P467" s="18"/>
      <c r="Q467" s="10">
        <f t="shared" si="1"/>
        <v>1</v>
      </c>
    </row>
    <row r="468">
      <c r="A468" s="18" t="s">
        <v>1029</v>
      </c>
      <c r="B468" s="18" t="s">
        <v>44</v>
      </c>
      <c r="C468" s="18" t="s">
        <v>64</v>
      </c>
      <c r="D468" s="18" t="s">
        <v>1855</v>
      </c>
      <c r="E468" s="18" t="s">
        <v>1856</v>
      </c>
      <c r="F468" s="18" t="s">
        <v>228</v>
      </c>
      <c r="G468" s="18">
        <v>18.21</v>
      </c>
      <c r="H468" s="18" t="s">
        <v>120</v>
      </c>
      <c r="I468" s="19">
        <v>513.0</v>
      </c>
      <c r="J468" s="19">
        <v>415.0</v>
      </c>
      <c r="K468" s="19"/>
      <c r="L468" s="18" t="s">
        <v>1857</v>
      </c>
      <c r="M468" s="18" t="s">
        <v>1858</v>
      </c>
      <c r="N468" s="18" t="s">
        <v>1034</v>
      </c>
      <c r="O468" s="18" t="s">
        <v>57</v>
      </c>
      <c r="P468" s="18"/>
      <c r="Q468" s="10">
        <f t="shared" si="1"/>
        <v>1</v>
      </c>
    </row>
    <row r="469">
      <c r="A469" s="18" t="s">
        <v>49</v>
      </c>
      <c r="B469" s="18" t="s">
        <v>45</v>
      </c>
      <c r="C469" s="18" t="s">
        <v>50</v>
      </c>
      <c r="D469" s="18" t="s">
        <v>1859</v>
      </c>
      <c r="E469" s="18" t="s">
        <v>1860</v>
      </c>
      <c r="F469" s="18" t="s">
        <v>228</v>
      </c>
      <c r="G469" s="18">
        <v>9.12</v>
      </c>
      <c r="H469" s="18" t="s">
        <v>40</v>
      </c>
      <c r="I469" s="19">
        <v>3551.0</v>
      </c>
      <c r="J469" s="19">
        <v>4100.0</v>
      </c>
      <c r="K469" s="19">
        <v>4350.0</v>
      </c>
      <c r="L469" s="18" t="s">
        <v>1861</v>
      </c>
      <c r="M469" s="18" t="s">
        <v>1862</v>
      </c>
      <c r="N469" s="18" t="s">
        <v>143</v>
      </c>
      <c r="O469" s="18" t="s">
        <v>41</v>
      </c>
      <c r="P469" s="18" t="s">
        <v>48</v>
      </c>
      <c r="Q469" s="10">
        <f t="shared" si="1"/>
        <v>1</v>
      </c>
    </row>
    <row r="470">
      <c r="A470" s="18" t="s">
        <v>282</v>
      </c>
      <c r="B470" s="18" t="s">
        <v>44</v>
      </c>
      <c r="C470" s="18" t="s">
        <v>180</v>
      </c>
      <c r="D470" s="18" t="s">
        <v>1863</v>
      </c>
      <c r="E470" s="18" t="s">
        <v>1864</v>
      </c>
      <c r="F470" s="18" t="s">
        <v>228</v>
      </c>
      <c r="G470" s="18">
        <v>23.65</v>
      </c>
      <c r="H470" s="18" t="s">
        <v>168</v>
      </c>
      <c r="I470" s="19">
        <v>6499.0</v>
      </c>
      <c r="J470" s="19">
        <v>7800.0</v>
      </c>
      <c r="K470" s="19">
        <v>7800.0</v>
      </c>
      <c r="L470" s="18" t="s">
        <v>1865</v>
      </c>
      <c r="M470" s="18" t="s">
        <v>1866</v>
      </c>
      <c r="N470" s="18" t="s">
        <v>143</v>
      </c>
      <c r="O470" s="18" t="s">
        <v>57</v>
      </c>
      <c r="P470" s="18" t="s">
        <v>63</v>
      </c>
      <c r="Q470" s="10">
        <f t="shared" si="1"/>
        <v>1</v>
      </c>
    </row>
    <row r="471">
      <c r="A471" s="18" t="s">
        <v>1238</v>
      </c>
      <c r="B471" s="18" t="s">
        <v>44</v>
      </c>
      <c r="C471" s="18" t="s">
        <v>76</v>
      </c>
      <c r="D471" s="18" t="s">
        <v>1867</v>
      </c>
      <c r="E471" s="18" t="s">
        <v>1868</v>
      </c>
      <c r="F471" s="18" t="s">
        <v>228</v>
      </c>
      <c r="G471" s="18">
        <v>19.18</v>
      </c>
      <c r="H471" s="18" t="s">
        <v>1495</v>
      </c>
      <c r="I471" s="19">
        <v>4489.0</v>
      </c>
      <c r="J471" s="19">
        <v>5850.0</v>
      </c>
      <c r="K471" s="19"/>
      <c r="L471" s="18" t="s">
        <v>1869</v>
      </c>
      <c r="M471" s="18" t="s">
        <v>1870</v>
      </c>
      <c r="N471" s="18" t="s">
        <v>240</v>
      </c>
      <c r="O471" s="18" t="s">
        <v>41</v>
      </c>
      <c r="P471" s="18" t="s">
        <v>144</v>
      </c>
      <c r="Q471" s="10">
        <f t="shared" si="1"/>
        <v>1</v>
      </c>
    </row>
    <row r="472">
      <c r="A472" s="18" t="s">
        <v>158</v>
      </c>
      <c r="B472" s="18" t="s">
        <v>44</v>
      </c>
      <c r="C472" s="18" t="s">
        <v>64</v>
      </c>
      <c r="D472" s="18" t="s">
        <v>1871</v>
      </c>
      <c r="E472" s="18" t="s">
        <v>1872</v>
      </c>
      <c r="F472" s="18" t="s">
        <v>228</v>
      </c>
      <c r="G472" s="18">
        <v>18.27</v>
      </c>
      <c r="H472" s="18" t="s">
        <v>120</v>
      </c>
      <c r="I472" s="19">
        <v>5516.0</v>
      </c>
      <c r="J472" s="19">
        <v>5550.0</v>
      </c>
      <c r="K472" s="19">
        <v>6700.0</v>
      </c>
      <c r="L472" s="18" t="s">
        <v>1873</v>
      </c>
      <c r="M472" s="18" t="s">
        <v>1874</v>
      </c>
      <c r="N472" s="18" t="s">
        <v>131</v>
      </c>
      <c r="O472" s="18" t="s">
        <v>161</v>
      </c>
      <c r="P472" s="18" t="s">
        <v>162</v>
      </c>
      <c r="Q472" s="10">
        <f t="shared" si="1"/>
        <v>1</v>
      </c>
    </row>
    <row r="473">
      <c r="A473" s="18" t="s">
        <v>1029</v>
      </c>
      <c r="B473" s="18" t="s">
        <v>44</v>
      </c>
      <c r="C473" s="18" t="s">
        <v>53</v>
      </c>
      <c r="D473" s="18" t="s">
        <v>1875</v>
      </c>
      <c r="E473" s="18" t="s">
        <v>1876</v>
      </c>
      <c r="F473" s="18" t="s">
        <v>228</v>
      </c>
      <c r="G473" s="18">
        <v>15.65</v>
      </c>
      <c r="H473" s="18" t="s">
        <v>56</v>
      </c>
      <c r="I473" s="19">
        <v>450.0</v>
      </c>
      <c r="J473" s="19">
        <v>360.0</v>
      </c>
      <c r="K473" s="19"/>
      <c r="L473" s="18" t="s">
        <v>1877</v>
      </c>
      <c r="M473" s="18" t="s">
        <v>1878</v>
      </c>
      <c r="N473" s="18" t="s">
        <v>1034</v>
      </c>
      <c r="O473" s="18" t="s">
        <v>57</v>
      </c>
      <c r="P473" s="18"/>
      <c r="Q473" s="10">
        <f t="shared" si="1"/>
        <v>1</v>
      </c>
    </row>
    <row r="474">
      <c r="A474" s="18" t="s">
        <v>1238</v>
      </c>
      <c r="B474" s="18" t="s">
        <v>44</v>
      </c>
      <c r="C474" s="18" t="s">
        <v>64</v>
      </c>
      <c r="D474" s="18" t="s">
        <v>1879</v>
      </c>
      <c r="E474" s="18" t="s">
        <v>1880</v>
      </c>
      <c r="F474" s="18" t="s">
        <v>228</v>
      </c>
      <c r="G474" s="18">
        <v>17.05</v>
      </c>
      <c r="H474" s="18" t="s">
        <v>1495</v>
      </c>
      <c r="I474" s="19">
        <v>4125.0</v>
      </c>
      <c r="J474" s="19">
        <v>5400.0</v>
      </c>
      <c r="K474" s="19"/>
      <c r="L474" s="18" t="s">
        <v>1881</v>
      </c>
      <c r="M474" s="18" t="s">
        <v>1182</v>
      </c>
      <c r="N474" s="18" t="s">
        <v>240</v>
      </c>
      <c r="O474" s="18" t="s">
        <v>41</v>
      </c>
      <c r="P474" s="18" t="s">
        <v>144</v>
      </c>
      <c r="Q474" s="10">
        <f t="shared" si="1"/>
        <v>1</v>
      </c>
    </row>
    <row r="475">
      <c r="A475" s="18" t="s">
        <v>364</v>
      </c>
      <c r="B475" s="18" t="s">
        <v>44</v>
      </c>
      <c r="C475" s="18" t="s">
        <v>180</v>
      </c>
      <c r="D475" s="18" t="s">
        <v>1882</v>
      </c>
      <c r="E475" s="18" t="s">
        <v>1883</v>
      </c>
      <c r="F475" s="18" t="s">
        <v>228</v>
      </c>
      <c r="G475" s="18">
        <v>22.16</v>
      </c>
      <c r="H475" s="18" t="s">
        <v>168</v>
      </c>
      <c r="I475" s="19">
        <v>5600.0</v>
      </c>
      <c r="J475" s="19">
        <v>5600.0</v>
      </c>
      <c r="K475" s="19">
        <v>6500.0</v>
      </c>
      <c r="L475" s="18" t="s">
        <v>1884</v>
      </c>
      <c r="M475" s="18" t="s">
        <v>1182</v>
      </c>
      <c r="N475" s="18" t="s">
        <v>240</v>
      </c>
      <c r="O475" s="18" t="s">
        <v>117</v>
      </c>
      <c r="P475" s="18" t="s">
        <v>369</v>
      </c>
      <c r="Q475" s="10">
        <f t="shared" si="1"/>
        <v>1</v>
      </c>
    </row>
    <row r="476">
      <c r="A476" s="18" t="s">
        <v>364</v>
      </c>
      <c r="B476" s="18" t="s">
        <v>44</v>
      </c>
      <c r="C476" s="18" t="s">
        <v>180</v>
      </c>
      <c r="D476" s="18" t="s">
        <v>1885</v>
      </c>
      <c r="E476" s="18" t="s">
        <v>1886</v>
      </c>
      <c r="F476" s="18" t="s">
        <v>228</v>
      </c>
      <c r="G476" s="18">
        <v>22.91</v>
      </c>
      <c r="H476" s="18" t="s">
        <v>168</v>
      </c>
      <c r="I476" s="19">
        <v>5600.0</v>
      </c>
      <c r="J476" s="19">
        <v>5600.0</v>
      </c>
      <c r="K476" s="19">
        <v>6500.0</v>
      </c>
      <c r="L476" s="18" t="s">
        <v>1887</v>
      </c>
      <c r="M476" s="18" t="s">
        <v>1182</v>
      </c>
      <c r="N476" s="18" t="s">
        <v>240</v>
      </c>
      <c r="O476" s="18" t="s">
        <v>117</v>
      </c>
      <c r="P476" s="18" t="s">
        <v>369</v>
      </c>
      <c r="Q476" s="10">
        <f t="shared" si="1"/>
        <v>1</v>
      </c>
    </row>
    <row r="477">
      <c r="A477" s="18" t="s">
        <v>1029</v>
      </c>
      <c r="B477" s="18" t="s">
        <v>44</v>
      </c>
      <c r="C477" s="18" t="s">
        <v>53</v>
      </c>
      <c r="D477" s="18" t="s">
        <v>1888</v>
      </c>
      <c r="E477" s="18" t="s">
        <v>1889</v>
      </c>
      <c r="F477" s="18" t="s">
        <v>228</v>
      </c>
      <c r="G477" s="18">
        <v>16.29</v>
      </c>
      <c r="H477" s="18" t="s">
        <v>56</v>
      </c>
      <c r="I477" s="19">
        <v>450.0</v>
      </c>
      <c r="J477" s="19">
        <v>360.0</v>
      </c>
      <c r="K477" s="19"/>
      <c r="L477" s="18" t="s">
        <v>1890</v>
      </c>
      <c r="M477" s="18" t="s">
        <v>1891</v>
      </c>
      <c r="N477" s="18" t="s">
        <v>1034</v>
      </c>
      <c r="O477" s="18" t="s">
        <v>83</v>
      </c>
      <c r="P477" s="18"/>
      <c r="Q477" s="10">
        <f t="shared" si="1"/>
        <v>1</v>
      </c>
    </row>
    <row r="478">
      <c r="A478" s="18" t="s">
        <v>364</v>
      </c>
      <c r="B478" s="18" t="s">
        <v>44</v>
      </c>
      <c r="C478" s="18" t="s">
        <v>76</v>
      </c>
      <c r="D478" s="18" t="s">
        <v>1892</v>
      </c>
      <c r="E478" s="18" t="s">
        <v>1893</v>
      </c>
      <c r="F478" s="18" t="s">
        <v>228</v>
      </c>
      <c r="G478" s="18">
        <v>19.25</v>
      </c>
      <c r="H478" s="18" t="s">
        <v>120</v>
      </c>
      <c r="I478" s="19">
        <v>5100.0</v>
      </c>
      <c r="J478" s="19">
        <v>5100.0</v>
      </c>
      <c r="K478" s="19">
        <v>5950.0</v>
      </c>
      <c r="L478" s="18" t="s">
        <v>1894</v>
      </c>
      <c r="M478" s="18" t="s">
        <v>1626</v>
      </c>
      <c r="N478" s="18" t="s">
        <v>240</v>
      </c>
      <c r="O478" s="18" t="s">
        <v>41</v>
      </c>
      <c r="P478" s="18" t="s">
        <v>369</v>
      </c>
      <c r="Q478" s="10">
        <f t="shared" si="1"/>
        <v>1</v>
      </c>
    </row>
    <row r="479">
      <c r="A479" s="18" t="s">
        <v>225</v>
      </c>
      <c r="B479" s="18" t="s">
        <v>44</v>
      </c>
      <c r="C479" s="18" t="s">
        <v>64</v>
      </c>
      <c r="D479" s="18" t="s">
        <v>1895</v>
      </c>
      <c r="E479" s="18" t="s">
        <v>1896</v>
      </c>
      <c r="F479" s="18" t="s">
        <v>228</v>
      </c>
      <c r="G479" s="18">
        <v>17.9</v>
      </c>
      <c r="H479" s="18" t="s">
        <v>120</v>
      </c>
      <c r="I479" s="19">
        <v>6200.0</v>
      </c>
      <c r="J479" s="19">
        <v>8100.0</v>
      </c>
      <c r="K479" s="19">
        <v>7200.0</v>
      </c>
      <c r="L479" s="18" t="s">
        <v>1897</v>
      </c>
      <c r="M479" s="18" t="s">
        <v>1898</v>
      </c>
      <c r="N479" s="18" t="s">
        <v>403</v>
      </c>
      <c r="O479" s="18" t="s">
        <v>41</v>
      </c>
      <c r="P479" s="18" t="s">
        <v>162</v>
      </c>
      <c r="Q479" s="10">
        <f t="shared" si="1"/>
        <v>1</v>
      </c>
    </row>
    <row r="480">
      <c r="A480" s="18" t="s">
        <v>1899</v>
      </c>
      <c r="B480" s="18" t="s">
        <v>44</v>
      </c>
      <c r="C480" s="18" t="s">
        <v>180</v>
      </c>
      <c r="D480" s="18" t="s">
        <v>1900</v>
      </c>
      <c r="E480" s="18" t="s">
        <v>1901</v>
      </c>
      <c r="F480" s="18" t="s">
        <v>228</v>
      </c>
      <c r="G480" s="18">
        <v>22.02</v>
      </c>
      <c r="H480" s="18" t="s">
        <v>168</v>
      </c>
      <c r="I480" s="19">
        <v>4001.0</v>
      </c>
      <c r="J480" s="19"/>
      <c r="K480" s="19"/>
      <c r="L480" s="18" t="s">
        <v>1902</v>
      </c>
      <c r="M480" s="18" t="s">
        <v>1903</v>
      </c>
      <c r="N480" s="18" t="s">
        <v>363</v>
      </c>
      <c r="O480" s="18" t="s">
        <v>41</v>
      </c>
      <c r="P480" s="18"/>
      <c r="Q480" s="10">
        <f t="shared" si="1"/>
        <v>1</v>
      </c>
    </row>
    <row r="481">
      <c r="A481" s="18" t="s">
        <v>145</v>
      </c>
      <c r="B481" s="18" t="s">
        <v>44</v>
      </c>
      <c r="C481" s="18" t="s">
        <v>53</v>
      </c>
      <c r="D481" s="18" t="s">
        <v>1904</v>
      </c>
      <c r="E481" s="18" t="s">
        <v>1905</v>
      </c>
      <c r="F481" s="18" t="s">
        <v>228</v>
      </c>
      <c r="G481" s="18">
        <v>16.5</v>
      </c>
      <c r="H481" s="18" t="s">
        <v>56</v>
      </c>
      <c r="I481" s="19">
        <v>8592.0</v>
      </c>
      <c r="J481" s="19">
        <v>9500.0</v>
      </c>
      <c r="K481" s="19">
        <v>10350.0</v>
      </c>
      <c r="L481" s="18" t="s">
        <v>1906</v>
      </c>
      <c r="M481" s="18" t="s">
        <v>1907</v>
      </c>
      <c r="N481" s="18" t="s">
        <v>131</v>
      </c>
      <c r="O481" s="18" t="s">
        <v>151</v>
      </c>
      <c r="P481" s="18" t="s">
        <v>63</v>
      </c>
      <c r="Q481" s="10">
        <f t="shared" si="1"/>
        <v>1</v>
      </c>
    </row>
    <row r="482">
      <c r="A482" s="18" t="s">
        <v>191</v>
      </c>
      <c r="B482" s="18" t="s">
        <v>45</v>
      </c>
      <c r="C482" s="18" t="s">
        <v>45</v>
      </c>
      <c r="D482" s="18" t="s">
        <v>1908</v>
      </c>
      <c r="E482" s="18" t="s">
        <v>1909</v>
      </c>
      <c r="F482" s="18" t="s">
        <v>228</v>
      </c>
      <c r="G482" s="18">
        <v>12.51</v>
      </c>
      <c r="H482" s="18" t="s">
        <v>45</v>
      </c>
      <c r="I482" s="19">
        <v>3900.0</v>
      </c>
      <c r="J482" s="19">
        <v>5100.0</v>
      </c>
      <c r="K482" s="19"/>
      <c r="L482" s="18" t="s">
        <v>1910</v>
      </c>
      <c r="M482" s="18" t="s">
        <v>1911</v>
      </c>
      <c r="N482" s="18" t="s">
        <v>903</v>
      </c>
      <c r="O482" s="18" t="s">
        <v>57</v>
      </c>
      <c r="P482" s="18" t="s">
        <v>48</v>
      </c>
      <c r="Q482" s="10">
        <f t="shared" si="1"/>
        <v>1</v>
      </c>
    </row>
    <row r="483">
      <c r="A483" s="18" t="s">
        <v>148</v>
      </c>
      <c r="B483" s="18" t="s">
        <v>44</v>
      </c>
      <c r="C483" s="18" t="s">
        <v>423</v>
      </c>
      <c r="D483" s="18" t="s">
        <v>1912</v>
      </c>
      <c r="E483" s="18" t="s">
        <v>1913</v>
      </c>
      <c r="F483" s="18" t="s">
        <v>228</v>
      </c>
      <c r="G483" s="18">
        <v>29.4</v>
      </c>
      <c r="H483" s="18" t="s">
        <v>168</v>
      </c>
      <c r="I483" s="19">
        <v>10857.0</v>
      </c>
      <c r="J483" s="19">
        <v>10900.0</v>
      </c>
      <c r="K483" s="19">
        <v>13100.0</v>
      </c>
      <c r="L483" s="18" t="s">
        <v>1914</v>
      </c>
      <c r="M483" s="18" t="s">
        <v>1915</v>
      </c>
      <c r="N483" s="18" t="s">
        <v>143</v>
      </c>
      <c r="O483" s="18" t="s">
        <v>151</v>
      </c>
      <c r="P483" s="18" t="s">
        <v>48</v>
      </c>
      <c r="Q483" s="10">
        <f t="shared" si="1"/>
        <v>1</v>
      </c>
    </row>
    <row r="484">
      <c r="A484" s="18" t="s">
        <v>138</v>
      </c>
      <c r="B484" s="18" t="s">
        <v>44</v>
      </c>
      <c r="C484" s="18" t="s">
        <v>133</v>
      </c>
      <c r="D484" s="18" t="s">
        <v>1916</v>
      </c>
      <c r="E484" s="18" t="s">
        <v>1917</v>
      </c>
      <c r="F484" s="18" t="s">
        <v>228</v>
      </c>
      <c r="G484" s="18">
        <v>13.88</v>
      </c>
      <c r="H484" s="18" t="s">
        <v>56</v>
      </c>
      <c r="I484" s="19">
        <v>3113.0</v>
      </c>
      <c r="J484" s="19">
        <v>4550.0</v>
      </c>
      <c r="K484" s="19">
        <v>3800.0</v>
      </c>
      <c r="L484" s="18" t="s">
        <v>1918</v>
      </c>
      <c r="M484" s="18" t="s">
        <v>1919</v>
      </c>
      <c r="N484" s="18" t="s">
        <v>403</v>
      </c>
      <c r="O484" s="18" t="s">
        <v>57</v>
      </c>
      <c r="P484" s="18" t="s">
        <v>144</v>
      </c>
      <c r="Q484" s="10">
        <f t="shared" si="1"/>
        <v>1</v>
      </c>
    </row>
    <row r="485">
      <c r="A485" s="18" t="s">
        <v>158</v>
      </c>
      <c r="B485" s="18" t="s">
        <v>44</v>
      </c>
      <c r="C485" s="18" t="s">
        <v>64</v>
      </c>
      <c r="D485" s="18" t="s">
        <v>1920</v>
      </c>
      <c r="E485" s="18" t="s">
        <v>1921</v>
      </c>
      <c r="F485" s="18" t="s">
        <v>228</v>
      </c>
      <c r="G485" s="18">
        <v>18.27</v>
      </c>
      <c r="H485" s="18" t="s">
        <v>120</v>
      </c>
      <c r="I485" s="19">
        <v>5516.0</v>
      </c>
      <c r="J485" s="19">
        <v>5550.0</v>
      </c>
      <c r="K485" s="19">
        <v>6700.0</v>
      </c>
      <c r="L485" s="18" t="s">
        <v>1922</v>
      </c>
      <c r="M485" s="18" t="s">
        <v>1923</v>
      </c>
      <c r="N485" s="18" t="s">
        <v>131</v>
      </c>
      <c r="O485" s="18" t="s">
        <v>161</v>
      </c>
      <c r="P485" s="18" t="s">
        <v>162</v>
      </c>
      <c r="Q485" s="10">
        <f t="shared" si="1"/>
        <v>1</v>
      </c>
    </row>
    <row r="486">
      <c r="A486" s="18" t="s">
        <v>43</v>
      </c>
      <c r="B486" s="18" t="s">
        <v>44</v>
      </c>
      <c r="C486" s="18" t="s">
        <v>37</v>
      </c>
      <c r="D486" s="18" t="s">
        <v>1924</v>
      </c>
      <c r="E486" s="18" t="s">
        <v>1925</v>
      </c>
      <c r="F486" s="18" t="s">
        <v>228</v>
      </c>
      <c r="G486" s="18">
        <v>43.9</v>
      </c>
      <c r="H486" s="18" t="s">
        <v>168</v>
      </c>
      <c r="I486" s="19">
        <v>10800.0</v>
      </c>
      <c r="J486" s="19">
        <v>13000.0</v>
      </c>
      <c r="K486" s="19"/>
      <c r="L486" s="18" t="s">
        <v>1926</v>
      </c>
      <c r="M486" s="18" t="s">
        <v>1259</v>
      </c>
      <c r="N486" s="18" t="s">
        <v>1927</v>
      </c>
      <c r="O486" s="18" t="s">
        <v>83</v>
      </c>
      <c r="P486" s="18" t="s">
        <v>48</v>
      </c>
      <c r="Q486" s="10">
        <f t="shared" si="1"/>
        <v>1</v>
      </c>
    </row>
    <row r="487">
      <c r="A487" s="18" t="s">
        <v>1029</v>
      </c>
      <c r="B487" s="18" t="s">
        <v>44</v>
      </c>
      <c r="C487" s="18" t="s">
        <v>133</v>
      </c>
      <c r="D487" s="18" t="s">
        <v>1928</v>
      </c>
      <c r="E487" s="18" t="s">
        <v>1929</v>
      </c>
      <c r="F487" s="18" t="s">
        <v>228</v>
      </c>
      <c r="G487" s="18">
        <v>14.74</v>
      </c>
      <c r="H487" s="18" t="s">
        <v>56</v>
      </c>
      <c r="I487" s="19">
        <v>433.0</v>
      </c>
      <c r="J487" s="19">
        <v>350.0</v>
      </c>
      <c r="K487" s="19"/>
      <c r="L487" s="18" t="s">
        <v>1930</v>
      </c>
      <c r="M487" s="18" t="s">
        <v>1931</v>
      </c>
      <c r="N487" s="18" t="s">
        <v>1034</v>
      </c>
      <c r="O487" s="18" t="s">
        <v>57</v>
      </c>
      <c r="P487" s="18"/>
      <c r="Q487" s="10">
        <f t="shared" si="1"/>
        <v>1</v>
      </c>
    </row>
    <row r="488">
      <c r="A488" s="18" t="s">
        <v>158</v>
      </c>
      <c r="B488" s="18" t="s">
        <v>44</v>
      </c>
      <c r="C488" s="18" t="s">
        <v>53</v>
      </c>
      <c r="D488" s="18" t="s">
        <v>1932</v>
      </c>
      <c r="E488" s="18" t="s">
        <v>1933</v>
      </c>
      <c r="F488" s="18" t="s">
        <v>228</v>
      </c>
      <c r="G488" s="18">
        <v>16.75</v>
      </c>
      <c r="H488" s="18" t="s">
        <v>120</v>
      </c>
      <c r="I488" s="19">
        <v>5091.0</v>
      </c>
      <c r="J488" s="19">
        <v>5100.0</v>
      </c>
      <c r="K488" s="19">
        <v>6150.0</v>
      </c>
      <c r="L488" s="18" t="s">
        <v>1934</v>
      </c>
      <c r="M488" s="18" t="s">
        <v>1935</v>
      </c>
      <c r="N488" s="18" t="s">
        <v>903</v>
      </c>
      <c r="O488" s="18" t="s">
        <v>41</v>
      </c>
      <c r="P488" s="18" t="s">
        <v>162</v>
      </c>
      <c r="Q488" s="10">
        <f t="shared" si="1"/>
        <v>1</v>
      </c>
    </row>
    <row r="489">
      <c r="A489" s="18" t="s">
        <v>132</v>
      </c>
      <c r="B489" s="18" t="s">
        <v>44</v>
      </c>
      <c r="C489" s="18" t="s">
        <v>76</v>
      </c>
      <c r="D489" s="18" t="s">
        <v>1936</v>
      </c>
      <c r="E489" s="18" t="s">
        <v>1937</v>
      </c>
      <c r="F489" s="18" t="s">
        <v>228</v>
      </c>
      <c r="G489" s="18">
        <v>19.38</v>
      </c>
      <c r="H489" s="18" t="s">
        <v>67</v>
      </c>
      <c r="I489" s="19">
        <v>4118.4</v>
      </c>
      <c r="J489" s="19">
        <v>3300.0</v>
      </c>
      <c r="K489" s="19">
        <v>4500.0</v>
      </c>
      <c r="L489" s="18" t="s">
        <v>1938</v>
      </c>
      <c r="M489" s="18" t="s">
        <v>1939</v>
      </c>
      <c r="N489" s="18" t="s">
        <v>403</v>
      </c>
      <c r="O489" s="18" t="s">
        <v>41</v>
      </c>
      <c r="P489" s="18"/>
      <c r="Q489" s="10">
        <f t="shared" si="1"/>
        <v>1</v>
      </c>
    </row>
    <row r="490">
      <c r="A490" s="18" t="s">
        <v>43</v>
      </c>
      <c r="B490" s="18" t="s">
        <v>44</v>
      </c>
      <c r="C490" s="18" t="s">
        <v>53</v>
      </c>
      <c r="D490" s="18" t="s">
        <v>1940</v>
      </c>
      <c r="E490" s="18" t="s">
        <v>1941</v>
      </c>
      <c r="F490" s="18" t="s">
        <v>228</v>
      </c>
      <c r="G490" s="18">
        <v>15.05</v>
      </c>
      <c r="H490" s="18" t="s">
        <v>56</v>
      </c>
      <c r="I490" s="19">
        <v>6400.0</v>
      </c>
      <c r="J490" s="19">
        <v>7700.0</v>
      </c>
      <c r="K490" s="19"/>
      <c r="L490" s="18" t="s">
        <v>1942</v>
      </c>
      <c r="M490" s="18" t="s">
        <v>1943</v>
      </c>
      <c r="N490" s="18" t="s">
        <v>143</v>
      </c>
      <c r="O490" s="18" t="s">
        <v>57</v>
      </c>
      <c r="P490" s="18" t="s">
        <v>48</v>
      </c>
      <c r="Q490" s="10">
        <f t="shared" si="1"/>
        <v>1</v>
      </c>
    </row>
    <row r="491">
      <c r="A491" s="18" t="s">
        <v>912</v>
      </c>
      <c r="B491" s="18" t="s">
        <v>44</v>
      </c>
      <c r="C491" s="18" t="s">
        <v>53</v>
      </c>
      <c r="D491" s="18" t="s">
        <v>1944</v>
      </c>
      <c r="E491" s="18" t="s">
        <v>1945</v>
      </c>
      <c r="F491" s="18" t="s">
        <v>228</v>
      </c>
      <c r="G491" s="18">
        <v>16.05</v>
      </c>
      <c r="H491" s="18" t="s">
        <v>120</v>
      </c>
      <c r="I491" s="19">
        <v>4900.0</v>
      </c>
      <c r="J491" s="19">
        <v>6150.0</v>
      </c>
      <c r="K491" s="19">
        <v>5700.0</v>
      </c>
      <c r="L491" s="18" t="s">
        <v>1946</v>
      </c>
      <c r="M491" s="18" t="s">
        <v>1947</v>
      </c>
      <c r="N491" s="18" t="s">
        <v>403</v>
      </c>
      <c r="O491" s="18" t="s">
        <v>41</v>
      </c>
      <c r="P491" s="18" t="s">
        <v>917</v>
      </c>
      <c r="Q491" s="10">
        <f t="shared" si="1"/>
        <v>1</v>
      </c>
    </row>
    <row r="492">
      <c r="A492" s="18" t="s">
        <v>148</v>
      </c>
      <c r="B492" s="18" t="s">
        <v>44</v>
      </c>
      <c r="C492" s="18" t="s">
        <v>64</v>
      </c>
      <c r="D492" s="18" t="s">
        <v>1948</v>
      </c>
      <c r="E492" s="18" t="s">
        <v>1949</v>
      </c>
      <c r="F492" s="18" t="s">
        <v>228</v>
      </c>
      <c r="G492" s="18">
        <v>18.1</v>
      </c>
      <c r="H492" s="18" t="s">
        <v>56</v>
      </c>
      <c r="I492" s="19">
        <v>7096.0</v>
      </c>
      <c r="J492" s="19">
        <v>7100.0</v>
      </c>
      <c r="K492" s="19">
        <v>8550.0</v>
      </c>
      <c r="L492" s="18" t="s">
        <v>1950</v>
      </c>
      <c r="M492" s="18" t="s">
        <v>1951</v>
      </c>
      <c r="N492" s="18" t="s">
        <v>903</v>
      </c>
      <c r="O492" s="18" t="s">
        <v>151</v>
      </c>
      <c r="P492" s="18" t="s">
        <v>48</v>
      </c>
      <c r="Q492" s="10">
        <f t="shared" si="1"/>
        <v>1</v>
      </c>
    </row>
    <row r="493">
      <c r="A493" s="18" t="s">
        <v>171</v>
      </c>
      <c r="B493" s="18" t="s">
        <v>45</v>
      </c>
      <c r="C493" s="18" t="s">
        <v>45</v>
      </c>
      <c r="D493" s="18" t="s">
        <v>1952</v>
      </c>
      <c r="E493" s="18" t="s">
        <v>1953</v>
      </c>
      <c r="F493" s="18" t="s">
        <v>228</v>
      </c>
      <c r="G493" s="18">
        <v>13.64</v>
      </c>
      <c r="H493" s="18" t="s">
        <v>45</v>
      </c>
      <c r="I493" s="19">
        <v>1990.0</v>
      </c>
      <c r="J493" s="19">
        <v>2300.0</v>
      </c>
      <c r="K493" s="19">
        <v>2400.0</v>
      </c>
      <c r="L493" s="18" t="s">
        <v>1954</v>
      </c>
      <c r="M493" s="18" t="s">
        <v>1955</v>
      </c>
      <c r="N493" s="18" t="s">
        <v>403</v>
      </c>
      <c r="O493" s="18" t="s">
        <v>198</v>
      </c>
      <c r="P493" s="18"/>
      <c r="Q493" s="10">
        <f t="shared" si="1"/>
        <v>1</v>
      </c>
    </row>
    <row r="494">
      <c r="A494" s="18" t="s">
        <v>210</v>
      </c>
      <c r="B494" s="18" t="s">
        <v>44</v>
      </c>
      <c r="C494" s="18" t="s">
        <v>133</v>
      </c>
      <c r="D494" s="18" t="s">
        <v>1956</v>
      </c>
      <c r="E494" s="18" t="s">
        <v>1957</v>
      </c>
      <c r="F494" s="18" t="s">
        <v>228</v>
      </c>
      <c r="G494" s="18">
        <v>14.91</v>
      </c>
      <c r="H494" s="18" t="s">
        <v>56</v>
      </c>
      <c r="I494" s="19">
        <v>5250.0</v>
      </c>
      <c r="J494" s="19">
        <v>6850.0</v>
      </c>
      <c r="K494" s="19">
        <v>6300.0</v>
      </c>
      <c r="L494" s="18" t="s">
        <v>1958</v>
      </c>
      <c r="M494" s="18" t="s">
        <v>1959</v>
      </c>
      <c r="N494" s="18" t="s">
        <v>903</v>
      </c>
      <c r="O494" s="18" t="s">
        <v>213</v>
      </c>
      <c r="P494" s="18" t="s">
        <v>63</v>
      </c>
      <c r="Q494" s="10">
        <f t="shared" si="1"/>
        <v>1</v>
      </c>
    </row>
    <row r="495">
      <c r="A495" s="18" t="s">
        <v>210</v>
      </c>
      <c r="B495" s="18" t="s">
        <v>45</v>
      </c>
      <c r="C495" s="18" t="s">
        <v>45</v>
      </c>
      <c r="D495" s="18" t="s">
        <v>1960</v>
      </c>
      <c r="E495" s="18" t="s">
        <v>1961</v>
      </c>
      <c r="F495" s="18" t="s">
        <v>228</v>
      </c>
      <c r="G495" s="18">
        <v>11.04</v>
      </c>
      <c r="H495" s="18" t="s">
        <v>40</v>
      </c>
      <c r="I495" s="19">
        <v>3100.0</v>
      </c>
      <c r="J495" s="19">
        <v>4050.0</v>
      </c>
      <c r="K495" s="19">
        <v>3750.0</v>
      </c>
      <c r="L495" s="18" t="s">
        <v>1962</v>
      </c>
      <c r="M495" s="18" t="s">
        <v>1963</v>
      </c>
      <c r="N495" s="18" t="s">
        <v>903</v>
      </c>
      <c r="O495" s="18" t="s">
        <v>213</v>
      </c>
      <c r="P495" s="18" t="s">
        <v>63</v>
      </c>
      <c r="Q495" s="10">
        <f t="shared" si="1"/>
        <v>1</v>
      </c>
    </row>
    <row r="496">
      <c r="A496" s="18" t="s">
        <v>210</v>
      </c>
      <c r="B496" s="18" t="s">
        <v>44</v>
      </c>
      <c r="C496" s="18" t="s">
        <v>133</v>
      </c>
      <c r="D496" s="18" t="s">
        <v>1964</v>
      </c>
      <c r="E496" s="18" t="s">
        <v>1965</v>
      </c>
      <c r="F496" s="18" t="s">
        <v>228</v>
      </c>
      <c r="G496" s="18">
        <v>13.02</v>
      </c>
      <c r="H496" s="18" t="s">
        <v>56</v>
      </c>
      <c r="I496" s="19">
        <v>5250.0</v>
      </c>
      <c r="J496" s="19">
        <v>6850.0</v>
      </c>
      <c r="K496" s="19">
        <v>6300.0</v>
      </c>
      <c r="L496" s="18" t="s">
        <v>1966</v>
      </c>
      <c r="M496" s="18" t="s">
        <v>1967</v>
      </c>
      <c r="N496" s="18" t="s">
        <v>903</v>
      </c>
      <c r="O496" s="18" t="s">
        <v>213</v>
      </c>
      <c r="P496" s="18" t="s">
        <v>63</v>
      </c>
      <c r="Q496" s="10">
        <f t="shared" si="1"/>
        <v>1</v>
      </c>
    </row>
    <row r="497">
      <c r="A497" s="18" t="s">
        <v>225</v>
      </c>
      <c r="B497" s="18" t="s">
        <v>44</v>
      </c>
      <c r="C497" s="18" t="s">
        <v>53</v>
      </c>
      <c r="D497" s="18" t="s">
        <v>1968</v>
      </c>
      <c r="E497" s="18" t="s">
        <v>1969</v>
      </c>
      <c r="F497" s="18" t="s">
        <v>228</v>
      </c>
      <c r="G497" s="18">
        <v>16.6</v>
      </c>
      <c r="H497" s="18" t="s">
        <v>120</v>
      </c>
      <c r="I497" s="19">
        <v>5700.0</v>
      </c>
      <c r="J497" s="19">
        <v>7450.0</v>
      </c>
      <c r="K497" s="19">
        <v>6600.0</v>
      </c>
      <c r="L497" s="18" t="s">
        <v>1970</v>
      </c>
      <c r="M497" s="18" t="s">
        <v>1971</v>
      </c>
      <c r="N497" s="18" t="s">
        <v>903</v>
      </c>
      <c r="O497" s="18" t="s">
        <v>161</v>
      </c>
      <c r="P497" s="18" t="s">
        <v>162</v>
      </c>
      <c r="Q497" s="10">
        <f t="shared" si="1"/>
        <v>1</v>
      </c>
    </row>
    <row r="498">
      <c r="A498" s="18" t="s">
        <v>35</v>
      </c>
      <c r="B498" s="18" t="s">
        <v>44</v>
      </c>
      <c r="C498" s="18" t="s">
        <v>53</v>
      </c>
      <c r="D498" s="18" t="s">
        <v>1972</v>
      </c>
      <c r="E498" s="18" t="s">
        <v>1973</v>
      </c>
      <c r="F498" s="18" t="s">
        <v>228</v>
      </c>
      <c r="G498" s="18">
        <v>17.91</v>
      </c>
      <c r="H498" s="18" t="s">
        <v>120</v>
      </c>
      <c r="I498" s="19">
        <v>6230.0</v>
      </c>
      <c r="J498" s="19">
        <v>8450.0</v>
      </c>
      <c r="K498" s="19">
        <v>7500.0</v>
      </c>
      <c r="L498" s="18" t="s">
        <v>1974</v>
      </c>
      <c r="M498" s="18" t="s">
        <v>1975</v>
      </c>
      <c r="N498" s="18" t="s">
        <v>240</v>
      </c>
      <c r="O498" s="18" t="s">
        <v>41</v>
      </c>
      <c r="P498" s="18" t="s">
        <v>42</v>
      </c>
      <c r="Q498" s="10">
        <f t="shared" si="1"/>
        <v>1</v>
      </c>
    </row>
    <row r="499">
      <c r="A499" s="18" t="s">
        <v>364</v>
      </c>
      <c r="B499" s="18" t="s">
        <v>44</v>
      </c>
      <c r="C499" s="18" t="s">
        <v>151</v>
      </c>
      <c r="D499" s="18" t="s">
        <v>1976</v>
      </c>
      <c r="E499" s="18" t="s">
        <v>1977</v>
      </c>
      <c r="F499" s="18" t="s">
        <v>228</v>
      </c>
      <c r="G499" s="18">
        <v>26.17</v>
      </c>
      <c r="H499" s="18" t="s">
        <v>168</v>
      </c>
      <c r="I499" s="19">
        <v>5850.0</v>
      </c>
      <c r="J499" s="19">
        <v>5850.0</v>
      </c>
      <c r="K499" s="19">
        <v>7050.0</v>
      </c>
      <c r="L499" s="18" t="s">
        <v>1978</v>
      </c>
      <c r="M499" s="18" t="s">
        <v>1979</v>
      </c>
      <c r="N499" s="18" t="s">
        <v>1980</v>
      </c>
      <c r="O499" s="18" t="s">
        <v>41</v>
      </c>
      <c r="P499" s="18" t="s">
        <v>369</v>
      </c>
      <c r="Q499" s="10">
        <f t="shared" si="1"/>
        <v>1</v>
      </c>
    </row>
    <row r="500">
      <c r="A500" s="18" t="s">
        <v>154</v>
      </c>
      <c r="B500" s="18" t="s">
        <v>44</v>
      </c>
      <c r="C500" s="18" t="s">
        <v>64</v>
      </c>
      <c r="D500" s="18" t="s">
        <v>1981</v>
      </c>
      <c r="E500" s="18" t="s">
        <v>1982</v>
      </c>
      <c r="F500" s="18" t="s">
        <v>228</v>
      </c>
      <c r="G500" s="18">
        <v>18.0</v>
      </c>
      <c r="H500" s="18" t="s">
        <v>56</v>
      </c>
      <c r="I500" s="19">
        <v>5731.0</v>
      </c>
      <c r="J500" s="19">
        <v>8050.0</v>
      </c>
      <c r="K500" s="19">
        <v>6900.0</v>
      </c>
      <c r="L500" s="18" t="s">
        <v>1983</v>
      </c>
      <c r="M500" s="18" t="s">
        <v>1984</v>
      </c>
      <c r="N500" s="18" t="s">
        <v>240</v>
      </c>
      <c r="O500" s="18" t="s">
        <v>151</v>
      </c>
      <c r="P500" s="18" t="s">
        <v>157</v>
      </c>
      <c r="Q500" s="10">
        <f t="shared" si="1"/>
        <v>1</v>
      </c>
    </row>
    <row r="501">
      <c r="A501" s="18" t="s">
        <v>1596</v>
      </c>
      <c r="B501" s="18" t="s">
        <v>44</v>
      </c>
      <c r="C501" s="18" t="s">
        <v>76</v>
      </c>
      <c r="D501" s="18" t="s">
        <v>1985</v>
      </c>
      <c r="E501" s="18" t="s">
        <v>1986</v>
      </c>
      <c r="F501" s="18" t="s">
        <v>228</v>
      </c>
      <c r="G501" s="18">
        <v>21.45</v>
      </c>
      <c r="H501" s="18" t="s">
        <v>120</v>
      </c>
      <c r="I501" s="19">
        <v>4576.0</v>
      </c>
      <c r="J501" s="19">
        <v>4850.0</v>
      </c>
      <c r="K501" s="19"/>
      <c r="L501" s="18" t="s">
        <v>1987</v>
      </c>
      <c r="M501" s="18" t="s">
        <v>1988</v>
      </c>
      <c r="N501" s="18" t="s">
        <v>131</v>
      </c>
      <c r="O501" s="18" t="s">
        <v>41</v>
      </c>
      <c r="P501" s="18" t="s">
        <v>162</v>
      </c>
      <c r="Q501" s="10">
        <f t="shared" si="1"/>
        <v>1</v>
      </c>
    </row>
    <row r="502">
      <c r="A502" s="18" t="s">
        <v>1596</v>
      </c>
      <c r="B502" s="18" t="s">
        <v>44</v>
      </c>
      <c r="C502" s="18" t="s">
        <v>151</v>
      </c>
      <c r="D502" s="18" t="s">
        <v>1989</v>
      </c>
      <c r="E502" s="18" t="s">
        <v>1990</v>
      </c>
      <c r="F502" s="18" t="s">
        <v>228</v>
      </c>
      <c r="G502" s="18">
        <v>25.48</v>
      </c>
      <c r="H502" s="18" t="s">
        <v>168</v>
      </c>
      <c r="I502" s="19">
        <v>5096.0</v>
      </c>
      <c r="J502" s="19">
        <v>5400.0</v>
      </c>
      <c r="K502" s="19"/>
      <c r="L502" s="18" t="s">
        <v>1991</v>
      </c>
      <c r="M502" s="18" t="s">
        <v>1992</v>
      </c>
      <c r="N502" s="18" t="s">
        <v>131</v>
      </c>
      <c r="O502" s="18" t="s">
        <v>41</v>
      </c>
      <c r="P502" s="18" t="s">
        <v>162</v>
      </c>
      <c r="Q502" s="10">
        <f t="shared" si="1"/>
        <v>1</v>
      </c>
    </row>
    <row r="503">
      <c r="A503" s="18" t="s">
        <v>1596</v>
      </c>
      <c r="B503" s="18" t="s">
        <v>44</v>
      </c>
      <c r="C503" s="18" t="s">
        <v>423</v>
      </c>
      <c r="D503" s="18" t="s">
        <v>1993</v>
      </c>
      <c r="E503" s="18" t="s">
        <v>1994</v>
      </c>
      <c r="F503" s="18" t="s">
        <v>228</v>
      </c>
      <c r="G503" s="18">
        <v>29.28</v>
      </c>
      <c r="H503" s="18" t="s">
        <v>168</v>
      </c>
      <c r="I503" s="19">
        <v>5408.0</v>
      </c>
      <c r="J503" s="19">
        <v>5700.0</v>
      </c>
      <c r="K503" s="19"/>
      <c r="L503" s="18" t="s">
        <v>1995</v>
      </c>
      <c r="M503" s="18" t="s">
        <v>1996</v>
      </c>
      <c r="N503" s="18" t="s">
        <v>131</v>
      </c>
      <c r="O503" s="18" t="s">
        <v>83</v>
      </c>
      <c r="P503" s="18" t="s">
        <v>162</v>
      </c>
      <c r="Q503" s="10">
        <f t="shared" si="1"/>
        <v>1</v>
      </c>
    </row>
    <row r="504">
      <c r="A504" s="18" t="s">
        <v>1596</v>
      </c>
      <c r="B504" s="18" t="s">
        <v>44</v>
      </c>
      <c r="C504" s="18" t="s">
        <v>76</v>
      </c>
      <c r="D504" s="18" t="s">
        <v>1997</v>
      </c>
      <c r="E504" s="18" t="s">
        <v>1998</v>
      </c>
      <c r="F504" s="18" t="s">
        <v>228</v>
      </c>
      <c r="G504" s="18">
        <v>20.93</v>
      </c>
      <c r="H504" s="18" t="s">
        <v>120</v>
      </c>
      <c r="I504" s="19">
        <v>4576.0</v>
      </c>
      <c r="J504" s="19">
        <v>4850.0</v>
      </c>
      <c r="K504" s="19"/>
      <c r="L504" s="18" t="s">
        <v>1999</v>
      </c>
      <c r="M504" s="18" t="s">
        <v>2000</v>
      </c>
      <c r="N504" s="18" t="s">
        <v>131</v>
      </c>
      <c r="O504" s="18" t="s">
        <v>57</v>
      </c>
      <c r="P504" s="18" t="s">
        <v>162</v>
      </c>
      <c r="Q504" s="10">
        <f t="shared" si="1"/>
        <v>1</v>
      </c>
    </row>
    <row r="505">
      <c r="A505" s="18" t="s">
        <v>1596</v>
      </c>
      <c r="B505" s="18" t="s">
        <v>44</v>
      </c>
      <c r="C505" s="18" t="s">
        <v>1239</v>
      </c>
      <c r="D505" s="18" t="s">
        <v>2001</v>
      </c>
      <c r="E505" s="18" t="s">
        <v>2002</v>
      </c>
      <c r="F505" s="18" t="s">
        <v>228</v>
      </c>
      <c r="G505" s="18">
        <v>42.02</v>
      </c>
      <c r="H505" s="18" t="s">
        <v>168</v>
      </c>
      <c r="I505" s="19">
        <v>6938.0</v>
      </c>
      <c r="J505" s="19">
        <v>7300.0</v>
      </c>
      <c r="K505" s="19"/>
      <c r="L505" s="18" t="s">
        <v>2003</v>
      </c>
      <c r="M505" s="18" t="s">
        <v>2004</v>
      </c>
      <c r="N505" s="18" t="s">
        <v>131</v>
      </c>
      <c r="O505" s="18" t="s">
        <v>83</v>
      </c>
      <c r="P505" s="18" t="s">
        <v>162</v>
      </c>
      <c r="Q505" s="10">
        <f t="shared" si="1"/>
        <v>1</v>
      </c>
    </row>
    <row r="506">
      <c r="A506" s="18" t="s">
        <v>1596</v>
      </c>
      <c r="B506" s="18" t="s">
        <v>44</v>
      </c>
      <c r="C506" s="18" t="s">
        <v>76</v>
      </c>
      <c r="D506" s="18" t="s">
        <v>2005</v>
      </c>
      <c r="E506" s="18" t="s">
        <v>2006</v>
      </c>
      <c r="F506" s="18" t="s">
        <v>228</v>
      </c>
      <c r="G506" s="18">
        <v>20.93</v>
      </c>
      <c r="H506" s="18" t="s">
        <v>120</v>
      </c>
      <c r="I506" s="19">
        <v>4576.0</v>
      </c>
      <c r="J506" s="19">
        <v>4850.0</v>
      </c>
      <c r="K506" s="19"/>
      <c r="L506" s="18" t="s">
        <v>2007</v>
      </c>
      <c r="M506" s="18" t="s">
        <v>2008</v>
      </c>
      <c r="N506" s="18" t="s">
        <v>131</v>
      </c>
      <c r="O506" s="18" t="s">
        <v>41</v>
      </c>
      <c r="P506" s="18" t="s">
        <v>162</v>
      </c>
      <c r="Q506" s="10">
        <f t="shared" si="1"/>
        <v>1</v>
      </c>
    </row>
    <row r="507">
      <c r="A507" s="18" t="s">
        <v>282</v>
      </c>
      <c r="B507" s="18" t="s">
        <v>45</v>
      </c>
      <c r="C507" s="18" t="s">
        <v>45</v>
      </c>
      <c r="D507" s="18" t="s">
        <v>2009</v>
      </c>
      <c r="E507" s="18" t="s">
        <v>2010</v>
      </c>
      <c r="F507" s="18" t="s">
        <v>228</v>
      </c>
      <c r="G507" s="18">
        <v>11.1</v>
      </c>
      <c r="H507" s="18" t="s">
        <v>45</v>
      </c>
      <c r="I507" s="19">
        <v>2838.0</v>
      </c>
      <c r="J507" s="19">
        <v>3450.0</v>
      </c>
      <c r="K507" s="19">
        <v>3450.0</v>
      </c>
      <c r="L507" s="18" t="s">
        <v>2011</v>
      </c>
      <c r="M507" s="18" t="s">
        <v>2012</v>
      </c>
      <c r="N507" s="18" t="s">
        <v>143</v>
      </c>
      <c r="O507" s="18" t="s">
        <v>57</v>
      </c>
      <c r="P507" s="18" t="s">
        <v>63</v>
      </c>
      <c r="Q507" s="10">
        <f t="shared" si="1"/>
        <v>1</v>
      </c>
    </row>
    <row r="508">
      <c r="A508" s="18" t="s">
        <v>216</v>
      </c>
      <c r="B508" s="18" t="s">
        <v>44</v>
      </c>
      <c r="C508" s="18" t="s">
        <v>113</v>
      </c>
      <c r="D508" s="18" t="s">
        <v>2013</v>
      </c>
      <c r="E508" s="18" t="s">
        <v>2014</v>
      </c>
      <c r="F508" s="18" t="s">
        <v>228</v>
      </c>
      <c r="G508" s="18">
        <v>9.94</v>
      </c>
      <c r="H508" s="18" t="s">
        <v>116</v>
      </c>
      <c r="I508" s="19">
        <v>4173.0</v>
      </c>
      <c r="J508" s="19">
        <v>5850.0</v>
      </c>
      <c r="K508" s="19">
        <v>5050.0</v>
      </c>
      <c r="L508" s="18" t="s">
        <v>2015</v>
      </c>
      <c r="M508" s="18" t="s">
        <v>2016</v>
      </c>
      <c r="N508" s="18" t="s">
        <v>363</v>
      </c>
      <c r="O508" s="18" t="s">
        <v>41</v>
      </c>
      <c r="P508" s="18" t="s">
        <v>42</v>
      </c>
      <c r="Q508" s="10">
        <f t="shared" si="1"/>
        <v>1</v>
      </c>
    </row>
    <row r="509">
      <c r="A509" s="18" t="s">
        <v>216</v>
      </c>
      <c r="B509" s="18" t="s">
        <v>44</v>
      </c>
      <c r="C509" s="18" t="s">
        <v>133</v>
      </c>
      <c r="D509" s="18" t="s">
        <v>2017</v>
      </c>
      <c r="E509" s="18" t="s">
        <v>2018</v>
      </c>
      <c r="F509" s="18" t="s">
        <v>228</v>
      </c>
      <c r="G509" s="18">
        <v>11.89</v>
      </c>
      <c r="H509" s="18" t="s">
        <v>56</v>
      </c>
      <c r="I509" s="19">
        <v>4684.0</v>
      </c>
      <c r="J509" s="19">
        <v>6600.0</v>
      </c>
      <c r="K509" s="19">
        <v>5650.0</v>
      </c>
      <c r="L509" s="18" t="s">
        <v>2019</v>
      </c>
      <c r="M509" s="18" t="s">
        <v>2020</v>
      </c>
      <c r="N509" s="18" t="s">
        <v>403</v>
      </c>
      <c r="O509" s="18" t="s">
        <v>57</v>
      </c>
      <c r="P509" s="18" t="s">
        <v>42</v>
      </c>
      <c r="Q509" s="10">
        <f t="shared" si="1"/>
        <v>1</v>
      </c>
    </row>
    <row r="510">
      <c r="A510" s="18" t="s">
        <v>35</v>
      </c>
      <c r="B510" s="18" t="s">
        <v>44</v>
      </c>
      <c r="C510" s="18" t="s">
        <v>64</v>
      </c>
      <c r="D510" s="18" t="s">
        <v>2021</v>
      </c>
      <c r="E510" s="18" t="s">
        <v>2022</v>
      </c>
      <c r="F510" s="18" t="s">
        <v>228</v>
      </c>
      <c r="G510" s="18">
        <v>19.15</v>
      </c>
      <c r="H510" s="18" t="s">
        <v>120</v>
      </c>
      <c r="I510" s="19">
        <v>6648.0</v>
      </c>
      <c r="J510" s="19">
        <v>9000.0</v>
      </c>
      <c r="K510" s="19">
        <v>8000.0</v>
      </c>
      <c r="L510" s="18" t="s">
        <v>2023</v>
      </c>
      <c r="M510" s="18" t="s">
        <v>2024</v>
      </c>
      <c r="N510" s="18" t="s">
        <v>403</v>
      </c>
      <c r="O510" s="18" t="s">
        <v>41</v>
      </c>
      <c r="P510" s="18" t="s">
        <v>42</v>
      </c>
      <c r="Q510" s="10">
        <f t="shared" si="1"/>
        <v>1</v>
      </c>
    </row>
    <row r="511">
      <c r="A511" s="18" t="s">
        <v>216</v>
      </c>
      <c r="B511" s="18" t="s">
        <v>44</v>
      </c>
      <c r="C511" s="18" t="s">
        <v>53</v>
      </c>
      <c r="D511" s="18" t="s">
        <v>2025</v>
      </c>
      <c r="E511" s="18" t="s">
        <v>2026</v>
      </c>
      <c r="F511" s="18" t="s">
        <v>228</v>
      </c>
      <c r="G511" s="18">
        <v>16.07</v>
      </c>
      <c r="H511" s="18" t="s">
        <v>120</v>
      </c>
      <c r="I511" s="19">
        <v>5494.0</v>
      </c>
      <c r="J511" s="19">
        <v>7700.0</v>
      </c>
      <c r="K511" s="19">
        <v>6600.0</v>
      </c>
      <c r="L511" s="18" t="s">
        <v>2027</v>
      </c>
      <c r="M511" s="18" t="s">
        <v>1182</v>
      </c>
      <c r="N511" s="18" t="s">
        <v>240</v>
      </c>
      <c r="O511" s="18" t="s">
        <v>57</v>
      </c>
      <c r="P511" s="18" t="s">
        <v>42</v>
      </c>
      <c r="Q511" s="10">
        <f t="shared" si="1"/>
        <v>1</v>
      </c>
    </row>
    <row r="512">
      <c r="A512" s="18" t="s">
        <v>148</v>
      </c>
      <c r="B512" s="18" t="s">
        <v>44</v>
      </c>
      <c r="C512" s="18" t="s">
        <v>53</v>
      </c>
      <c r="D512" s="18" t="s">
        <v>2028</v>
      </c>
      <c r="E512" s="18" t="s">
        <v>2029</v>
      </c>
      <c r="F512" s="18" t="s">
        <v>228</v>
      </c>
      <c r="G512" s="18">
        <v>16.2</v>
      </c>
      <c r="H512" s="18" t="s">
        <v>56</v>
      </c>
      <c r="I512" s="19">
        <v>6678.0</v>
      </c>
      <c r="J512" s="19">
        <v>6700.0</v>
      </c>
      <c r="K512" s="19">
        <v>8050.0</v>
      </c>
      <c r="L512" s="18" t="s">
        <v>2030</v>
      </c>
      <c r="M512" s="18" t="s">
        <v>2031</v>
      </c>
      <c r="N512" s="18" t="s">
        <v>403</v>
      </c>
      <c r="O512" s="18" t="s">
        <v>151</v>
      </c>
      <c r="P512" s="18" t="s">
        <v>48</v>
      </c>
      <c r="Q512" s="10">
        <f t="shared" si="1"/>
        <v>1</v>
      </c>
    </row>
    <row r="513">
      <c r="A513" s="18" t="s">
        <v>148</v>
      </c>
      <c r="B513" s="18" t="s">
        <v>44</v>
      </c>
      <c r="C513" s="18" t="s">
        <v>76</v>
      </c>
      <c r="D513" s="18" t="s">
        <v>2032</v>
      </c>
      <c r="E513" s="18" t="s">
        <v>2033</v>
      </c>
      <c r="F513" s="18" t="s">
        <v>228</v>
      </c>
      <c r="G513" s="18">
        <v>21.6</v>
      </c>
      <c r="H513" s="18" t="s">
        <v>56</v>
      </c>
      <c r="I513" s="19">
        <v>8349.0</v>
      </c>
      <c r="J513" s="19">
        <v>8350.0</v>
      </c>
      <c r="K513" s="19">
        <v>10050.0</v>
      </c>
      <c r="L513" s="18" t="s">
        <v>2034</v>
      </c>
      <c r="M513" s="18" t="s">
        <v>2035</v>
      </c>
      <c r="N513" s="18" t="s">
        <v>403</v>
      </c>
      <c r="O513" s="18" t="s">
        <v>151</v>
      </c>
      <c r="P513" s="18" t="s">
        <v>48</v>
      </c>
      <c r="Q513" s="10">
        <f t="shared" si="1"/>
        <v>1</v>
      </c>
    </row>
    <row r="514">
      <c r="A514" s="18" t="s">
        <v>216</v>
      </c>
      <c r="B514" s="18" t="s">
        <v>44</v>
      </c>
      <c r="C514" s="18" t="s">
        <v>133</v>
      </c>
      <c r="D514" s="18" t="s">
        <v>2036</v>
      </c>
      <c r="E514" s="18" t="s">
        <v>2037</v>
      </c>
      <c r="F514" s="18" t="s">
        <v>228</v>
      </c>
      <c r="G514" s="18">
        <v>11.98</v>
      </c>
      <c r="H514" s="18" t="s">
        <v>56</v>
      </c>
      <c r="I514" s="19">
        <v>4684.0</v>
      </c>
      <c r="J514" s="19">
        <v>6600.0</v>
      </c>
      <c r="K514" s="19">
        <v>5650.0</v>
      </c>
      <c r="L514" s="18" t="s">
        <v>2038</v>
      </c>
      <c r="M514" s="18" t="s">
        <v>2039</v>
      </c>
      <c r="N514" s="18" t="s">
        <v>403</v>
      </c>
      <c r="O514" s="18" t="s">
        <v>57</v>
      </c>
      <c r="P514" s="18" t="s">
        <v>42</v>
      </c>
      <c r="Q514" s="10">
        <f t="shared" si="1"/>
        <v>1</v>
      </c>
    </row>
    <row r="515">
      <c r="A515" s="18" t="s">
        <v>138</v>
      </c>
      <c r="B515" s="18" t="s">
        <v>44</v>
      </c>
      <c r="C515" s="18" t="s">
        <v>133</v>
      </c>
      <c r="D515" s="18" t="s">
        <v>2040</v>
      </c>
      <c r="E515" s="18" t="s">
        <v>2041</v>
      </c>
      <c r="F515" s="18" t="s">
        <v>228</v>
      </c>
      <c r="G515" s="18">
        <v>14.85</v>
      </c>
      <c r="H515" s="18" t="s">
        <v>56</v>
      </c>
      <c r="I515" s="19">
        <v>3113.0</v>
      </c>
      <c r="J515" s="19">
        <v>4550.0</v>
      </c>
      <c r="K515" s="19">
        <v>3800.0</v>
      </c>
      <c r="L515" s="18" t="s">
        <v>2042</v>
      </c>
      <c r="M515" s="18" t="s">
        <v>2031</v>
      </c>
      <c r="N515" s="18" t="s">
        <v>403</v>
      </c>
      <c r="O515" s="18" t="s">
        <v>57</v>
      </c>
      <c r="P515" s="18" t="s">
        <v>144</v>
      </c>
      <c r="Q515" s="10">
        <f t="shared" si="1"/>
        <v>1</v>
      </c>
    </row>
    <row r="516">
      <c r="A516" s="18" t="s">
        <v>210</v>
      </c>
      <c r="B516" s="18" t="s">
        <v>44</v>
      </c>
      <c r="C516" s="18" t="s">
        <v>133</v>
      </c>
      <c r="D516" s="18" t="s">
        <v>2043</v>
      </c>
      <c r="E516" s="18" t="s">
        <v>2044</v>
      </c>
      <c r="F516" s="18" t="s">
        <v>228</v>
      </c>
      <c r="G516" s="18">
        <v>13.34</v>
      </c>
      <c r="H516" s="18" t="s">
        <v>56</v>
      </c>
      <c r="I516" s="19">
        <v>5250.0</v>
      </c>
      <c r="J516" s="19">
        <v>6850.0</v>
      </c>
      <c r="K516" s="19">
        <v>6300.0</v>
      </c>
      <c r="L516" s="18" t="s">
        <v>2045</v>
      </c>
      <c r="M516" s="18" t="s">
        <v>2046</v>
      </c>
      <c r="N516" s="18" t="s">
        <v>240</v>
      </c>
      <c r="O516" s="18" t="s">
        <v>57</v>
      </c>
      <c r="P516" s="18" t="s">
        <v>63</v>
      </c>
      <c r="Q516" s="10">
        <f t="shared" si="1"/>
        <v>1</v>
      </c>
    </row>
    <row r="517">
      <c r="A517" s="18" t="s">
        <v>148</v>
      </c>
      <c r="B517" s="18" t="s">
        <v>44</v>
      </c>
      <c r="C517" s="18" t="s">
        <v>64</v>
      </c>
      <c r="D517" s="18" t="s">
        <v>2047</v>
      </c>
      <c r="E517" s="18" t="s">
        <v>2048</v>
      </c>
      <c r="F517" s="18" t="s">
        <v>228</v>
      </c>
      <c r="G517" s="18">
        <v>17.8</v>
      </c>
      <c r="H517" s="18" t="s">
        <v>56</v>
      </c>
      <c r="I517" s="19">
        <v>7096.0</v>
      </c>
      <c r="J517" s="19">
        <v>7100.0</v>
      </c>
      <c r="K517" s="19">
        <v>8550.0</v>
      </c>
      <c r="L517" s="18" t="s">
        <v>2049</v>
      </c>
      <c r="M517" s="18" t="s">
        <v>2050</v>
      </c>
      <c r="N517" s="18" t="s">
        <v>240</v>
      </c>
      <c r="O517" s="18" t="s">
        <v>151</v>
      </c>
      <c r="P517" s="18" t="s">
        <v>48</v>
      </c>
      <c r="Q517" s="10">
        <f t="shared" si="1"/>
        <v>1</v>
      </c>
    </row>
    <row r="518">
      <c r="A518" s="18" t="s">
        <v>138</v>
      </c>
      <c r="B518" s="18" t="s">
        <v>45</v>
      </c>
      <c r="C518" s="18" t="s">
        <v>45</v>
      </c>
      <c r="D518" s="18" t="s">
        <v>2051</v>
      </c>
      <c r="E518" s="18" t="s">
        <v>2052</v>
      </c>
      <c r="F518" s="18" t="s">
        <v>228</v>
      </c>
      <c r="G518" s="18">
        <v>10.4</v>
      </c>
      <c r="H518" s="18" t="s">
        <v>45</v>
      </c>
      <c r="I518" s="19">
        <v>1652.0</v>
      </c>
      <c r="J518" s="19">
        <v>2400.0</v>
      </c>
      <c r="K518" s="19">
        <v>2050.0</v>
      </c>
      <c r="L518" s="18" t="s">
        <v>2053</v>
      </c>
      <c r="M518" s="18" t="s">
        <v>2054</v>
      </c>
      <c r="N518" s="18" t="s">
        <v>143</v>
      </c>
      <c r="O518" s="18" t="s">
        <v>41</v>
      </c>
      <c r="P518" s="18" t="s">
        <v>144</v>
      </c>
      <c r="Q518" s="10">
        <f t="shared" si="1"/>
        <v>1</v>
      </c>
    </row>
    <row r="519">
      <c r="A519" s="18" t="s">
        <v>201</v>
      </c>
      <c r="B519" s="18" t="s">
        <v>44</v>
      </c>
      <c r="C519" s="18" t="s">
        <v>53</v>
      </c>
      <c r="D519" s="18" t="s">
        <v>2055</v>
      </c>
      <c r="E519" s="18" t="s">
        <v>2056</v>
      </c>
      <c r="F519" s="18" t="s">
        <v>228</v>
      </c>
      <c r="G519" s="18">
        <v>15.57</v>
      </c>
      <c r="H519" s="18" t="s">
        <v>56</v>
      </c>
      <c r="I519" s="19">
        <v>3050.0</v>
      </c>
      <c r="J519" s="19">
        <v>3700.0</v>
      </c>
      <c r="K519" s="19">
        <v>3700.0</v>
      </c>
      <c r="L519" s="18" t="s">
        <v>2057</v>
      </c>
      <c r="M519" s="18" t="s">
        <v>2058</v>
      </c>
      <c r="N519" s="18" t="s">
        <v>1980</v>
      </c>
      <c r="O519" s="18" t="s">
        <v>57</v>
      </c>
      <c r="P519" s="18"/>
      <c r="Q519" s="10">
        <f t="shared" si="1"/>
        <v>1</v>
      </c>
    </row>
    <row r="520">
      <c r="A520" s="18" t="s">
        <v>1899</v>
      </c>
      <c r="B520" s="18" t="s">
        <v>44</v>
      </c>
      <c r="C520" s="18" t="s">
        <v>76</v>
      </c>
      <c r="D520" s="18" t="s">
        <v>2059</v>
      </c>
      <c r="E520" s="18" t="s">
        <v>2060</v>
      </c>
      <c r="F520" s="18" t="s">
        <v>228</v>
      </c>
      <c r="G520" s="18">
        <v>19.04</v>
      </c>
      <c r="H520" s="18" t="s">
        <v>120</v>
      </c>
      <c r="I520" s="19">
        <v>3799.0</v>
      </c>
      <c r="J520" s="19"/>
      <c r="K520" s="19"/>
      <c r="L520" s="18" t="s">
        <v>2061</v>
      </c>
      <c r="M520" s="18" t="s">
        <v>2062</v>
      </c>
      <c r="N520" s="18" t="s">
        <v>363</v>
      </c>
      <c r="O520" s="18" t="s">
        <v>41</v>
      </c>
      <c r="P520" s="18"/>
      <c r="Q520" s="10">
        <f t="shared" si="1"/>
        <v>1</v>
      </c>
    </row>
    <row r="521">
      <c r="A521" s="18" t="s">
        <v>1899</v>
      </c>
      <c r="B521" s="18" t="s">
        <v>44</v>
      </c>
      <c r="C521" s="18" t="s">
        <v>53</v>
      </c>
      <c r="D521" s="18" t="s">
        <v>2063</v>
      </c>
      <c r="E521" s="18" t="s">
        <v>2064</v>
      </c>
      <c r="F521" s="18" t="s">
        <v>228</v>
      </c>
      <c r="G521" s="18">
        <v>15.02</v>
      </c>
      <c r="H521" s="18" t="s">
        <v>56</v>
      </c>
      <c r="I521" s="19">
        <v>3049.0</v>
      </c>
      <c r="J521" s="19"/>
      <c r="K521" s="19"/>
      <c r="L521" s="18" t="s">
        <v>2065</v>
      </c>
      <c r="M521" s="18" t="s">
        <v>2066</v>
      </c>
      <c r="N521" s="18" t="s">
        <v>363</v>
      </c>
      <c r="O521" s="18" t="s">
        <v>57</v>
      </c>
      <c r="P521" s="18"/>
      <c r="Q521" s="10">
        <f t="shared" si="1"/>
        <v>1</v>
      </c>
    </row>
    <row r="522">
      <c r="A522" s="18" t="s">
        <v>1899</v>
      </c>
      <c r="B522" s="18" t="s">
        <v>44</v>
      </c>
      <c r="C522" s="18" t="s">
        <v>53</v>
      </c>
      <c r="D522" s="18" t="s">
        <v>2067</v>
      </c>
      <c r="E522" s="18" t="s">
        <v>2068</v>
      </c>
      <c r="F522" s="18" t="s">
        <v>228</v>
      </c>
      <c r="G522" s="18">
        <v>15.02</v>
      </c>
      <c r="H522" s="18" t="s">
        <v>56</v>
      </c>
      <c r="I522" s="19">
        <v>3049.0</v>
      </c>
      <c r="J522" s="19"/>
      <c r="K522" s="19"/>
      <c r="L522" s="18" t="s">
        <v>2069</v>
      </c>
      <c r="M522" s="18" t="s">
        <v>2070</v>
      </c>
      <c r="N522" s="18" t="s">
        <v>363</v>
      </c>
      <c r="O522" s="18" t="s">
        <v>41</v>
      </c>
      <c r="P522" s="18"/>
      <c r="Q522" s="10">
        <f t="shared" si="1"/>
        <v>1</v>
      </c>
    </row>
    <row r="523">
      <c r="A523" s="18" t="s">
        <v>1899</v>
      </c>
      <c r="B523" s="18" t="s">
        <v>44</v>
      </c>
      <c r="C523" s="18" t="s">
        <v>53</v>
      </c>
      <c r="D523" s="18" t="s">
        <v>2071</v>
      </c>
      <c r="E523" s="18" t="s">
        <v>2072</v>
      </c>
      <c r="F523" s="18" t="s">
        <v>228</v>
      </c>
      <c r="G523" s="18">
        <v>15.29</v>
      </c>
      <c r="H523" s="18" t="s">
        <v>56</v>
      </c>
      <c r="I523" s="19">
        <v>3049.0</v>
      </c>
      <c r="J523" s="19"/>
      <c r="K523" s="19"/>
      <c r="L523" s="18" t="s">
        <v>2073</v>
      </c>
      <c r="M523" s="18" t="s">
        <v>2074</v>
      </c>
      <c r="N523" s="18" t="s">
        <v>363</v>
      </c>
      <c r="O523" s="18" t="s">
        <v>41</v>
      </c>
      <c r="P523" s="18"/>
      <c r="Q523" s="10">
        <f t="shared" si="1"/>
        <v>1</v>
      </c>
    </row>
    <row r="524">
      <c r="A524" s="18" t="s">
        <v>1899</v>
      </c>
      <c r="B524" s="18" t="s">
        <v>44</v>
      </c>
      <c r="C524" s="18" t="s">
        <v>1781</v>
      </c>
      <c r="D524" s="18" t="s">
        <v>2075</v>
      </c>
      <c r="E524" s="18" t="s">
        <v>2076</v>
      </c>
      <c r="F524" s="18" t="s">
        <v>228</v>
      </c>
      <c r="G524" s="18">
        <v>35.04</v>
      </c>
      <c r="H524" s="18" t="s">
        <v>168</v>
      </c>
      <c r="I524" s="19">
        <v>4913.0</v>
      </c>
      <c r="J524" s="19"/>
      <c r="K524" s="19"/>
      <c r="L524" s="18" t="s">
        <v>2077</v>
      </c>
      <c r="M524" s="18" t="s">
        <v>2078</v>
      </c>
      <c r="N524" s="18" t="s">
        <v>363</v>
      </c>
      <c r="O524" s="18" t="s">
        <v>41</v>
      </c>
      <c r="P524" s="18"/>
      <c r="Q524" s="10">
        <f t="shared" si="1"/>
        <v>1</v>
      </c>
    </row>
    <row r="525">
      <c r="A525" s="18" t="s">
        <v>1899</v>
      </c>
      <c r="B525" s="18" t="s">
        <v>44</v>
      </c>
      <c r="C525" s="18" t="s">
        <v>64</v>
      </c>
      <c r="D525" s="18" t="s">
        <v>2079</v>
      </c>
      <c r="E525" s="18" t="s">
        <v>2080</v>
      </c>
      <c r="F525" s="18" t="s">
        <v>228</v>
      </c>
      <c r="G525" s="18">
        <v>17.06</v>
      </c>
      <c r="H525" s="18" t="s">
        <v>120</v>
      </c>
      <c r="I525" s="19">
        <v>3401.0</v>
      </c>
      <c r="J525" s="19"/>
      <c r="K525" s="19"/>
      <c r="L525" s="18" t="s">
        <v>2081</v>
      </c>
      <c r="M525" s="18" t="s">
        <v>2082</v>
      </c>
      <c r="N525" s="18" t="s">
        <v>363</v>
      </c>
      <c r="O525" s="18" t="s">
        <v>41</v>
      </c>
      <c r="P525" s="18"/>
      <c r="Q525" s="10">
        <f t="shared" si="1"/>
        <v>1</v>
      </c>
    </row>
    <row r="526">
      <c r="A526" s="18" t="s">
        <v>1899</v>
      </c>
      <c r="B526" s="18" t="s">
        <v>44</v>
      </c>
      <c r="C526" s="18" t="s">
        <v>1781</v>
      </c>
      <c r="D526" s="18" t="s">
        <v>2083</v>
      </c>
      <c r="E526" s="18" t="s">
        <v>2084</v>
      </c>
      <c r="F526" s="18" t="s">
        <v>228</v>
      </c>
      <c r="G526" s="18">
        <v>35.88</v>
      </c>
      <c r="H526" s="18" t="s">
        <v>168</v>
      </c>
      <c r="I526" s="19">
        <v>4913.0</v>
      </c>
      <c r="J526" s="19"/>
      <c r="K526" s="19"/>
      <c r="L526" s="18" t="s">
        <v>2085</v>
      </c>
      <c r="M526" s="18" t="s">
        <v>2086</v>
      </c>
      <c r="N526" s="18" t="s">
        <v>363</v>
      </c>
      <c r="O526" s="18" t="s">
        <v>57</v>
      </c>
      <c r="P526" s="18"/>
      <c r="Q526" s="10">
        <f t="shared" si="1"/>
        <v>1</v>
      </c>
    </row>
    <row r="527">
      <c r="A527" s="18" t="s">
        <v>1899</v>
      </c>
      <c r="B527" s="18" t="s">
        <v>44</v>
      </c>
      <c r="C527" s="18" t="s">
        <v>53</v>
      </c>
      <c r="D527" s="18" t="s">
        <v>2087</v>
      </c>
      <c r="E527" s="18" t="s">
        <v>2088</v>
      </c>
      <c r="F527" s="18" t="s">
        <v>228</v>
      </c>
      <c r="G527" s="18">
        <v>15.01</v>
      </c>
      <c r="H527" s="18" t="s">
        <v>56</v>
      </c>
      <c r="I527" s="19">
        <v>3049.0</v>
      </c>
      <c r="J527" s="19"/>
      <c r="K527" s="19"/>
      <c r="L527" s="18" t="s">
        <v>2089</v>
      </c>
      <c r="M527" s="18" t="s">
        <v>2090</v>
      </c>
      <c r="N527" s="18" t="s">
        <v>363</v>
      </c>
      <c r="O527" s="18" t="s">
        <v>57</v>
      </c>
      <c r="P527" s="18"/>
      <c r="Q527" s="10">
        <f t="shared" si="1"/>
        <v>1</v>
      </c>
    </row>
    <row r="528">
      <c r="A528" s="18" t="s">
        <v>1899</v>
      </c>
      <c r="B528" s="18" t="s">
        <v>44</v>
      </c>
      <c r="C528" s="18" t="s">
        <v>53</v>
      </c>
      <c r="D528" s="18" t="s">
        <v>2091</v>
      </c>
      <c r="E528" s="18" t="s">
        <v>2092</v>
      </c>
      <c r="F528" s="18" t="s">
        <v>228</v>
      </c>
      <c r="G528" s="18">
        <v>15.01</v>
      </c>
      <c r="H528" s="18" t="s">
        <v>56</v>
      </c>
      <c r="I528" s="19">
        <v>3049.0</v>
      </c>
      <c r="J528" s="19"/>
      <c r="K528" s="19"/>
      <c r="L528" s="18" t="s">
        <v>2093</v>
      </c>
      <c r="M528" s="18" t="s">
        <v>2094</v>
      </c>
      <c r="N528" s="18" t="s">
        <v>363</v>
      </c>
      <c r="O528" s="18" t="s">
        <v>41</v>
      </c>
      <c r="P528" s="18"/>
      <c r="Q528" s="10">
        <f t="shared" si="1"/>
        <v>1</v>
      </c>
    </row>
    <row r="529">
      <c r="A529" s="18" t="s">
        <v>1899</v>
      </c>
      <c r="B529" s="18" t="s">
        <v>44</v>
      </c>
      <c r="C529" s="18" t="s">
        <v>37</v>
      </c>
      <c r="D529" s="18" t="s">
        <v>2095</v>
      </c>
      <c r="E529" s="18" t="s">
        <v>2096</v>
      </c>
      <c r="F529" s="18" t="s">
        <v>228</v>
      </c>
      <c r="G529" s="18">
        <v>48.02</v>
      </c>
      <c r="H529" s="18" t="s">
        <v>168</v>
      </c>
      <c r="I529" s="19">
        <v>6454.0</v>
      </c>
      <c r="J529" s="19"/>
      <c r="K529" s="19"/>
      <c r="L529" s="18" t="s">
        <v>2097</v>
      </c>
      <c r="M529" s="18" t="s">
        <v>2098</v>
      </c>
      <c r="N529" s="18" t="s">
        <v>363</v>
      </c>
      <c r="O529" s="18" t="s">
        <v>57</v>
      </c>
      <c r="P529" s="18"/>
      <c r="Q529" s="10">
        <f t="shared" si="1"/>
        <v>1</v>
      </c>
    </row>
    <row r="530">
      <c r="A530" s="18" t="s">
        <v>1899</v>
      </c>
      <c r="B530" s="18" t="s">
        <v>44</v>
      </c>
      <c r="C530" s="18" t="s">
        <v>76</v>
      </c>
      <c r="D530" s="18" t="s">
        <v>2099</v>
      </c>
      <c r="E530" s="18" t="s">
        <v>2100</v>
      </c>
      <c r="F530" s="18" t="s">
        <v>228</v>
      </c>
      <c r="G530" s="18">
        <v>20.18</v>
      </c>
      <c r="H530" s="18" t="s">
        <v>120</v>
      </c>
      <c r="I530" s="19">
        <v>3799.0</v>
      </c>
      <c r="J530" s="19"/>
      <c r="K530" s="19"/>
      <c r="L530" s="18" t="s">
        <v>2101</v>
      </c>
      <c r="M530" s="18" t="s">
        <v>2102</v>
      </c>
      <c r="N530" s="18" t="s">
        <v>363</v>
      </c>
      <c r="O530" s="18" t="s">
        <v>57</v>
      </c>
      <c r="P530" s="18"/>
      <c r="Q530" s="10">
        <f t="shared" si="1"/>
        <v>1</v>
      </c>
    </row>
    <row r="531">
      <c r="A531" s="18" t="s">
        <v>1899</v>
      </c>
      <c r="B531" s="18" t="s">
        <v>44</v>
      </c>
      <c r="C531" s="18" t="s">
        <v>53</v>
      </c>
      <c r="D531" s="18" t="s">
        <v>2103</v>
      </c>
      <c r="E531" s="18" t="s">
        <v>2104</v>
      </c>
      <c r="F531" s="18" t="s">
        <v>228</v>
      </c>
      <c r="G531" s="18">
        <v>15.02</v>
      </c>
      <c r="H531" s="18" t="s">
        <v>56</v>
      </c>
      <c r="I531" s="19">
        <v>3049.0</v>
      </c>
      <c r="J531" s="19"/>
      <c r="K531" s="19"/>
      <c r="L531" s="18" t="s">
        <v>2105</v>
      </c>
      <c r="M531" s="18" t="s">
        <v>2106</v>
      </c>
      <c r="N531" s="18" t="s">
        <v>363</v>
      </c>
      <c r="O531" s="18" t="s">
        <v>57</v>
      </c>
      <c r="P531" s="18"/>
      <c r="Q531" s="10">
        <f t="shared" si="1"/>
        <v>1</v>
      </c>
    </row>
    <row r="532">
      <c r="A532" s="18" t="s">
        <v>1899</v>
      </c>
      <c r="B532" s="18" t="s">
        <v>44</v>
      </c>
      <c r="C532" s="18" t="s">
        <v>53</v>
      </c>
      <c r="D532" s="18" t="s">
        <v>2107</v>
      </c>
      <c r="E532" s="18" t="s">
        <v>2108</v>
      </c>
      <c r="F532" s="18" t="s">
        <v>228</v>
      </c>
      <c r="G532" s="18">
        <v>15.02</v>
      </c>
      <c r="H532" s="18" t="s">
        <v>56</v>
      </c>
      <c r="I532" s="19">
        <v>3049.0</v>
      </c>
      <c r="J532" s="19"/>
      <c r="K532" s="19"/>
      <c r="L532" s="18" t="s">
        <v>2109</v>
      </c>
      <c r="M532" s="18" t="s">
        <v>2110</v>
      </c>
      <c r="N532" s="18" t="s">
        <v>363</v>
      </c>
      <c r="O532" s="18" t="s">
        <v>57</v>
      </c>
      <c r="P532" s="18"/>
      <c r="Q532" s="10">
        <f t="shared" si="1"/>
        <v>1</v>
      </c>
    </row>
    <row r="533">
      <c r="A533" s="18" t="s">
        <v>148</v>
      </c>
      <c r="B533" s="18" t="s">
        <v>45</v>
      </c>
      <c r="C533" s="18" t="s">
        <v>45</v>
      </c>
      <c r="D533" s="18" t="s">
        <v>2111</v>
      </c>
      <c r="E533" s="18" t="s">
        <v>2112</v>
      </c>
      <c r="F533" s="18" t="s">
        <v>228</v>
      </c>
      <c r="G533" s="18">
        <v>8.8</v>
      </c>
      <c r="H533" s="18" t="s">
        <v>45</v>
      </c>
      <c r="I533" s="19">
        <v>4171.0</v>
      </c>
      <c r="J533" s="19">
        <v>4200.0</v>
      </c>
      <c r="K533" s="19">
        <v>5050.0</v>
      </c>
      <c r="L533" s="18" t="s">
        <v>2113</v>
      </c>
      <c r="M533" s="18" t="s">
        <v>2114</v>
      </c>
      <c r="N533" s="18" t="s">
        <v>240</v>
      </c>
      <c r="O533" s="18" t="s">
        <v>57</v>
      </c>
      <c r="P533" s="18" t="s">
        <v>48</v>
      </c>
      <c r="Q533" s="10">
        <f t="shared" si="1"/>
        <v>1</v>
      </c>
    </row>
    <row r="534">
      <c r="A534" s="18" t="s">
        <v>132</v>
      </c>
      <c r="B534" s="18" t="s">
        <v>44</v>
      </c>
      <c r="C534" s="18" t="s">
        <v>133</v>
      </c>
      <c r="D534" s="18" t="s">
        <v>2115</v>
      </c>
      <c r="E534" s="18" t="s">
        <v>2116</v>
      </c>
      <c r="F534" s="18" t="s">
        <v>228</v>
      </c>
      <c r="G534" s="18">
        <v>14.68</v>
      </c>
      <c r="H534" s="18" t="s">
        <v>62</v>
      </c>
      <c r="I534" s="19">
        <v>2975.44</v>
      </c>
      <c r="J534" s="19">
        <v>2400.0</v>
      </c>
      <c r="K534" s="19">
        <v>4500.0</v>
      </c>
      <c r="L534" s="18" t="s">
        <v>2117</v>
      </c>
      <c r="M534" s="18" t="s">
        <v>2118</v>
      </c>
      <c r="N534" s="18" t="s">
        <v>363</v>
      </c>
      <c r="O534" s="18" t="s">
        <v>57</v>
      </c>
      <c r="P534" s="18"/>
      <c r="Q534" s="10">
        <f t="shared" si="1"/>
        <v>1</v>
      </c>
    </row>
    <row r="535">
      <c r="A535" s="18" t="s">
        <v>158</v>
      </c>
      <c r="B535" s="18" t="s">
        <v>44</v>
      </c>
      <c r="C535" s="18" t="s">
        <v>64</v>
      </c>
      <c r="D535" s="18" t="s">
        <v>2119</v>
      </c>
      <c r="E535" s="18" t="s">
        <v>2120</v>
      </c>
      <c r="F535" s="18" t="s">
        <v>228</v>
      </c>
      <c r="G535" s="18">
        <v>18.3</v>
      </c>
      <c r="H535" s="18" t="s">
        <v>120</v>
      </c>
      <c r="I535" s="19">
        <v>5516.0</v>
      </c>
      <c r="J535" s="19">
        <v>5550.0</v>
      </c>
      <c r="K535" s="19">
        <v>6700.0</v>
      </c>
      <c r="L535" s="18" t="s">
        <v>2121</v>
      </c>
      <c r="M535" s="18" t="s">
        <v>2122</v>
      </c>
      <c r="N535" s="18" t="s">
        <v>403</v>
      </c>
      <c r="O535" s="18" t="s">
        <v>161</v>
      </c>
      <c r="P535" s="18" t="s">
        <v>162</v>
      </c>
      <c r="Q535" s="10">
        <f t="shared" si="1"/>
        <v>1</v>
      </c>
    </row>
    <row r="536">
      <c r="A536" s="18" t="s">
        <v>364</v>
      </c>
      <c r="B536" s="18" t="s">
        <v>44</v>
      </c>
      <c r="C536" s="18" t="s">
        <v>133</v>
      </c>
      <c r="D536" s="18" t="s">
        <v>2123</v>
      </c>
      <c r="E536" s="18" t="s">
        <v>2124</v>
      </c>
      <c r="F536" s="18" t="s">
        <v>228</v>
      </c>
      <c r="G536" s="18">
        <v>14.54</v>
      </c>
      <c r="H536" s="18" t="s">
        <v>56</v>
      </c>
      <c r="I536" s="19">
        <v>3750.0</v>
      </c>
      <c r="J536" s="19">
        <v>3750.0</v>
      </c>
      <c r="K536" s="19">
        <v>4500.0</v>
      </c>
      <c r="L536" s="18" t="s">
        <v>2125</v>
      </c>
      <c r="M536" s="18" t="s">
        <v>2126</v>
      </c>
      <c r="N536" s="18" t="s">
        <v>1980</v>
      </c>
      <c r="O536" s="18" t="s">
        <v>41</v>
      </c>
      <c r="P536" s="18" t="s">
        <v>369</v>
      </c>
      <c r="Q536" s="10">
        <f t="shared" si="1"/>
        <v>1</v>
      </c>
    </row>
    <row r="537">
      <c r="A537" s="18" t="s">
        <v>210</v>
      </c>
      <c r="B537" s="18" t="s">
        <v>45</v>
      </c>
      <c r="C537" s="18" t="s">
        <v>45</v>
      </c>
      <c r="D537" s="18" t="s">
        <v>2127</v>
      </c>
      <c r="E537" s="18" t="s">
        <v>2128</v>
      </c>
      <c r="F537" s="18" t="s">
        <v>228</v>
      </c>
      <c r="G537" s="18">
        <v>11.47</v>
      </c>
      <c r="H537" s="18" t="s">
        <v>40</v>
      </c>
      <c r="I537" s="19">
        <v>3100.0</v>
      </c>
      <c r="J537" s="19">
        <v>4050.0</v>
      </c>
      <c r="K537" s="19">
        <v>3750.0</v>
      </c>
      <c r="L537" s="18" t="s">
        <v>2129</v>
      </c>
      <c r="M537" s="18" t="s">
        <v>2130</v>
      </c>
      <c r="N537" s="18" t="s">
        <v>143</v>
      </c>
      <c r="O537" s="18" t="s">
        <v>57</v>
      </c>
      <c r="P537" s="18" t="s">
        <v>63</v>
      </c>
      <c r="Q537" s="10">
        <f t="shared" si="1"/>
        <v>1</v>
      </c>
    </row>
    <row r="538">
      <c r="A538" s="18" t="s">
        <v>1029</v>
      </c>
      <c r="B538" s="18" t="s">
        <v>44</v>
      </c>
      <c r="C538" s="18" t="s">
        <v>53</v>
      </c>
      <c r="D538" s="18" t="s">
        <v>2131</v>
      </c>
      <c r="E538" s="18" t="s">
        <v>2132</v>
      </c>
      <c r="F538" s="18" t="s">
        <v>228</v>
      </c>
      <c r="G538" s="18">
        <v>15.36</v>
      </c>
      <c r="H538" s="18" t="s">
        <v>56</v>
      </c>
      <c r="I538" s="19">
        <v>450.0</v>
      </c>
      <c r="J538" s="19">
        <v>360.0</v>
      </c>
      <c r="K538" s="19"/>
      <c r="L538" s="18" t="s">
        <v>2133</v>
      </c>
      <c r="M538" s="18" t="s">
        <v>2134</v>
      </c>
      <c r="N538" s="18" t="s">
        <v>1034</v>
      </c>
      <c r="O538" s="18" t="s">
        <v>83</v>
      </c>
      <c r="P538" s="18"/>
      <c r="Q538" s="10">
        <f t="shared" si="1"/>
        <v>1</v>
      </c>
    </row>
    <row r="539">
      <c r="A539" s="18" t="s">
        <v>1029</v>
      </c>
      <c r="B539" s="18" t="s">
        <v>44</v>
      </c>
      <c r="C539" s="18" t="s">
        <v>53</v>
      </c>
      <c r="D539" s="18" t="s">
        <v>2135</v>
      </c>
      <c r="E539" s="18" t="s">
        <v>2136</v>
      </c>
      <c r="F539" s="18" t="s">
        <v>228</v>
      </c>
      <c r="G539" s="18">
        <v>15.88</v>
      </c>
      <c r="H539" s="18" t="s">
        <v>56</v>
      </c>
      <c r="I539" s="19">
        <v>450.0</v>
      </c>
      <c r="J539" s="19">
        <v>360.0</v>
      </c>
      <c r="K539" s="19"/>
      <c r="L539" s="18" t="s">
        <v>2137</v>
      </c>
      <c r="M539" s="18" t="s">
        <v>2138</v>
      </c>
      <c r="N539" s="18" t="s">
        <v>1034</v>
      </c>
      <c r="O539" s="18" t="s">
        <v>83</v>
      </c>
      <c r="P539" s="18"/>
      <c r="Q539" s="10">
        <f t="shared" si="1"/>
        <v>1</v>
      </c>
    </row>
    <row r="540">
      <c r="A540" s="18" t="s">
        <v>1029</v>
      </c>
      <c r="B540" s="18" t="s">
        <v>44</v>
      </c>
      <c r="C540" s="18" t="s">
        <v>64</v>
      </c>
      <c r="D540" s="18" t="s">
        <v>2139</v>
      </c>
      <c r="E540" s="18" t="s">
        <v>2140</v>
      </c>
      <c r="F540" s="18" t="s">
        <v>228</v>
      </c>
      <c r="G540" s="18">
        <v>18.21</v>
      </c>
      <c r="H540" s="18" t="s">
        <v>120</v>
      </c>
      <c r="I540" s="19">
        <v>513.0</v>
      </c>
      <c r="J540" s="19">
        <v>415.0</v>
      </c>
      <c r="K540" s="19"/>
      <c r="L540" s="18" t="s">
        <v>2141</v>
      </c>
      <c r="M540" s="18" t="s">
        <v>2142</v>
      </c>
      <c r="N540" s="18" t="s">
        <v>1034</v>
      </c>
      <c r="O540" s="18" t="s">
        <v>83</v>
      </c>
      <c r="P540" s="18"/>
      <c r="Q540" s="10">
        <f t="shared" si="1"/>
        <v>1</v>
      </c>
    </row>
    <row r="541">
      <c r="A541" s="18" t="s">
        <v>1029</v>
      </c>
      <c r="B541" s="18" t="s">
        <v>44</v>
      </c>
      <c r="C541" s="18" t="s">
        <v>53</v>
      </c>
      <c r="D541" s="18" t="s">
        <v>2143</v>
      </c>
      <c r="E541" s="18" t="s">
        <v>2144</v>
      </c>
      <c r="F541" s="18" t="s">
        <v>228</v>
      </c>
      <c r="G541" s="18">
        <v>15.35</v>
      </c>
      <c r="H541" s="18" t="s">
        <v>56</v>
      </c>
      <c r="I541" s="19">
        <v>450.0</v>
      </c>
      <c r="J541" s="19">
        <v>360.0</v>
      </c>
      <c r="K541" s="19"/>
      <c r="L541" s="18" t="s">
        <v>2145</v>
      </c>
      <c r="M541" s="18" t="s">
        <v>2146</v>
      </c>
      <c r="N541" s="18" t="s">
        <v>1034</v>
      </c>
      <c r="O541" s="18" t="s">
        <v>83</v>
      </c>
      <c r="P541" s="18"/>
      <c r="Q541" s="10">
        <f t="shared" si="1"/>
        <v>1</v>
      </c>
    </row>
    <row r="542">
      <c r="A542" s="18" t="s">
        <v>1029</v>
      </c>
      <c r="B542" s="18" t="s">
        <v>44</v>
      </c>
      <c r="C542" s="18" t="s">
        <v>76</v>
      </c>
      <c r="D542" s="18" t="s">
        <v>2147</v>
      </c>
      <c r="E542" s="18" t="s">
        <v>2148</v>
      </c>
      <c r="F542" s="18" t="s">
        <v>228</v>
      </c>
      <c r="G542" s="18">
        <v>19.71</v>
      </c>
      <c r="H542" s="18" t="s">
        <v>120</v>
      </c>
      <c r="I542" s="19">
        <v>550.0</v>
      </c>
      <c r="J542" s="19">
        <v>440.0</v>
      </c>
      <c r="K542" s="19"/>
      <c r="L542" s="18" t="s">
        <v>2149</v>
      </c>
      <c r="M542" s="18" t="s">
        <v>2150</v>
      </c>
      <c r="N542" s="18" t="s">
        <v>1034</v>
      </c>
      <c r="O542" s="18" t="s">
        <v>41</v>
      </c>
      <c r="P542" s="18"/>
      <c r="Q542" s="10">
        <f t="shared" si="1"/>
        <v>1</v>
      </c>
    </row>
    <row r="543">
      <c r="A543" s="18" t="s">
        <v>158</v>
      </c>
      <c r="B543" s="18" t="s">
        <v>44</v>
      </c>
      <c r="C543" s="18" t="s">
        <v>64</v>
      </c>
      <c r="D543" s="18" t="s">
        <v>2151</v>
      </c>
      <c r="E543" s="18" t="s">
        <v>2152</v>
      </c>
      <c r="F543" s="18" t="s">
        <v>228</v>
      </c>
      <c r="G543" s="18">
        <v>18.96</v>
      </c>
      <c r="H543" s="18" t="s">
        <v>120</v>
      </c>
      <c r="I543" s="19">
        <v>5516.0</v>
      </c>
      <c r="J543" s="19">
        <v>5550.0</v>
      </c>
      <c r="K543" s="19">
        <v>6700.0</v>
      </c>
      <c r="L543" s="18" t="s">
        <v>2153</v>
      </c>
      <c r="M543" s="18" t="s">
        <v>2154</v>
      </c>
      <c r="N543" s="18" t="s">
        <v>143</v>
      </c>
      <c r="O543" s="18" t="s">
        <v>161</v>
      </c>
      <c r="P543" s="18" t="s">
        <v>162</v>
      </c>
      <c r="Q543" s="10">
        <f t="shared" si="1"/>
        <v>1</v>
      </c>
    </row>
    <row r="544">
      <c r="A544" s="18" t="s">
        <v>912</v>
      </c>
      <c r="B544" s="18" t="s">
        <v>44</v>
      </c>
      <c r="C544" s="18" t="s">
        <v>53</v>
      </c>
      <c r="D544" s="18" t="s">
        <v>2155</v>
      </c>
      <c r="E544" s="18" t="s">
        <v>2156</v>
      </c>
      <c r="F544" s="18" t="s">
        <v>228</v>
      </c>
      <c r="G544" s="18">
        <v>16.07</v>
      </c>
      <c r="H544" s="18" t="s">
        <v>120</v>
      </c>
      <c r="I544" s="19">
        <v>4900.0</v>
      </c>
      <c r="J544" s="19">
        <v>6150.0</v>
      </c>
      <c r="K544" s="19">
        <v>5700.0</v>
      </c>
      <c r="L544" s="18" t="s">
        <v>2157</v>
      </c>
      <c r="M544" s="18" t="s">
        <v>2158</v>
      </c>
      <c r="N544" s="18" t="s">
        <v>143</v>
      </c>
      <c r="O544" s="18" t="s">
        <v>57</v>
      </c>
      <c r="P544" s="18" t="s">
        <v>917</v>
      </c>
      <c r="Q544" s="10">
        <f t="shared" si="1"/>
        <v>1</v>
      </c>
    </row>
    <row r="545">
      <c r="A545" s="18" t="s">
        <v>158</v>
      </c>
      <c r="B545" s="18" t="s">
        <v>45</v>
      </c>
      <c r="C545" s="18" t="s">
        <v>45</v>
      </c>
      <c r="D545" s="18" t="s">
        <v>2159</v>
      </c>
      <c r="E545" s="18" t="s">
        <v>2160</v>
      </c>
      <c r="F545" s="18" t="s">
        <v>228</v>
      </c>
      <c r="G545" s="18">
        <v>8.0</v>
      </c>
      <c r="H545" s="18" t="s">
        <v>45</v>
      </c>
      <c r="I545" s="19">
        <v>2542.0</v>
      </c>
      <c r="J545" s="19">
        <v>2550.0</v>
      </c>
      <c r="K545" s="19">
        <v>3100.0</v>
      </c>
      <c r="L545" s="18" t="s">
        <v>2161</v>
      </c>
      <c r="M545" s="18" t="s">
        <v>2162</v>
      </c>
      <c r="N545" s="18" t="s">
        <v>1980</v>
      </c>
      <c r="O545" s="18" t="s">
        <v>41</v>
      </c>
      <c r="P545" s="18" t="s">
        <v>162</v>
      </c>
      <c r="Q545" s="10">
        <f t="shared" si="1"/>
        <v>1</v>
      </c>
    </row>
    <row r="546">
      <c r="A546" s="18" t="s">
        <v>125</v>
      </c>
      <c r="B546" s="18" t="s">
        <v>36</v>
      </c>
      <c r="C546" s="18" t="s">
        <v>37</v>
      </c>
      <c r="D546" s="18" t="s">
        <v>2163</v>
      </c>
      <c r="E546" s="18" t="s">
        <v>2164</v>
      </c>
      <c r="F546" s="18" t="s">
        <v>228</v>
      </c>
      <c r="G546" s="18">
        <v>47.05</v>
      </c>
      <c r="H546" s="18" t="s">
        <v>168</v>
      </c>
      <c r="I546" s="19">
        <v>4500.0</v>
      </c>
      <c r="J546" s="19">
        <v>3850.0</v>
      </c>
      <c r="K546" s="19">
        <v>5700.0</v>
      </c>
      <c r="L546" s="18" t="s">
        <v>2165</v>
      </c>
      <c r="M546" s="18" t="s">
        <v>1737</v>
      </c>
      <c r="N546" s="18" t="s">
        <v>240</v>
      </c>
      <c r="O546" s="18" t="s">
        <v>41</v>
      </c>
      <c r="P546" s="18"/>
      <c r="Q546" s="10">
        <f t="shared" si="1"/>
        <v>1</v>
      </c>
    </row>
    <row r="547">
      <c r="A547" s="18" t="s">
        <v>132</v>
      </c>
      <c r="B547" s="18" t="s">
        <v>44</v>
      </c>
      <c r="C547" s="18" t="s">
        <v>53</v>
      </c>
      <c r="D547" s="18" t="s">
        <v>2166</v>
      </c>
      <c r="E547" s="18" t="s">
        <v>2167</v>
      </c>
      <c r="F547" s="18" t="s">
        <v>228</v>
      </c>
      <c r="G547" s="18">
        <v>16.18</v>
      </c>
      <c r="H547" s="18" t="s">
        <v>62</v>
      </c>
      <c r="I547" s="19">
        <v>3888.56</v>
      </c>
      <c r="J547" s="19">
        <v>3150.0</v>
      </c>
      <c r="K547" s="19">
        <v>4500.0</v>
      </c>
      <c r="L547" s="18" t="s">
        <v>2168</v>
      </c>
      <c r="M547" s="18" t="s">
        <v>1619</v>
      </c>
      <c r="N547" s="18" t="s">
        <v>240</v>
      </c>
      <c r="O547" s="18" t="s">
        <v>41</v>
      </c>
      <c r="P547" s="18"/>
      <c r="Q547" s="10">
        <f t="shared" si="1"/>
        <v>1</v>
      </c>
    </row>
    <row r="548">
      <c r="A548" s="18" t="s">
        <v>43</v>
      </c>
      <c r="B548" s="18" t="s">
        <v>44</v>
      </c>
      <c r="C548" s="18" t="s">
        <v>64</v>
      </c>
      <c r="D548" s="18" t="s">
        <v>2169</v>
      </c>
      <c r="E548" s="18" t="s">
        <v>2170</v>
      </c>
      <c r="F548" s="18" t="s">
        <v>228</v>
      </c>
      <c r="G548" s="18">
        <v>17.04</v>
      </c>
      <c r="H548" s="18" t="s">
        <v>120</v>
      </c>
      <c r="I548" s="19">
        <v>6800.0</v>
      </c>
      <c r="J548" s="19">
        <v>8200.0</v>
      </c>
      <c r="K548" s="19"/>
      <c r="L548" s="18" t="s">
        <v>2171</v>
      </c>
      <c r="M548" s="18" t="s">
        <v>2172</v>
      </c>
      <c r="N548" s="18" t="s">
        <v>143</v>
      </c>
      <c r="O548" s="18" t="s">
        <v>57</v>
      </c>
      <c r="P548" s="18" t="s">
        <v>48</v>
      </c>
      <c r="Q548" s="10">
        <f t="shared" si="1"/>
        <v>1</v>
      </c>
    </row>
    <row r="549">
      <c r="A549" s="18" t="s">
        <v>35</v>
      </c>
      <c r="B549" s="18" t="s">
        <v>44</v>
      </c>
      <c r="C549" s="18" t="s">
        <v>64</v>
      </c>
      <c r="D549" s="18" t="s">
        <v>2173</v>
      </c>
      <c r="E549" s="18" t="s">
        <v>2174</v>
      </c>
      <c r="F549" s="18" t="s">
        <v>228</v>
      </c>
      <c r="G549" s="18">
        <v>19.39</v>
      </c>
      <c r="H549" s="18" t="s">
        <v>168</v>
      </c>
      <c r="I549" s="19">
        <v>6648.0</v>
      </c>
      <c r="J549" s="19">
        <v>9000.0</v>
      </c>
      <c r="K549" s="19">
        <v>8000.0</v>
      </c>
      <c r="L549" s="18" t="s">
        <v>2175</v>
      </c>
      <c r="M549" s="18" t="s">
        <v>2176</v>
      </c>
      <c r="N549" s="18" t="s">
        <v>403</v>
      </c>
      <c r="O549" s="18" t="s">
        <v>57</v>
      </c>
      <c r="P549" s="18" t="s">
        <v>42</v>
      </c>
      <c r="Q549" s="10">
        <f t="shared" si="1"/>
        <v>1</v>
      </c>
    </row>
    <row r="550">
      <c r="A550" s="18" t="s">
        <v>138</v>
      </c>
      <c r="B550" s="18" t="s">
        <v>45</v>
      </c>
      <c r="C550" s="18" t="s">
        <v>45</v>
      </c>
      <c r="D550" s="18" t="s">
        <v>2177</v>
      </c>
      <c r="E550" s="18" t="s">
        <v>2178</v>
      </c>
      <c r="F550" s="18" t="s">
        <v>228</v>
      </c>
      <c r="G550" s="18">
        <v>10.21</v>
      </c>
      <c r="H550" s="18" t="s">
        <v>45</v>
      </c>
      <c r="I550" s="19">
        <v>1652.0</v>
      </c>
      <c r="J550" s="19">
        <v>2400.0</v>
      </c>
      <c r="K550" s="19">
        <v>2050.0</v>
      </c>
      <c r="L550" s="18" t="s">
        <v>2179</v>
      </c>
      <c r="M550" s="18" t="s">
        <v>2180</v>
      </c>
      <c r="N550" s="18" t="s">
        <v>363</v>
      </c>
      <c r="O550" s="18" t="s">
        <v>83</v>
      </c>
      <c r="P550" s="18" t="s">
        <v>144</v>
      </c>
      <c r="Q550" s="10">
        <f t="shared" si="1"/>
        <v>1</v>
      </c>
    </row>
    <row r="551">
      <c r="A551" s="18" t="s">
        <v>1029</v>
      </c>
      <c r="B551" s="18" t="s">
        <v>44</v>
      </c>
      <c r="C551" s="18" t="s">
        <v>53</v>
      </c>
      <c r="D551" s="18" t="s">
        <v>2181</v>
      </c>
      <c r="E551" s="18" t="s">
        <v>2182</v>
      </c>
      <c r="F551" s="18" t="s">
        <v>228</v>
      </c>
      <c r="G551" s="18">
        <v>15.65</v>
      </c>
      <c r="H551" s="18" t="s">
        <v>56</v>
      </c>
      <c r="I551" s="19">
        <v>450.0</v>
      </c>
      <c r="J551" s="19">
        <v>360.0</v>
      </c>
      <c r="K551" s="19"/>
      <c r="L551" s="18" t="s">
        <v>2183</v>
      </c>
      <c r="M551" s="18" t="s">
        <v>2184</v>
      </c>
      <c r="N551" s="18" t="s">
        <v>1034</v>
      </c>
      <c r="O551" s="18" t="s">
        <v>83</v>
      </c>
      <c r="P551" s="18"/>
      <c r="Q551" s="10">
        <f t="shared" si="1"/>
        <v>1</v>
      </c>
    </row>
    <row r="552">
      <c r="A552" s="18" t="s">
        <v>1029</v>
      </c>
      <c r="B552" s="18" t="s">
        <v>44</v>
      </c>
      <c r="C552" s="18" t="s">
        <v>133</v>
      </c>
      <c r="D552" s="18" t="s">
        <v>2185</v>
      </c>
      <c r="E552" s="18" t="s">
        <v>2186</v>
      </c>
      <c r="F552" s="18" t="s">
        <v>228</v>
      </c>
      <c r="G552" s="18">
        <v>14.73</v>
      </c>
      <c r="H552" s="18" t="s">
        <v>56</v>
      </c>
      <c r="I552" s="19">
        <v>433.0</v>
      </c>
      <c r="J552" s="19">
        <v>350.0</v>
      </c>
      <c r="K552" s="19"/>
      <c r="L552" s="18" t="s">
        <v>2187</v>
      </c>
      <c r="M552" s="18" t="s">
        <v>2188</v>
      </c>
      <c r="N552" s="18" t="s">
        <v>1034</v>
      </c>
      <c r="O552" s="18" t="s">
        <v>83</v>
      </c>
      <c r="P552" s="18"/>
      <c r="Q552" s="10">
        <f t="shared" si="1"/>
        <v>1</v>
      </c>
    </row>
    <row r="553">
      <c r="A553" s="18" t="s">
        <v>148</v>
      </c>
      <c r="B553" s="18" t="s">
        <v>44</v>
      </c>
      <c r="C553" s="18" t="s">
        <v>133</v>
      </c>
      <c r="D553" s="18" t="s">
        <v>2189</v>
      </c>
      <c r="E553" s="18" t="s">
        <v>2190</v>
      </c>
      <c r="F553" s="18" t="s">
        <v>228</v>
      </c>
      <c r="G553" s="18">
        <v>14.5</v>
      </c>
      <c r="H553" s="18" t="s">
        <v>56</v>
      </c>
      <c r="I553" s="19">
        <v>6678.0</v>
      </c>
      <c r="J553" s="19">
        <v>6700.0</v>
      </c>
      <c r="K553" s="19">
        <v>8050.0</v>
      </c>
      <c r="L553" s="18" t="s">
        <v>2191</v>
      </c>
      <c r="M553" s="18" t="s">
        <v>2192</v>
      </c>
      <c r="N553" s="18" t="s">
        <v>240</v>
      </c>
      <c r="O553" s="18" t="s">
        <v>57</v>
      </c>
      <c r="P553" s="18" t="s">
        <v>48</v>
      </c>
      <c r="Q553" s="10">
        <f t="shared" si="1"/>
        <v>1</v>
      </c>
    </row>
    <row r="554">
      <c r="A554" s="18" t="s">
        <v>1029</v>
      </c>
      <c r="B554" s="18" t="s">
        <v>44</v>
      </c>
      <c r="C554" s="18" t="s">
        <v>53</v>
      </c>
      <c r="D554" s="18" t="s">
        <v>2193</v>
      </c>
      <c r="E554" s="18" t="s">
        <v>2194</v>
      </c>
      <c r="F554" s="18" t="s">
        <v>228</v>
      </c>
      <c r="G554" s="18">
        <v>15.66</v>
      </c>
      <c r="H554" s="18" t="s">
        <v>56</v>
      </c>
      <c r="I554" s="19">
        <v>450.0</v>
      </c>
      <c r="J554" s="19">
        <v>360.0</v>
      </c>
      <c r="K554" s="19"/>
      <c r="L554" s="18" t="s">
        <v>2195</v>
      </c>
      <c r="M554" s="18" t="s">
        <v>2196</v>
      </c>
      <c r="N554" s="18" t="s">
        <v>1034</v>
      </c>
      <c r="O554" s="18" t="s">
        <v>83</v>
      </c>
      <c r="P554" s="18"/>
      <c r="Q554" s="10">
        <f t="shared" si="1"/>
        <v>1</v>
      </c>
    </row>
    <row r="555">
      <c r="A555" s="18" t="s">
        <v>1029</v>
      </c>
      <c r="B555" s="18" t="s">
        <v>44</v>
      </c>
      <c r="C555" s="18" t="s">
        <v>133</v>
      </c>
      <c r="D555" s="18" t="s">
        <v>2197</v>
      </c>
      <c r="E555" s="18" t="s">
        <v>2198</v>
      </c>
      <c r="F555" s="18" t="s">
        <v>228</v>
      </c>
      <c r="G555" s="18">
        <v>14.73</v>
      </c>
      <c r="H555" s="18" t="s">
        <v>56</v>
      </c>
      <c r="I555" s="19">
        <v>433.0</v>
      </c>
      <c r="J555" s="19">
        <v>350.0</v>
      </c>
      <c r="K555" s="19"/>
      <c r="L555" s="18" t="s">
        <v>2199</v>
      </c>
      <c r="M555" s="18" t="s">
        <v>2200</v>
      </c>
      <c r="N555" s="18" t="s">
        <v>1034</v>
      </c>
      <c r="O555" s="18" t="s">
        <v>83</v>
      </c>
      <c r="P555" s="18"/>
      <c r="Q555" s="10">
        <f t="shared" si="1"/>
        <v>1</v>
      </c>
    </row>
    <row r="556">
      <c r="A556" s="18" t="s">
        <v>1029</v>
      </c>
      <c r="B556" s="18" t="s">
        <v>44</v>
      </c>
      <c r="C556" s="18" t="s">
        <v>133</v>
      </c>
      <c r="D556" s="18" t="s">
        <v>2201</v>
      </c>
      <c r="E556" s="18" t="s">
        <v>2202</v>
      </c>
      <c r="F556" s="18" t="s">
        <v>228</v>
      </c>
      <c r="G556" s="18">
        <v>14.73</v>
      </c>
      <c r="H556" s="18" t="s">
        <v>56</v>
      </c>
      <c r="I556" s="19">
        <v>433.0</v>
      </c>
      <c r="J556" s="19">
        <v>350.0</v>
      </c>
      <c r="K556" s="19"/>
      <c r="L556" s="18" t="s">
        <v>2203</v>
      </c>
      <c r="M556" s="18" t="s">
        <v>2204</v>
      </c>
      <c r="N556" s="18" t="s">
        <v>363</v>
      </c>
      <c r="O556" s="18" t="s">
        <v>57</v>
      </c>
      <c r="P556" s="18"/>
      <c r="Q556" s="10">
        <f t="shared" si="1"/>
        <v>1</v>
      </c>
    </row>
    <row r="557">
      <c r="A557" s="18" t="s">
        <v>158</v>
      </c>
      <c r="B557" s="18" t="s">
        <v>44</v>
      </c>
      <c r="C557" s="18" t="s">
        <v>64</v>
      </c>
      <c r="D557" s="18" t="s">
        <v>2205</v>
      </c>
      <c r="E557" s="18" t="s">
        <v>2206</v>
      </c>
      <c r="F557" s="18" t="s">
        <v>228</v>
      </c>
      <c r="G557" s="18">
        <v>18.75</v>
      </c>
      <c r="H557" s="18" t="s">
        <v>120</v>
      </c>
      <c r="I557" s="19">
        <v>5516.0</v>
      </c>
      <c r="J557" s="19">
        <v>5550.0</v>
      </c>
      <c r="K557" s="19">
        <v>6700.0</v>
      </c>
      <c r="L557" s="18" t="s">
        <v>2207</v>
      </c>
      <c r="M557" s="18" t="s">
        <v>1626</v>
      </c>
      <c r="N557" s="18" t="s">
        <v>240</v>
      </c>
      <c r="O557" s="18" t="s">
        <v>161</v>
      </c>
      <c r="P557" s="18" t="s">
        <v>162</v>
      </c>
      <c r="Q557" s="10">
        <f t="shared" si="1"/>
        <v>1</v>
      </c>
    </row>
    <row r="558">
      <c r="A558" s="18" t="s">
        <v>2208</v>
      </c>
      <c r="B558" s="18" t="s">
        <v>44</v>
      </c>
      <c r="C558" s="18" t="s">
        <v>76</v>
      </c>
      <c r="D558" s="18" t="s">
        <v>2209</v>
      </c>
      <c r="E558" s="18" t="s">
        <v>2210</v>
      </c>
      <c r="F558" s="18" t="s">
        <v>228</v>
      </c>
      <c r="G558" s="18">
        <v>19.08</v>
      </c>
      <c r="H558" s="18" t="s">
        <v>120</v>
      </c>
      <c r="I558" s="19">
        <v>7900.0</v>
      </c>
      <c r="J558" s="19">
        <v>7900.0</v>
      </c>
      <c r="K558" s="19"/>
      <c r="L558" s="18" t="s">
        <v>2211</v>
      </c>
      <c r="M558" s="18" t="s">
        <v>2212</v>
      </c>
      <c r="N558" s="18" t="s">
        <v>403</v>
      </c>
      <c r="O558" s="18" t="s">
        <v>57</v>
      </c>
      <c r="P558" s="18"/>
      <c r="Q558" s="10">
        <f t="shared" si="1"/>
        <v>1</v>
      </c>
    </row>
    <row r="559">
      <c r="A559" s="18" t="s">
        <v>2208</v>
      </c>
      <c r="B559" s="18" t="s">
        <v>44</v>
      </c>
      <c r="C559" s="18" t="s">
        <v>76</v>
      </c>
      <c r="D559" s="18" t="s">
        <v>2213</v>
      </c>
      <c r="E559" s="18" t="s">
        <v>2214</v>
      </c>
      <c r="F559" s="18" t="s">
        <v>228</v>
      </c>
      <c r="G559" s="18">
        <v>19.38</v>
      </c>
      <c r="H559" s="18" t="s">
        <v>120</v>
      </c>
      <c r="I559" s="19">
        <v>7900.0</v>
      </c>
      <c r="J559" s="19">
        <v>7900.0</v>
      </c>
      <c r="K559" s="19"/>
      <c r="L559" s="18" t="s">
        <v>2215</v>
      </c>
      <c r="M559" s="18" t="s">
        <v>1000</v>
      </c>
      <c r="N559" s="18" t="s">
        <v>403</v>
      </c>
      <c r="O559" s="18" t="s">
        <v>57</v>
      </c>
      <c r="P559" s="18"/>
      <c r="Q559" s="10">
        <f t="shared" si="1"/>
        <v>1</v>
      </c>
    </row>
    <row r="560">
      <c r="A560" s="18" t="s">
        <v>145</v>
      </c>
      <c r="B560" s="18" t="s">
        <v>44</v>
      </c>
      <c r="C560" s="18" t="s">
        <v>53</v>
      </c>
      <c r="D560" s="18" t="s">
        <v>2216</v>
      </c>
      <c r="E560" s="18" t="s">
        <v>2217</v>
      </c>
      <c r="F560" s="18" t="s">
        <v>228</v>
      </c>
      <c r="G560" s="18">
        <v>16.0</v>
      </c>
      <c r="H560" s="18" t="s">
        <v>56</v>
      </c>
      <c r="I560" s="19">
        <v>8592.0</v>
      </c>
      <c r="J560" s="19">
        <v>9500.0</v>
      </c>
      <c r="K560" s="19">
        <v>10350.0</v>
      </c>
      <c r="L560" s="18" t="s">
        <v>2218</v>
      </c>
      <c r="M560" s="18" t="s">
        <v>2219</v>
      </c>
      <c r="N560" s="18" t="s">
        <v>240</v>
      </c>
      <c r="O560" s="18" t="s">
        <v>57</v>
      </c>
      <c r="P560" s="18" t="s">
        <v>63</v>
      </c>
      <c r="Q560" s="10">
        <f t="shared" si="1"/>
        <v>1</v>
      </c>
    </row>
    <row r="561">
      <c r="A561" s="18" t="s">
        <v>282</v>
      </c>
      <c r="B561" s="18" t="s">
        <v>44</v>
      </c>
      <c r="C561" s="18" t="s">
        <v>113</v>
      </c>
      <c r="D561" s="18" t="s">
        <v>2220</v>
      </c>
      <c r="E561" s="18" t="s">
        <v>2221</v>
      </c>
      <c r="F561" s="18" t="s">
        <v>228</v>
      </c>
      <c r="G561" s="18">
        <v>11.92</v>
      </c>
      <c r="H561" s="18" t="s">
        <v>116</v>
      </c>
      <c r="I561" s="19">
        <v>4188.0</v>
      </c>
      <c r="J561" s="19">
        <v>5050.0</v>
      </c>
      <c r="K561" s="19">
        <v>5050.0</v>
      </c>
      <c r="L561" s="18" t="s">
        <v>2222</v>
      </c>
      <c r="M561" s="18" t="s">
        <v>2223</v>
      </c>
      <c r="N561" s="18" t="s">
        <v>403</v>
      </c>
      <c r="O561" s="18" t="s">
        <v>41</v>
      </c>
      <c r="P561" s="18" t="s">
        <v>63</v>
      </c>
      <c r="Q561" s="10">
        <f t="shared" si="1"/>
        <v>1</v>
      </c>
    </row>
    <row r="562">
      <c r="A562" s="18" t="s">
        <v>201</v>
      </c>
      <c r="B562" s="18" t="s">
        <v>44</v>
      </c>
      <c r="C562" s="18" t="s">
        <v>180</v>
      </c>
      <c r="D562" s="18" t="s">
        <v>2224</v>
      </c>
      <c r="E562" s="18" t="s">
        <v>2225</v>
      </c>
      <c r="F562" s="18" t="s">
        <v>228</v>
      </c>
      <c r="G562" s="18">
        <v>22.76</v>
      </c>
      <c r="H562" s="18" t="s">
        <v>168</v>
      </c>
      <c r="I562" s="19">
        <v>4150.0</v>
      </c>
      <c r="J562" s="19">
        <v>5000.0</v>
      </c>
      <c r="K562" s="19">
        <v>4800.0</v>
      </c>
      <c r="L562" s="18" t="s">
        <v>2226</v>
      </c>
      <c r="M562" s="18" t="s">
        <v>2227</v>
      </c>
      <c r="N562" s="18" t="s">
        <v>1927</v>
      </c>
      <c r="O562" s="18" t="s">
        <v>57</v>
      </c>
      <c r="P562" s="18"/>
      <c r="Q562" s="10">
        <f t="shared" si="1"/>
        <v>1</v>
      </c>
    </row>
    <row r="563">
      <c r="A563" s="18" t="s">
        <v>132</v>
      </c>
      <c r="B563" s="18" t="s">
        <v>44</v>
      </c>
      <c r="C563" s="18" t="s">
        <v>133</v>
      </c>
      <c r="D563" s="18" t="s">
        <v>2228</v>
      </c>
      <c r="E563" s="18" t="s">
        <v>2229</v>
      </c>
      <c r="F563" s="18" t="s">
        <v>228</v>
      </c>
      <c r="G563" s="18">
        <v>13.19</v>
      </c>
      <c r="H563" s="18" t="s">
        <v>62</v>
      </c>
      <c r="I563" s="19">
        <v>2975.44</v>
      </c>
      <c r="J563" s="19">
        <v>2400.0</v>
      </c>
      <c r="K563" s="19">
        <v>3500.0</v>
      </c>
      <c r="L563" s="18" t="s">
        <v>2230</v>
      </c>
      <c r="M563" s="18" t="s">
        <v>2231</v>
      </c>
      <c r="N563" s="18" t="s">
        <v>1980</v>
      </c>
      <c r="O563" s="18" t="s">
        <v>41</v>
      </c>
      <c r="P563" s="18"/>
      <c r="Q563" s="10">
        <f t="shared" si="1"/>
        <v>1</v>
      </c>
    </row>
    <row r="564">
      <c r="A564" s="18" t="s">
        <v>912</v>
      </c>
      <c r="B564" s="18" t="s">
        <v>44</v>
      </c>
      <c r="C564" s="18" t="s">
        <v>53</v>
      </c>
      <c r="D564" s="18" t="s">
        <v>2232</v>
      </c>
      <c r="E564" s="18" t="s">
        <v>2233</v>
      </c>
      <c r="F564" s="18" t="s">
        <v>228</v>
      </c>
      <c r="G564" s="18">
        <v>16.03</v>
      </c>
      <c r="H564" s="18" t="s">
        <v>120</v>
      </c>
      <c r="I564" s="19">
        <v>4900.0</v>
      </c>
      <c r="J564" s="19">
        <v>6150.0</v>
      </c>
      <c r="K564" s="19">
        <v>5700.0</v>
      </c>
      <c r="L564" s="18" t="s">
        <v>2234</v>
      </c>
      <c r="M564" s="18" t="s">
        <v>2235</v>
      </c>
      <c r="N564" s="18" t="s">
        <v>131</v>
      </c>
      <c r="O564" s="18" t="s">
        <v>41</v>
      </c>
      <c r="P564" s="18" t="s">
        <v>917</v>
      </c>
      <c r="Q564" s="10">
        <f t="shared" si="1"/>
        <v>1</v>
      </c>
    </row>
    <row r="565">
      <c r="A565" s="18" t="s">
        <v>201</v>
      </c>
      <c r="B565" s="18" t="s">
        <v>44</v>
      </c>
      <c r="C565" s="18" t="s">
        <v>133</v>
      </c>
      <c r="D565" s="18" t="s">
        <v>2236</v>
      </c>
      <c r="E565" s="18" t="s">
        <v>2237</v>
      </c>
      <c r="F565" s="18" t="s">
        <v>228</v>
      </c>
      <c r="G565" s="18">
        <v>13.5</v>
      </c>
      <c r="H565" s="18" t="s">
        <v>56</v>
      </c>
      <c r="I565" s="19">
        <v>2800.0</v>
      </c>
      <c r="J565" s="19">
        <v>3400.0</v>
      </c>
      <c r="K565" s="19">
        <v>3250.0</v>
      </c>
      <c r="L565" s="18" t="s">
        <v>2238</v>
      </c>
      <c r="M565" s="18" t="s">
        <v>2239</v>
      </c>
      <c r="N565" s="18" t="s">
        <v>1980</v>
      </c>
      <c r="O565" s="18" t="s">
        <v>57</v>
      </c>
      <c r="P565" s="18"/>
      <c r="Q565" s="10">
        <f t="shared" si="1"/>
        <v>1</v>
      </c>
    </row>
    <row r="566">
      <c r="A566" s="18" t="s">
        <v>148</v>
      </c>
      <c r="B566" s="18" t="s">
        <v>44</v>
      </c>
      <c r="C566" s="18" t="s">
        <v>76</v>
      </c>
      <c r="D566" s="18" t="s">
        <v>2240</v>
      </c>
      <c r="E566" s="18" t="s">
        <v>2241</v>
      </c>
      <c r="F566" s="18" t="s">
        <v>228</v>
      </c>
      <c r="G566" s="18">
        <v>21.7</v>
      </c>
      <c r="H566" s="18" t="s">
        <v>56</v>
      </c>
      <c r="I566" s="19">
        <v>8349.0</v>
      </c>
      <c r="J566" s="19">
        <v>8350.0</v>
      </c>
      <c r="K566" s="19">
        <v>10050.0</v>
      </c>
      <c r="L566" s="18" t="s">
        <v>2242</v>
      </c>
      <c r="M566" s="18" t="s">
        <v>2035</v>
      </c>
      <c r="N566" s="18" t="s">
        <v>403</v>
      </c>
      <c r="O566" s="18" t="s">
        <v>151</v>
      </c>
      <c r="P566" s="18" t="s">
        <v>48</v>
      </c>
      <c r="Q566" s="10">
        <f t="shared" si="1"/>
        <v>1</v>
      </c>
    </row>
    <row r="567">
      <c r="A567" s="18" t="s">
        <v>154</v>
      </c>
      <c r="B567" s="18"/>
      <c r="C567" s="18" t="s">
        <v>37</v>
      </c>
      <c r="D567" s="18" t="s">
        <v>2243</v>
      </c>
      <c r="E567" s="18" t="s">
        <v>2244</v>
      </c>
      <c r="F567" s="18" t="s">
        <v>228</v>
      </c>
      <c r="G567" s="18">
        <v>88.9</v>
      </c>
      <c r="H567" s="18"/>
      <c r="I567" s="19">
        <v>10000.0</v>
      </c>
      <c r="J567" s="19">
        <v>14000.0</v>
      </c>
      <c r="K567" s="19"/>
      <c r="L567" s="18" t="s">
        <v>2245</v>
      </c>
      <c r="M567" s="18" t="s">
        <v>2246</v>
      </c>
      <c r="N567" s="18" t="s">
        <v>903</v>
      </c>
      <c r="O567" s="18"/>
      <c r="P567" s="18" t="s">
        <v>157</v>
      </c>
      <c r="Q567" s="10">
        <f t="shared" si="1"/>
        <v>1</v>
      </c>
    </row>
    <row r="568">
      <c r="A568" s="18" t="s">
        <v>364</v>
      </c>
      <c r="B568" s="18" t="s">
        <v>44</v>
      </c>
      <c r="C568" s="18" t="s">
        <v>151</v>
      </c>
      <c r="D568" s="18" t="s">
        <v>2247</v>
      </c>
      <c r="E568" s="18" t="s">
        <v>2248</v>
      </c>
      <c r="F568" s="18" t="s">
        <v>228</v>
      </c>
      <c r="G568" s="18">
        <v>25.68</v>
      </c>
      <c r="H568" s="18" t="s">
        <v>168</v>
      </c>
      <c r="I568" s="19">
        <v>6050.0</v>
      </c>
      <c r="J568" s="19">
        <v>6050.0</v>
      </c>
      <c r="K568" s="19">
        <v>7050.0</v>
      </c>
      <c r="L568" s="18" t="s">
        <v>2249</v>
      </c>
      <c r="M568" s="18" t="s">
        <v>1182</v>
      </c>
      <c r="N568" s="18" t="s">
        <v>240</v>
      </c>
      <c r="O568" s="18" t="s">
        <v>117</v>
      </c>
      <c r="P568" s="18" t="s">
        <v>369</v>
      </c>
      <c r="Q568" s="10">
        <f t="shared" si="1"/>
        <v>1</v>
      </c>
    </row>
    <row r="569">
      <c r="A569" s="18" t="s">
        <v>148</v>
      </c>
      <c r="B569" s="18" t="s">
        <v>44</v>
      </c>
      <c r="C569" s="18" t="s">
        <v>64</v>
      </c>
      <c r="D569" s="18" t="s">
        <v>2250</v>
      </c>
      <c r="E569" s="18" t="s">
        <v>2251</v>
      </c>
      <c r="F569" s="18" t="s">
        <v>228</v>
      </c>
      <c r="G569" s="18">
        <v>17.7</v>
      </c>
      <c r="H569" s="18" t="s">
        <v>56</v>
      </c>
      <c r="I569" s="19">
        <v>7096.0</v>
      </c>
      <c r="J569" s="19">
        <v>7100.0</v>
      </c>
      <c r="K569" s="19">
        <v>8550.0</v>
      </c>
      <c r="L569" s="18" t="s">
        <v>2252</v>
      </c>
      <c r="M569" s="18" t="s">
        <v>2253</v>
      </c>
      <c r="N569" s="18" t="s">
        <v>903</v>
      </c>
      <c r="O569" s="18" t="s">
        <v>151</v>
      </c>
      <c r="P569" s="18" t="s">
        <v>48</v>
      </c>
      <c r="Q569" s="10">
        <f t="shared" si="1"/>
        <v>1</v>
      </c>
    </row>
    <row r="570">
      <c r="A570" s="18" t="s">
        <v>912</v>
      </c>
      <c r="B570" s="18" t="s">
        <v>44</v>
      </c>
      <c r="C570" s="18" t="s">
        <v>133</v>
      </c>
      <c r="D570" s="18" t="s">
        <v>2254</v>
      </c>
      <c r="E570" s="18" t="s">
        <v>2255</v>
      </c>
      <c r="F570" s="18" t="s">
        <v>228</v>
      </c>
      <c r="G570" s="18">
        <v>13.13</v>
      </c>
      <c r="H570" s="18" t="s">
        <v>56</v>
      </c>
      <c r="I570" s="19">
        <v>4650.0</v>
      </c>
      <c r="J570" s="19">
        <v>5850.0</v>
      </c>
      <c r="K570" s="19">
        <v>5400.0</v>
      </c>
      <c r="L570" s="18" t="s">
        <v>2256</v>
      </c>
      <c r="M570" s="18" t="s">
        <v>2257</v>
      </c>
      <c r="N570" s="18" t="s">
        <v>143</v>
      </c>
      <c r="O570" s="18" t="s">
        <v>41</v>
      </c>
      <c r="P570" s="18" t="s">
        <v>917</v>
      </c>
      <c r="Q570" s="10">
        <f t="shared" si="1"/>
        <v>1</v>
      </c>
    </row>
    <row r="571">
      <c r="A571" s="18" t="s">
        <v>364</v>
      </c>
      <c r="B571" s="18" t="s">
        <v>45</v>
      </c>
      <c r="C571" s="18" t="s">
        <v>45</v>
      </c>
      <c r="D571" s="18" t="s">
        <v>2258</v>
      </c>
      <c r="E571" s="18" t="s">
        <v>2259</v>
      </c>
      <c r="F571" s="18" t="s">
        <v>228</v>
      </c>
      <c r="G571" s="18">
        <v>10.05</v>
      </c>
      <c r="H571" s="18" t="s">
        <v>45</v>
      </c>
      <c r="I571" s="19">
        <v>1999.0</v>
      </c>
      <c r="J571" s="19">
        <v>2000.0</v>
      </c>
      <c r="K571" s="19">
        <v>2400.0</v>
      </c>
      <c r="L571" s="18" t="s">
        <v>2260</v>
      </c>
      <c r="M571" s="18" t="s">
        <v>2261</v>
      </c>
      <c r="N571" s="18" t="s">
        <v>2262</v>
      </c>
      <c r="O571" s="18" t="s">
        <v>41</v>
      </c>
      <c r="P571" s="18" t="s">
        <v>369</v>
      </c>
      <c r="Q571" s="10">
        <f t="shared" si="1"/>
        <v>1</v>
      </c>
    </row>
    <row r="572">
      <c r="A572" s="18" t="s">
        <v>1199</v>
      </c>
      <c r="B572" s="18" t="s">
        <v>44</v>
      </c>
      <c r="C572" s="18" t="s">
        <v>64</v>
      </c>
      <c r="D572" s="18" t="s">
        <v>2263</v>
      </c>
      <c r="E572" s="18" t="s">
        <v>2264</v>
      </c>
      <c r="F572" s="18" t="s">
        <v>228</v>
      </c>
      <c r="G572" s="18">
        <v>18.26</v>
      </c>
      <c r="H572" s="18" t="s">
        <v>1202</v>
      </c>
      <c r="I572" s="19">
        <v>450.0</v>
      </c>
      <c r="J572" s="19">
        <v>360.0</v>
      </c>
      <c r="K572" s="19"/>
      <c r="L572" s="18" t="s">
        <v>2265</v>
      </c>
      <c r="M572" s="18" t="s">
        <v>2266</v>
      </c>
      <c r="N572" s="18" t="s">
        <v>363</v>
      </c>
      <c r="O572" s="18" t="s">
        <v>41</v>
      </c>
      <c r="P572" s="18"/>
      <c r="Q572" s="10">
        <f t="shared" si="1"/>
        <v>1</v>
      </c>
    </row>
    <row r="573">
      <c r="A573" s="18" t="s">
        <v>201</v>
      </c>
      <c r="B573" s="18" t="s">
        <v>44</v>
      </c>
      <c r="C573" s="18" t="s">
        <v>53</v>
      </c>
      <c r="D573" s="18" t="s">
        <v>2267</v>
      </c>
      <c r="E573" s="18" t="s">
        <v>2268</v>
      </c>
      <c r="F573" s="18" t="s">
        <v>228</v>
      </c>
      <c r="G573" s="18">
        <v>16.45</v>
      </c>
      <c r="H573" s="18" t="s">
        <v>56</v>
      </c>
      <c r="I573" s="19">
        <v>3050.0</v>
      </c>
      <c r="J573" s="19">
        <v>3700.0</v>
      </c>
      <c r="K573" s="19">
        <v>3700.0</v>
      </c>
      <c r="L573" s="18" t="s">
        <v>2269</v>
      </c>
      <c r="M573" s="18" t="s">
        <v>2270</v>
      </c>
      <c r="N573" s="18" t="s">
        <v>363</v>
      </c>
      <c r="O573" s="18" t="s">
        <v>57</v>
      </c>
      <c r="P573" s="18"/>
      <c r="Q573" s="10">
        <f t="shared" si="1"/>
        <v>1</v>
      </c>
    </row>
    <row r="574">
      <c r="A574" s="18" t="s">
        <v>148</v>
      </c>
      <c r="B574" s="18" t="s">
        <v>45</v>
      </c>
      <c r="C574" s="18" t="s">
        <v>45</v>
      </c>
      <c r="D574" s="18" t="s">
        <v>2271</v>
      </c>
      <c r="E574" s="18" t="s">
        <v>2272</v>
      </c>
      <c r="F574" s="18" t="s">
        <v>228</v>
      </c>
      <c r="G574" s="18">
        <v>11.0</v>
      </c>
      <c r="H574" s="18" t="s">
        <v>45</v>
      </c>
      <c r="I574" s="19">
        <v>4171.0</v>
      </c>
      <c r="J574" s="19">
        <v>4200.0</v>
      </c>
      <c r="K574" s="19">
        <v>5050.0</v>
      </c>
      <c r="L574" s="18" t="s">
        <v>2273</v>
      </c>
      <c r="M574" s="18" t="s">
        <v>2274</v>
      </c>
      <c r="N574" s="18" t="s">
        <v>903</v>
      </c>
      <c r="O574" s="18" t="s">
        <v>151</v>
      </c>
      <c r="P574" s="18" t="s">
        <v>48</v>
      </c>
      <c r="Q574" s="10">
        <f t="shared" si="1"/>
        <v>1</v>
      </c>
    </row>
    <row r="575">
      <c r="A575" s="18" t="s">
        <v>158</v>
      </c>
      <c r="B575" s="18" t="s">
        <v>45</v>
      </c>
      <c r="C575" s="18" t="s">
        <v>45</v>
      </c>
      <c r="D575" s="18" t="s">
        <v>2275</v>
      </c>
      <c r="E575" s="18" t="s">
        <v>2276</v>
      </c>
      <c r="F575" s="18" t="s">
        <v>228</v>
      </c>
      <c r="G575" s="18">
        <v>8.0</v>
      </c>
      <c r="H575" s="18" t="s">
        <v>45</v>
      </c>
      <c r="I575" s="19">
        <v>2542.0</v>
      </c>
      <c r="J575" s="19">
        <v>2550.0</v>
      </c>
      <c r="K575" s="19">
        <v>3100.0</v>
      </c>
      <c r="L575" s="18" t="s">
        <v>2277</v>
      </c>
      <c r="M575" s="18" t="s">
        <v>2278</v>
      </c>
      <c r="N575" s="18" t="s">
        <v>1927</v>
      </c>
      <c r="O575" s="18" t="s">
        <v>41</v>
      </c>
      <c r="P575" s="18" t="s">
        <v>162</v>
      </c>
      <c r="Q575" s="10">
        <f t="shared" si="1"/>
        <v>1</v>
      </c>
    </row>
    <row r="576">
      <c r="A576" s="18" t="s">
        <v>1238</v>
      </c>
      <c r="B576" s="18" t="s">
        <v>45</v>
      </c>
      <c r="C576" s="18" t="s">
        <v>45</v>
      </c>
      <c r="D576" s="18" t="s">
        <v>2279</v>
      </c>
      <c r="E576" s="18" t="s">
        <v>2280</v>
      </c>
      <c r="F576" s="18" t="s">
        <v>228</v>
      </c>
      <c r="G576" s="18">
        <v>10.71</v>
      </c>
      <c r="H576" s="18" t="s">
        <v>400</v>
      </c>
      <c r="I576" s="19">
        <v>1706.0</v>
      </c>
      <c r="J576" s="19">
        <v>2250.0</v>
      </c>
      <c r="K576" s="19"/>
      <c r="L576" s="18" t="s">
        <v>2281</v>
      </c>
      <c r="M576" s="18" t="s">
        <v>2282</v>
      </c>
      <c r="N576" s="18" t="s">
        <v>2262</v>
      </c>
      <c r="O576" s="18" t="s">
        <v>41</v>
      </c>
      <c r="P576" s="18" t="s">
        <v>144</v>
      </c>
      <c r="Q576" s="10">
        <f t="shared" si="1"/>
        <v>1</v>
      </c>
    </row>
    <row r="577">
      <c r="A577" s="18" t="s">
        <v>1238</v>
      </c>
      <c r="B577" s="18" t="s">
        <v>44</v>
      </c>
      <c r="C577" s="18" t="s">
        <v>133</v>
      </c>
      <c r="D577" s="18" t="s">
        <v>2283</v>
      </c>
      <c r="E577" s="18" t="s">
        <v>2284</v>
      </c>
      <c r="F577" s="18" t="s">
        <v>228</v>
      </c>
      <c r="G577" s="18">
        <v>13.5</v>
      </c>
      <c r="H577" s="18" t="s">
        <v>1242</v>
      </c>
      <c r="I577" s="19">
        <v>3199.0</v>
      </c>
      <c r="J577" s="19">
        <v>4200.0</v>
      </c>
      <c r="K577" s="19"/>
      <c r="L577" s="18" t="s">
        <v>2285</v>
      </c>
      <c r="M577" s="18" t="s">
        <v>2286</v>
      </c>
      <c r="N577" s="18" t="s">
        <v>2262</v>
      </c>
      <c r="O577" s="18" t="s">
        <v>41</v>
      </c>
      <c r="P577" s="18" t="s">
        <v>144</v>
      </c>
      <c r="Q577" s="10">
        <f t="shared" si="1"/>
        <v>1</v>
      </c>
    </row>
    <row r="578">
      <c r="A578" s="18" t="s">
        <v>1238</v>
      </c>
      <c r="B578" s="18" t="s">
        <v>44</v>
      </c>
      <c r="C578" s="18" t="s">
        <v>53</v>
      </c>
      <c r="D578" s="18" t="s">
        <v>2287</v>
      </c>
      <c r="E578" s="18" t="s">
        <v>2288</v>
      </c>
      <c r="F578" s="18" t="s">
        <v>228</v>
      </c>
      <c r="G578" s="18">
        <v>15.53</v>
      </c>
      <c r="H578" s="18" t="s">
        <v>1242</v>
      </c>
      <c r="I578" s="19">
        <v>3600.0</v>
      </c>
      <c r="J578" s="19">
        <v>4700.0</v>
      </c>
      <c r="K578" s="19"/>
      <c r="L578" s="18" t="s">
        <v>2289</v>
      </c>
      <c r="M578" s="18" t="s">
        <v>2290</v>
      </c>
      <c r="N578" s="18" t="s">
        <v>1927</v>
      </c>
      <c r="O578" s="18" t="s">
        <v>41</v>
      </c>
      <c r="P578" s="18" t="s">
        <v>144</v>
      </c>
      <c r="Q578" s="10">
        <f t="shared" si="1"/>
        <v>1</v>
      </c>
    </row>
    <row r="579">
      <c r="A579" s="18" t="s">
        <v>35</v>
      </c>
      <c r="B579" s="18" t="s">
        <v>44</v>
      </c>
      <c r="C579" s="18" t="s">
        <v>133</v>
      </c>
      <c r="D579" s="18" t="s">
        <v>2291</v>
      </c>
      <c r="E579" s="18" t="s">
        <v>2292</v>
      </c>
      <c r="F579" s="18" t="s">
        <v>228</v>
      </c>
      <c r="G579" s="18">
        <v>12.41</v>
      </c>
      <c r="H579" s="18" t="s">
        <v>56</v>
      </c>
      <c r="I579" s="19">
        <v>5436.0</v>
      </c>
      <c r="J579" s="19">
        <v>7350.0</v>
      </c>
      <c r="K579" s="19">
        <v>6550.0</v>
      </c>
      <c r="L579" s="18" t="s">
        <v>2293</v>
      </c>
      <c r="M579" s="18" t="s">
        <v>2294</v>
      </c>
      <c r="N579" s="18" t="s">
        <v>903</v>
      </c>
      <c r="O579" s="18" t="s">
        <v>57</v>
      </c>
      <c r="P579" s="18" t="s">
        <v>42</v>
      </c>
      <c r="Q579" s="10">
        <f t="shared" si="1"/>
        <v>1</v>
      </c>
    </row>
    <row r="580">
      <c r="A580" s="18" t="s">
        <v>225</v>
      </c>
      <c r="B580" s="18" t="s">
        <v>44</v>
      </c>
      <c r="C580" s="18" t="s">
        <v>64</v>
      </c>
      <c r="D580" s="18" t="s">
        <v>2295</v>
      </c>
      <c r="E580" s="18" t="s">
        <v>2296</v>
      </c>
      <c r="F580" s="18" t="s">
        <v>228</v>
      </c>
      <c r="G580" s="18">
        <v>17.9</v>
      </c>
      <c r="H580" s="18" t="s">
        <v>120</v>
      </c>
      <c r="I580" s="19">
        <v>6200.0</v>
      </c>
      <c r="J580" s="19">
        <v>8100.0</v>
      </c>
      <c r="K580" s="19">
        <v>7200.0</v>
      </c>
      <c r="L580" s="18" t="s">
        <v>2297</v>
      </c>
      <c r="M580" s="18" t="s">
        <v>2298</v>
      </c>
      <c r="N580" s="18" t="s">
        <v>1980</v>
      </c>
      <c r="O580" s="18" t="s">
        <v>41</v>
      </c>
      <c r="P580" s="18" t="s">
        <v>162</v>
      </c>
      <c r="Q580" s="10">
        <f t="shared" si="1"/>
        <v>1</v>
      </c>
    </row>
    <row r="581">
      <c r="A581" s="18" t="s">
        <v>148</v>
      </c>
      <c r="B581" s="18" t="s">
        <v>44</v>
      </c>
      <c r="C581" s="18" t="s">
        <v>76</v>
      </c>
      <c r="D581" s="18" t="s">
        <v>2299</v>
      </c>
      <c r="E581" s="18" t="s">
        <v>2300</v>
      </c>
      <c r="F581" s="18" t="s">
        <v>228</v>
      </c>
      <c r="G581" s="18">
        <v>21.9</v>
      </c>
      <c r="H581" s="18" t="s">
        <v>56</v>
      </c>
      <c r="I581" s="19">
        <v>8349.0</v>
      </c>
      <c r="J581" s="19">
        <v>8350.0</v>
      </c>
      <c r="K581" s="19">
        <v>10050.0</v>
      </c>
      <c r="L581" s="18" t="s">
        <v>2301</v>
      </c>
      <c r="M581" s="18" t="s">
        <v>2302</v>
      </c>
      <c r="N581" s="18" t="s">
        <v>240</v>
      </c>
      <c r="O581" s="18" t="s">
        <v>151</v>
      </c>
      <c r="P581" s="18" t="s">
        <v>48</v>
      </c>
      <c r="Q581" s="10">
        <f t="shared" si="1"/>
        <v>1</v>
      </c>
    </row>
    <row r="582">
      <c r="A582" s="18" t="s">
        <v>282</v>
      </c>
      <c r="B582" s="18" t="s">
        <v>44</v>
      </c>
      <c r="C582" s="18" t="s">
        <v>53</v>
      </c>
      <c r="D582" s="18" t="s">
        <v>2303</v>
      </c>
      <c r="E582" s="18" t="s">
        <v>2304</v>
      </c>
      <c r="F582" s="18" t="s">
        <v>228</v>
      </c>
      <c r="G582" s="18">
        <v>15.01</v>
      </c>
      <c r="H582" s="18" t="s">
        <v>56</v>
      </c>
      <c r="I582" s="19">
        <v>4851.0</v>
      </c>
      <c r="J582" s="19">
        <v>5850.0</v>
      </c>
      <c r="K582" s="19">
        <v>5900.0</v>
      </c>
      <c r="L582" s="18" t="s">
        <v>2305</v>
      </c>
      <c r="M582" s="18" t="s">
        <v>2306</v>
      </c>
      <c r="N582" s="18" t="s">
        <v>240</v>
      </c>
      <c r="O582" s="18" t="s">
        <v>57</v>
      </c>
      <c r="P582" s="18" t="s">
        <v>63</v>
      </c>
      <c r="Q582" s="10">
        <f t="shared" si="1"/>
        <v>1</v>
      </c>
    </row>
    <row r="583">
      <c r="A583" s="18" t="s">
        <v>225</v>
      </c>
      <c r="B583" s="18" t="s">
        <v>44</v>
      </c>
      <c r="C583" s="18" t="s">
        <v>64</v>
      </c>
      <c r="D583" s="18" t="s">
        <v>2307</v>
      </c>
      <c r="E583" s="18" t="s">
        <v>2308</v>
      </c>
      <c r="F583" s="18" t="s">
        <v>228</v>
      </c>
      <c r="G583" s="18">
        <v>17.9</v>
      </c>
      <c r="H583" s="18" t="s">
        <v>120</v>
      </c>
      <c r="I583" s="19">
        <v>6200.0</v>
      </c>
      <c r="J583" s="19">
        <v>8100.0</v>
      </c>
      <c r="K583" s="19">
        <v>7200.0</v>
      </c>
      <c r="L583" s="18" t="s">
        <v>2309</v>
      </c>
      <c r="M583" s="18" t="s">
        <v>2310</v>
      </c>
      <c r="N583" s="18" t="s">
        <v>131</v>
      </c>
      <c r="O583" s="18" t="s">
        <v>41</v>
      </c>
      <c r="P583" s="18" t="s">
        <v>162</v>
      </c>
      <c r="Q583" s="10">
        <f t="shared" si="1"/>
        <v>1</v>
      </c>
    </row>
    <row r="584">
      <c r="A584" s="18" t="s">
        <v>138</v>
      </c>
      <c r="B584" s="18" t="s">
        <v>45</v>
      </c>
      <c r="C584" s="18" t="s">
        <v>45</v>
      </c>
      <c r="D584" s="18" t="s">
        <v>2311</v>
      </c>
      <c r="E584" s="18" t="s">
        <v>2312</v>
      </c>
      <c r="F584" s="18" t="s">
        <v>228</v>
      </c>
      <c r="G584" s="18">
        <v>8.85</v>
      </c>
      <c r="H584" s="18" t="s">
        <v>45</v>
      </c>
      <c r="I584" s="19">
        <v>1652.0</v>
      </c>
      <c r="J584" s="19">
        <v>2400.0</v>
      </c>
      <c r="K584" s="19">
        <v>2050.0</v>
      </c>
      <c r="L584" s="18" t="s">
        <v>2313</v>
      </c>
      <c r="M584" s="18" t="s">
        <v>2314</v>
      </c>
      <c r="N584" s="18" t="s">
        <v>143</v>
      </c>
      <c r="O584" s="18" t="s">
        <v>41</v>
      </c>
      <c r="P584" s="18" t="s">
        <v>144</v>
      </c>
      <c r="Q584" s="10">
        <f t="shared" si="1"/>
        <v>1</v>
      </c>
    </row>
    <row r="585">
      <c r="A585" s="18" t="s">
        <v>112</v>
      </c>
      <c r="B585" s="18" t="s">
        <v>45</v>
      </c>
      <c r="C585" s="18" t="s">
        <v>45</v>
      </c>
      <c r="D585" s="18" t="s">
        <v>2315</v>
      </c>
      <c r="E585" s="18" t="s">
        <v>2316</v>
      </c>
      <c r="F585" s="18" t="s">
        <v>228</v>
      </c>
      <c r="G585" s="18">
        <v>11.9</v>
      </c>
      <c r="H585" s="18" t="s">
        <v>45</v>
      </c>
      <c r="I585" s="19">
        <v>3257.0</v>
      </c>
      <c r="J585" s="19">
        <v>4600.0</v>
      </c>
      <c r="K585" s="19">
        <v>4000.0</v>
      </c>
      <c r="L585" s="18" t="s">
        <v>2317</v>
      </c>
      <c r="M585" s="18" t="s">
        <v>2318</v>
      </c>
      <c r="N585" s="18" t="s">
        <v>143</v>
      </c>
      <c r="O585" s="18" t="s">
        <v>198</v>
      </c>
      <c r="P585" s="18" t="s">
        <v>42</v>
      </c>
      <c r="Q585" s="10">
        <f t="shared" si="1"/>
        <v>1</v>
      </c>
    </row>
    <row r="586">
      <c r="A586" s="18" t="s">
        <v>912</v>
      </c>
      <c r="B586" s="18" t="s">
        <v>45</v>
      </c>
      <c r="C586" s="18" t="s">
        <v>45</v>
      </c>
      <c r="D586" s="18" t="s">
        <v>2319</v>
      </c>
      <c r="E586" s="18" t="s">
        <v>2320</v>
      </c>
      <c r="F586" s="18" t="s">
        <v>228</v>
      </c>
      <c r="G586" s="18">
        <v>9.05</v>
      </c>
      <c r="H586" s="18" t="s">
        <v>45</v>
      </c>
      <c r="I586" s="19">
        <v>2600.0</v>
      </c>
      <c r="J586" s="19">
        <v>3250.0</v>
      </c>
      <c r="K586" s="19">
        <v>3000.0</v>
      </c>
      <c r="L586" s="18" t="s">
        <v>2321</v>
      </c>
      <c r="M586" s="18" t="s">
        <v>2322</v>
      </c>
      <c r="N586" s="18" t="s">
        <v>143</v>
      </c>
      <c r="O586" s="18" t="s">
        <v>41</v>
      </c>
      <c r="P586" s="18" t="s">
        <v>917</v>
      </c>
      <c r="Q586" s="10">
        <f t="shared" si="1"/>
        <v>1</v>
      </c>
    </row>
    <row r="587">
      <c r="A587" s="18" t="s">
        <v>1238</v>
      </c>
      <c r="B587" s="18" t="s">
        <v>44</v>
      </c>
      <c r="C587" s="18" t="s">
        <v>53</v>
      </c>
      <c r="D587" s="18" t="s">
        <v>2323</v>
      </c>
      <c r="E587" s="18" t="s">
        <v>2324</v>
      </c>
      <c r="F587" s="18" t="s">
        <v>228</v>
      </c>
      <c r="G587" s="18">
        <v>15.44</v>
      </c>
      <c r="H587" s="18" t="s">
        <v>1242</v>
      </c>
      <c r="I587" s="19">
        <v>3600.0</v>
      </c>
      <c r="J587" s="19">
        <v>4700.0</v>
      </c>
      <c r="K587" s="19"/>
      <c r="L587" s="18" t="s">
        <v>2325</v>
      </c>
      <c r="M587" s="18" t="s">
        <v>2326</v>
      </c>
      <c r="N587" s="18" t="s">
        <v>491</v>
      </c>
      <c r="O587" s="18" t="s">
        <v>41</v>
      </c>
      <c r="P587" s="18" t="s">
        <v>144</v>
      </c>
      <c r="Q587" s="10">
        <f t="shared" si="1"/>
        <v>1</v>
      </c>
    </row>
    <row r="588">
      <c r="A588" s="18" t="s">
        <v>225</v>
      </c>
      <c r="B588" s="18" t="s">
        <v>44</v>
      </c>
      <c r="C588" s="18" t="s">
        <v>53</v>
      </c>
      <c r="D588" s="18" t="s">
        <v>2327</v>
      </c>
      <c r="E588" s="18" t="s">
        <v>2328</v>
      </c>
      <c r="F588" s="18" t="s">
        <v>228</v>
      </c>
      <c r="G588" s="18">
        <v>15.36</v>
      </c>
      <c r="H588" s="18" t="s">
        <v>120</v>
      </c>
      <c r="I588" s="19">
        <v>5700.0</v>
      </c>
      <c r="J588" s="19">
        <v>7450.0</v>
      </c>
      <c r="K588" s="19">
        <v>6600.0</v>
      </c>
      <c r="L588" s="18" t="s">
        <v>2329</v>
      </c>
      <c r="M588" s="18" t="s">
        <v>2330</v>
      </c>
      <c r="N588" s="18" t="s">
        <v>143</v>
      </c>
      <c r="O588" s="18" t="s">
        <v>41</v>
      </c>
      <c r="P588" s="18" t="s">
        <v>162</v>
      </c>
      <c r="Q588" s="10">
        <f t="shared" si="1"/>
        <v>1</v>
      </c>
    </row>
    <row r="589">
      <c r="A589" s="18" t="s">
        <v>225</v>
      </c>
      <c r="B589" s="18" t="s">
        <v>44</v>
      </c>
      <c r="C589" s="18" t="s">
        <v>53</v>
      </c>
      <c r="D589" s="18" t="s">
        <v>2331</v>
      </c>
      <c r="E589" s="18" t="s">
        <v>2332</v>
      </c>
      <c r="F589" s="18" t="s">
        <v>228</v>
      </c>
      <c r="G589" s="18">
        <v>15.0</v>
      </c>
      <c r="H589" s="18" t="s">
        <v>120</v>
      </c>
      <c r="I589" s="19">
        <v>5150.0</v>
      </c>
      <c r="J589" s="19">
        <v>6700.0</v>
      </c>
      <c r="K589" s="19">
        <v>6000.0</v>
      </c>
      <c r="L589" s="18" t="s">
        <v>2333</v>
      </c>
      <c r="M589" s="18" t="s">
        <v>2334</v>
      </c>
      <c r="N589" s="18" t="s">
        <v>1980</v>
      </c>
      <c r="O589" s="18" t="s">
        <v>161</v>
      </c>
      <c r="P589" s="18" t="s">
        <v>162</v>
      </c>
      <c r="Q589" s="10">
        <f t="shared" si="1"/>
        <v>1</v>
      </c>
    </row>
    <row r="590">
      <c r="A590" s="18" t="s">
        <v>282</v>
      </c>
      <c r="B590" s="18" t="s">
        <v>44</v>
      </c>
      <c r="C590" s="18" t="s">
        <v>64</v>
      </c>
      <c r="D590" s="18" t="s">
        <v>2335</v>
      </c>
      <c r="E590" s="18" t="s">
        <v>2336</v>
      </c>
      <c r="F590" s="18" t="s">
        <v>228</v>
      </c>
      <c r="G590" s="18">
        <v>18.02</v>
      </c>
      <c r="H590" s="18" t="s">
        <v>120</v>
      </c>
      <c r="I590" s="19">
        <v>5767.0</v>
      </c>
      <c r="J590" s="19">
        <v>6950.0</v>
      </c>
      <c r="K590" s="19">
        <v>7000.0</v>
      </c>
      <c r="L590" s="18" t="s">
        <v>2337</v>
      </c>
      <c r="M590" s="18" t="s">
        <v>2338</v>
      </c>
      <c r="N590" s="18" t="s">
        <v>2262</v>
      </c>
      <c r="O590" s="18" t="s">
        <v>41</v>
      </c>
      <c r="P590" s="18" t="s">
        <v>63</v>
      </c>
      <c r="Q590" s="10">
        <f t="shared" si="1"/>
        <v>1</v>
      </c>
    </row>
    <row r="591">
      <c r="A591" s="18" t="s">
        <v>282</v>
      </c>
      <c r="B591" s="18" t="s">
        <v>44</v>
      </c>
      <c r="C591" s="18" t="s">
        <v>64</v>
      </c>
      <c r="D591" s="18" t="s">
        <v>2339</v>
      </c>
      <c r="E591" s="18" t="s">
        <v>2340</v>
      </c>
      <c r="F591" s="18" t="s">
        <v>228</v>
      </c>
      <c r="G591" s="18">
        <v>17.72</v>
      </c>
      <c r="H591" s="18" t="s">
        <v>120</v>
      </c>
      <c r="I591" s="19">
        <v>5767.0</v>
      </c>
      <c r="J591" s="19">
        <v>6950.0</v>
      </c>
      <c r="K591" s="19">
        <v>7000.0</v>
      </c>
      <c r="L591" s="18" t="s">
        <v>2341</v>
      </c>
      <c r="M591" s="18" t="s">
        <v>2342</v>
      </c>
      <c r="N591" s="18" t="s">
        <v>903</v>
      </c>
      <c r="O591" s="18" t="s">
        <v>41</v>
      </c>
      <c r="P591" s="18" t="s">
        <v>63</v>
      </c>
      <c r="Q591" s="10">
        <f t="shared" si="1"/>
        <v>1</v>
      </c>
    </row>
    <row r="592">
      <c r="A592" s="18" t="s">
        <v>125</v>
      </c>
      <c r="B592" s="18" t="s">
        <v>44</v>
      </c>
      <c r="C592" s="18" t="s">
        <v>180</v>
      </c>
      <c r="D592" s="18" t="s">
        <v>2343</v>
      </c>
      <c r="E592" s="18" t="s">
        <v>2344</v>
      </c>
      <c r="F592" s="18" t="s">
        <v>228</v>
      </c>
      <c r="G592" s="18">
        <v>22.44</v>
      </c>
      <c r="H592" s="18" t="s">
        <v>168</v>
      </c>
      <c r="I592" s="19">
        <v>3323.0</v>
      </c>
      <c r="J592" s="19">
        <v>2850.0</v>
      </c>
      <c r="K592" s="19">
        <v>3550.0</v>
      </c>
      <c r="L592" s="18" t="s">
        <v>2345</v>
      </c>
      <c r="M592" s="18" t="s">
        <v>2346</v>
      </c>
      <c r="N592" s="18" t="s">
        <v>131</v>
      </c>
      <c r="O592" s="18" t="s">
        <v>57</v>
      </c>
      <c r="P592" s="18"/>
      <c r="Q592" s="10">
        <f t="shared" si="1"/>
        <v>1</v>
      </c>
    </row>
    <row r="593">
      <c r="A593" s="18" t="s">
        <v>43</v>
      </c>
      <c r="B593" s="18" t="s">
        <v>44</v>
      </c>
      <c r="C593" s="18" t="s">
        <v>64</v>
      </c>
      <c r="D593" s="18" t="s">
        <v>2347</v>
      </c>
      <c r="E593" s="18" t="s">
        <v>2348</v>
      </c>
      <c r="F593" s="18" t="s">
        <v>228</v>
      </c>
      <c r="G593" s="18">
        <v>17.05</v>
      </c>
      <c r="H593" s="18" t="s">
        <v>120</v>
      </c>
      <c r="I593" s="19">
        <v>6800.0</v>
      </c>
      <c r="J593" s="19">
        <v>8200.0</v>
      </c>
      <c r="K593" s="19"/>
      <c r="L593" s="18" t="s">
        <v>2349</v>
      </c>
      <c r="M593" s="18" t="s">
        <v>2350</v>
      </c>
      <c r="N593" s="18" t="s">
        <v>806</v>
      </c>
      <c r="O593" s="18" t="s">
        <v>41</v>
      </c>
      <c r="P593" s="18" t="s">
        <v>48</v>
      </c>
      <c r="Q593" s="10">
        <f t="shared" si="1"/>
        <v>1</v>
      </c>
    </row>
    <row r="594">
      <c r="A594" s="18" t="s">
        <v>1822</v>
      </c>
      <c r="B594" s="18" t="s">
        <v>44</v>
      </c>
      <c r="C594" s="18" t="s">
        <v>423</v>
      </c>
      <c r="D594" s="18" t="s">
        <v>2351</v>
      </c>
      <c r="E594" s="18" t="s">
        <v>2352</v>
      </c>
      <c r="F594" s="18" t="s">
        <v>228</v>
      </c>
      <c r="G594" s="18">
        <v>27.03</v>
      </c>
      <c r="H594" s="18" t="s">
        <v>168</v>
      </c>
      <c r="I594" s="19">
        <v>4900.0</v>
      </c>
      <c r="J594" s="19">
        <v>5400.0</v>
      </c>
      <c r="K594" s="19"/>
      <c r="L594" s="18" t="s">
        <v>2353</v>
      </c>
      <c r="M594" s="18" t="s">
        <v>2354</v>
      </c>
      <c r="N594" s="18" t="s">
        <v>903</v>
      </c>
      <c r="O594" s="18" t="s">
        <v>41</v>
      </c>
      <c r="P594" s="18"/>
      <c r="Q594" s="10">
        <f t="shared" si="1"/>
        <v>1</v>
      </c>
    </row>
    <row r="595">
      <c r="A595" s="18" t="s">
        <v>158</v>
      </c>
      <c r="B595" s="18" t="s">
        <v>45</v>
      </c>
      <c r="C595" s="18" t="s">
        <v>45</v>
      </c>
      <c r="D595" s="18" t="s">
        <v>2355</v>
      </c>
      <c r="E595" s="18" t="s">
        <v>2356</v>
      </c>
      <c r="F595" s="18" t="s">
        <v>228</v>
      </c>
      <c r="G595" s="18">
        <v>7.4</v>
      </c>
      <c r="H595" s="18" t="s">
        <v>45</v>
      </c>
      <c r="I595" s="19">
        <v>2542.0</v>
      </c>
      <c r="J595" s="19">
        <v>2550.0</v>
      </c>
      <c r="K595" s="19">
        <v>3100.0</v>
      </c>
      <c r="L595" s="18" t="s">
        <v>2357</v>
      </c>
      <c r="M595" s="18" t="s">
        <v>2358</v>
      </c>
      <c r="N595" s="18" t="s">
        <v>403</v>
      </c>
      <c r="O595" s="18" t="s">
        <v>41</v>
      </c>
      <c r="P595" s="18" t="s">
        <v>162</v>
      </c>
      <c r="Q595" s="10">
        <f t="shared" si="1"/>
        <v>1</v>
      </c>
    </row>
    <row r="596">
      <c r="A596" s="18" t="s">
        <v>171</v>
      </c>
      <c r="B596" s="18" t="s">
        <v>44</v>
      </c>
      <c r="C596" s="18" t="s">
        <v>76</v>
      </c>
      <c r="D596" s="18" t="s">
        <v>2359</v>
      </c>
      <c r="E596" s="18" t="s">
        <v>2360</v>
      </c>
      <c r="F596" s="18" t="s">
        <v>228</v>
      </c>
      <c r="G596" s="18">
        <v>21.44</v>
      </c>
      <c r="H596" s="18" t="s">
        <v>120</v>
      </c>
      <c r="I596" s="19">
        <v>5250.0</v>
      </c>
      <c r="J596" s="19">
        <v>6050.0</v>
      </c>
      <c r="K596" s="19">
        <v>6300.0</v>
      </c>
      <c r="L596" s="18" t="s">
        <v>2361</v>
      </c>
      <c r="M596" s="18" t="s">
        <v>2362</v>
      </c>
      <c r="N596" s="18" t="s">
        <v>143</v>
      </c>
      <c r="O596" s="18" t="s">
        <v>117</v>
      </c>
      <c r="P596" s="18"/>
      <c r="Q596" s="10">
        <f t="shared" si="1"/>
        <v>1</v>
      </c>
    </row>
    <row r="597">
      <c r="A597" s="18" t="s">
        <v>1822</v>
      </c>
      <c r="B597" s="18" t="s">
        <v>44</v>
      </c>
      <c r="C597" s="18" t="s">
        <v>53</v>
      </c>
      <c r="D597" s="18" t="s">
        <v>2363</v>
      </c>
      <c r="E597" s="18" t="s">
        <v>2364</v>
      </c>
      <c r="F597" s="18" t="s">
        <v>228</v>
      </c>
      <c r="G597" s="18">
        <v>15.99</v>
      </c>
      <c r="H597" s="18" t="s">
        <v>56</v>
      </c>
      <c r="I597" s="19">
        <v>3700.0</v>
      </c>
      <c r="J597" s="19">
        <v>4100.0</v>
      </c>
      <c r="K597" s="19"/>
      <c r="L597" s="18" t="s">
        <v>2365</v>
      </c>
      <c r="M597" s="18" t="s">
        <v>2366</v>
      </c>
      <c r="N597" s="18" t="s">
        <v>363</v>
      </c>
      <c r="O597" s="18" t="s">
        <v>57</v>
      </c>
      <c r="P597" s="18"/>
      <c r="Q597" s="10">
        <f t="shared" si="1"/>
        <v>1</v>
      </c>
    </row>
    <row r="598">
      <c r="A598" s="18" t="s">
        <v>148</v>
      </c>
      <c r="B598" s="18" t="s">
        <v>44</v>
      </c>
      <c r="C598" s="18" t="s">
        <v>64</v>
      </c>
      <c r="D598" s="18" t="s">
        <v>2367</v>
      </c>
      <c r="E598" s="18" t="s">
        <v>2368</v>
      </c>
      <c r="F598" s="18" t="s">
        <v>228</v>
      </c>
      <c r="G598" s="18">
        <v>17.0</v>
      </c>
      <c r="H598" s="18" t="s">
        <v>56</v>
      </c>
      <c r="I598" s="19">
        <v>7096.0</v>
      </c>
      <c r="J598" s="19">
        <v>7100.0</v>
      </c>
      <c r="K598" s="19">
        <v>8550.0</v>
      </c>
      <c r="L598" s="18" t="s">
        <v>2369</v>
      </c>
      <c r="M598" s="18" t="s">
        <v>2370</v>
      </c>
      <c r="N598" s="18" t="s">
        <v>1980</v>
      </c>
      <c r="O598" s="18" t="s">
        <v>151</v>
      </c>
      <c r="P598" s="18" t="s">
        <v>48</v>
      </c>
      <c r="Q598" s="10">
        <f t="shared" si="1"/>
        <v>1</v>
      </c>
    </row>
    <row r="599">
      <c r="A599" s="18" t="s">
        <v>364</v>
      </c>
      <c r="B599" s="18" t="s">
        <v>44</v>
      </c>
      <c r="C599" s="18" t="s">
        <v>64</v>
      </c>
      <c r="D599" s="18" t="s">
        <v>2371</v>
      </c>
      <c r="E599" s="18" t="s">
        <v>2372</v>
      </c>
      <c r="F599" s="18" t="s">
        <v>228</v>
      </c>
      <c r="G599" s="18">
        <v>17.14</v>
      </c>
      <c r="H599" s="18" t="s">
        <v>120</v>
      </c>
      <c r="I599" s="19">
        <v>4650.0</v>
      </c>
      <c r="J599" s="19">
        <v>4650.0</v>
      </c>
      <c r="K599" s="19">
        <v>5400.0</v>
      </c>
      <c r="L599" s="18" t="s">
        <v>2373</v>
      </c>
      <c r="M599" s="18" t="s">
        <v>2374</v>
      </c>
      <c r="N599" s="18" t="s">
        <v>240</v>
      </c>
      <c r="O599" s="18" t="s">
        <v>41</v>
      </c>
      <c r="P599" s="18" t="s">
        <v>369</v>
      </c>
      <c r="Q599" s="10">
        <f t="shared" si="1"/>
        <v>1</v>
      </c>
    </row>
    <row r="600">
      <c r="A600" s="18" t="s">
        <v>1238</v>
      </c>
      <c r="B600" s="18" t="s">
        <v>44</v>
      </c>
      <c r="C600" s="18" t="s">
        <v>53</v>
      </c>
      <c r="D600" s="18" t="s">
        <v>2375</v>
      </c>
      <c r="E600" s="18" t="s">
        <v>2376</v>
      </c>
      <c r="F600" s="18" t="s">
        <v>2377</v>
      </c>
      <c r="G600" s="18">
        <v>15.83</v>
      </c>
      <c r="H600" s="18" t="s">
        <v>1242</v>
      </c>
      <c r="I600" s="19">
        <v>3600.0</v>
      </c>
      <c r="J600" s="19">
        <v>4700.0</v>
      </c>
      <c r="K600" s="19"/>
      <c r="L600" s="18" t="s">
        <v>2378</v>
      </c>
      <c r="M600" s="18" t="s">
        <v>2379</v>
      </c>
      <c r="N600" s="18" t="s">
        <v>131</v>
      </c>
      <c r="O600" s="18" t="s">
        <v>57</v>
      </c>
      <c r="P600" s="18" t="s">
        <v>144</v>
      </c>
      <c r="Q600" s="10">
        <f t="shared" si="1"/>
        <v>1</v>
      </c>
    </row>
    <row r="601">
      <c r="A601" s="18" t="s">
        <v>1238</v>
      </c>
      <c r="B601" s="18" t="s">
        <v>44</v>
      </c>
      <c r="C601" s="18" t="s">
        <v>1239</v>
      </c>
      <c r="D601" s="18" t="s">
        <v>2380</v>
      </c>
      <c r="E601" s="18" t="s">
        <v>2381</v>
      </c>
      <c r="F601" s="18" t="s">
        <v>2377</v>
      </c>
      <c r="G601" s="18">
        <v>49.0</v>
      </c>
      <c r="H601" s="18" t="s">
        <v>471</v>
      </c>
      <c r="I601" s="19">
        <v>6949.0</v>
      </c>
      <c r="J601" s="19">
        <v>9050.0</v>
      </c>
      <c r="K601" s="19"/>
      <c r="L601" s="18" t="s">
        <v>2382</v>
      </c>
      <c r="M601" s="18" t="s">
        <v>2383</v>
      </c>
      <c r="N601" s="18" t="s">
        <v>131</v>
      </c>
      <c r="O601" s="18" t="s">
        <v>57</v>
      </c>
      <c r="P601" s="18" t="s">
        <v>144</v>
      </c>
      <c r="Q601" s="10">
        <f t="shared" si="1"/>
        <v>1</v>
      </c>
    </row>
    <row r="602">
      <c r="A602" s="18" t="s">
        <v>1238</v>
      </c>
      <c r="B602" s="18" t="s">
        <v>44</v>
      </c>
      <c r="C602" s="18" t="s">
        <v>1239</v>
      </c>
      <c r="D602" s="18" t="s">
        <v>2384</v>
      </c>
      <c r="E602" s="18" t="s">
        <v>2385</v>
      </c>
      <c r="F602" s="18" t="s">
        <v>2377</v>
      </c>
      <c r="G602" s="18">
        <v>49.2</v>
      </c>
      <c r="H602" s="18" t="s">
        <v>471</v>
      </c>
      <c r="I602" s="19">
        <v>6949.0</v>
      </c>
      <c r="J602" s="19">
        <v>9050.0</v>
      </c>
      <c r="K602" s="19"/>
      <c r="L602" s="18" t="s">
        <v>2386</v>
      </c>
      <c r="M602" s="18" t="s">
        <v>2387</v>
      </c>
      <c r="N602" s="18" t="s">
        <v>131</v>
      </c>
      <c r="O602" s="18" t="s">
        <v>57</v>
      </c>
      <c r="P602" s="18" t="s">
        <v>144</v>
      </c>
      <c r="Q602" s="10">
        <f t="shared" si="1"/>
        <v>1</v>
      </c>
    </row>
    <row r="603">
      <c r="A603" s="18" t="s">
        <v>1238</v>
      </c>
      <c r="B603" s="18" t="s">
        <v>44</v>
      </c>
      <c r="C603" s="18" t="s">
        <v>1239</v>
      </c>
      <c r="D603" s="18" t="s">
        <v>2388</v>
      </c>
      <c r="E603" s="18" t="s">
        <v>2389</v>
      </c>
      <c r="F603" s="18" t="s">
        <v>2377</v>
      </c>
      <c r="G603" s="18">
        <v>45.73</v>
      </c>
      <c r="H603" s="18" t="s">
        <v>471</v>
      </c>
      <c r="I603" s="19">
        <v>6949.0</v>
      </c>
      <c r="J603" s="19">
        <v>9050.0</v>
      </c>
      <c r="K603" s="19"/>
      <c r="L603" s="18" t="s">
        <v>2390</v>
      </c>
      <c r="M603" s="18" t="s">
        <v>2391</v>
      </c>
      <c r="N603" s="18" t="s">
        <v>131</v>
      </c>
      <c r="O603" s="18" t="s">
        <v>57</v>
      </c>
      <c r="P603" s="18" t="s">
        <v>144</v>
      </c>
      <c r="Q603" s="10">
        <f t="shared" si="1"/>
        <v>1</v>
      </c>
    </row>
    <row r="604">
      <c r="A604" s="18" t="s">
        <v>1238</v>
      </c>
      <c r="B604" s="18" t="s">
        <v>44</v>
      </c>
      <c r="C604" s="18" t="s">
        <v>53</v>
      </c>
      <c r="D604" s="18" t="s">
        <v>2392</v>
      </c>
      <c r="E604" s="18" t="s">
        <v>2393</v>
      </c>
      <c r="F604" s="18" t="s">
        <v>2377</v>
      </c>
      <c r="G604" s="18">
        <v>16.09</v>
      </c>
      <c r="H604" s="18" t="s">
        <v>1242</v>
      </c>
      <c r="I604" s="19">
        <v>3600.0</v>
      </c>
      <c r="J604" s="19">
        <v>4700.0</v>
      </c>
      <c r="K604" s="19"/>
      <c r="L604" s="18" t="s">
        <v>2394</v>
      </c>
      <c r="M604" s="18" t="s">
        <v>2395</v>
      </c>
      <c r="N604" s="18" t="s">
        <v>131</v>
      </c>
      <c r="O604" s="18" t="s">
        <v>57</v>
      </c>
      <c r="P604" s="18" t="s">
        <v>144</v>
      </c>
      <c r="Q604" s="10">
        <f t="shared" si="1"/>
        <v>1</v>
      </c>
    </row>
    <row r="605">
      <c r="A605" s="18" t="s">
        <v>148</v>
      </c>
      <c r="B605" s="18" t="s">
        <v>45</v>
      </c>
      <c r="C605" s="18" t="s">
        <v>45</v>
      </c>
      <c r="D605" s="18" t="s">
        <v>2396</v>
      </c>
      <c r="E605" s="18" t="s">
        <v>2397</v>
      </c>
      <c r="F605" s="18" t="s">
        <v>2377</v>
      </c>
      <c r="G605" s="18">
        <v>8.8</v>
      </c>
      <c r="H605" s="18" t="s">
        <v>45</v>
      </c>
      <c r="I605" s="19">
        <v>4171.0</v>
      </c>
      <c r="J605" s="19">
        <v>4200.0</v>
      </c>
      <c r="K605" s="19">
        <v>5050.0</v>
      </c>
      <c r="L605" s="18" t="s">
        <v>2398</v>
      </c>
      <c r="M605" s="18" t="s">
        <v>2399</v>
      </c>
      <c r="N605" s="18" t="s">
        <v>143</v>
      </c>
      <c r="O605" s="18" t="s">
        <v>57</v>
      </c>
      <c r="P605" s="18" t="s">
        <v>48</v>
      </c>
      <c r="Q605" s="10">
        <f t="shared" si="1"/>
        <v>1</v>
      </c>
    </row>
    <row r="606">
      <c r="A606" s="18" t="s">
        <v>201</v>
      </c>
      <c r="B606" s="18" t="s">
        <v>44</v>
      </c>
      <c r="C606" s="18" t="s">
        <v>76</v>
      </c>
      <c r="D606" s="18" t="s">
        <v>2400</v>
      </c>
      <c r="E606" s="18" t="s">
        <v>2401</v>
      </c>
      <c r="F606" s="18" t="s">
        <v>2377</v>
      </c>
      <c r="G606" s="18">
        <v>19.62</v>
      </c>
      <c r="H606" s="18" t="s">
        <v>120</v>
      </c>
      <c r="I606" s="19">
        <v>3950.0</v>
      </c>
      <c r="J606" s="19">
        <v>4750.0</v>
      </c>
      <c r="K606" s="19">
        <v>4600.0</v>
      </c>
      <c r="L606" s="18" t="s">
        <v>2402</v>
      </c>
      <c r="M606" s="18" t="s">
        <v>2403</v>
      </c>
      <c r="N606" s="18" t="s">
        <v>363</v>
      </c>
      <c r="O606" s="18" t="s">
        <v>57</v>
      </c>
      <c r="P606" s="18"/>
      <c r="Q606" s="10">
        <f t="shared" si="1"/>
        <v>1</v>
      </c>
    </row>
    <row r="607">
      <c r="A607" s="18" t="s">
        <v>138</v>
      </c>
      <c r="B607" s="18" t="s">
        <v>44</v>
      </c>
      <c r="C607" s="18" t="s">
        <v>64</v>
      </c>
      <c r="D607" s="18" t="s">
        <v>2404</v>
      </c>
      <c r="E607" s="18" t="s">
        <v>2405</v>
      </c>
      <c r="F607" s="18" t="s">
        <v>2377</v>
      </c>
      <c r="G607" s="18">
        <v>18.21</v>
      </c>
      <c r="H607" s="18" t="s">
        <v>120</v>
      </c>
      <c r="I607" s="19">
        <v>3944.0</v>
      </c>
      <c r="J607" s="19">
        <v>5750.0</v>
      </c>
      <c r="K607" s="19">
        <v>4750.0</v>
      </c>
      <c r="L607" s="18" t="s">
        <v>2406</v>
      </c>
      <c r="M607" s="18" t="s">
        <v>2407</v>
      </c>
      <c r="N607" s="18" t="s">
        <v>131</v>
      </c>
      <c r="O607" s="18" t="s">
        <v>57</v>
      </c>
      <c r="P607" s="18" t="s">
        <v>144</v>
      </c>
      <c r="Q607" s="10">
        <f t="shared" si="1"/>
        <v>1</v>
      </c>
    </row>
    <row r="608">
      <c r="A608" s="18" t="s">
        <v>35</v>
      </c>
      <c r="B608" s="18" t="s">
        <v>44</v>
      </c>
      <c r="C608" s="18" t="s">
        <v>133</v>
      </c>
      <c r="D608" s="18" t="s">
        <v>2408</v>
      </c>
      <c r="E608" s="18" t="s">
        <v>2409</v>
      </c>
      <c r="F608" s="18" t="s">
        <v>2377</v>
      </c>
      <c r="G608" s="18">
        <v>13.05</v>
      </c>
      <c r="H608" s="18" t="s">
        <v>56</v>
      </c>
      <c r="I608" s="19">
        <v>5436.0</v>
      </c>
      <c r="J608" s="19">
        <v>7350.0</v>
      </c>
      <c r="K608" s="19">
        <v>6550.0</v>
      </c>
      <c r="L608" s="18" t="s">
        <v>2410</v>
      </c>
      <c r="M608" s="18" t="s">
        <v>2411</v>
      </c>
      <c r="N608" s="18" t="s">
        <v>903</v>
      </c>
      <c r="O608" s="18" t="s">
        <v>57</v>
      </c>
      <c r="P608" s="18" t="s">
        <v>42</v>
      </c>
      <c r="Q608" s="10">
        <f t="shared" si="1"/>
        <v>1</v>
      </c>
    </row>
    <row r="609">
      <c r="A609" s="18" t="s">
        <v>201</v>
      </c>
      <c r="B609" s="18" t="s">
        <v>44</v>
      </c>
      <c r="C609" s="18" t="s">
        <v>76</v>
      </c>
      <c r="D609" s="18" t="s">
        <v>2412</v>
      </c>
      <c r="E609" s="18" t="s">
        <v>2413</v>
      </c>
      <c r="F609" s="18" t="s">
        <v>2377</v>
      </c>
      <c r="G609" s="18">
        <v>21.29</v>
      </c>
      <c r="H609" s="18" t="s">
        <v>120</v>
      </c>
      <c r="I609" s="19">
        <v>3950.0</v>
      </c>
      <c r="J609" s="19">
        <v>4750.0</v>
      </c>
      <c r="K609" s="19">
        <v>4600.0</v>
      </c>
      <c r="L609" s="18" t="s">
        <v>2414</v>
      </c>
      <c r="M609" s="18" t="s">
        <v>2415</v>
      </c>
      <c r="N609" s="18" t="s">
        <v>143</v>
      </c>
      <c r="O609" s="18" t="s">
        <v>41</v>
      </c>
      <c r="P609" s="18"/>
      <c r="Q609" s="10">
        <f t="shared" si="1"/>
        <v>1</v>
      </c>
    </row>
    <row r="610">
      <c r="A610" s="18" t="s">
        <v>165</v>
      </c>
      <c r="B610" s="18" t="s">
        <v>44</v>
      </c>
      <c r="C610" s="18" t="s">
        <v>151</v>
      </c>
      <c r="D610" s="18" t="s">
        <v>2416</v>
      </c>
      <c r="E610" s="18" t="s">
        <v>2417</v>
      </c>
      <c r="F610" s="18" t="s">
        <v>2377</v>
      </c>
      <c r="G610" s="18">
        <v>24.53</v>
      </c>
      <c r="H610" s="18" t="s">
        <v>168</v>
      </c>
      <c r="I610" s="19">
        <v>4750.0</v>
      </c>
      <c r="J610" s="19">
        <v>5700.0</v>
      </c>
      <c r="K610" s="19">
        <v>5950.0</v>
      </c>
      <c r="L610" s="18" t="s">
        <v>2418</v>
      </c>
      <c r="M610" s="18" t="s">
        <v>2419</v>
      </c>
      <c r="N610" s="18" t="s">
        <v>143</v>
      </c>
      <c r="O610" s="18" t="s">
        <v>41</v>
      </c>
      <c r="P610" s="18"/>
      <c r="Q610" s="10">
        <f t="shared" si="1"/>
        <v>1</v>
      </c>
    </row>
    <row r="611">
      <c r="A611" s="18" t="s">
        <v>201</v>
      </c>
      <c r="B611" s="18" t="s">
        <v>44</v>
      </c>
      <c r="C611" s="18" t="s">
        <v>113</v>
      </c>
      <c r="D611" s="18" t="s">
        <v>2420</v>
      </c>
      <c r="E611" s="18" t="s">
        <v>2421</v>
      </c>
      <c r="F611" s="18" t="s">
        <v>2377</v>
      </c>
      <c r="G611" s="18">
        <v>12.59</v>
      </c>
      <c r="H611" s="18" t="s">
        <v>116</v>
      </c>
      <c r="I611" s="19">
        <v>2600.0</v>
      </c>
      <c r="J611" s="19">
        <v>3150.0</v>
      </c>
      <c r="K611" s="19">
        <v>3000.0</v>
      </c>
      <c r="L611" s="18" t="s">
        <v>2422</v>
      </c>
      <c r="M611" s="18" t="s">
        <v>2423</v>
      </c>
      <c r="N611" s="18" t="s">
        <v>363</v>
      </c>
      <c r="O611" s="18" t="s">
        <v>57</v>
      </c>
      <c r="P611" s="18"/>
      <c r="Q611" s="10">
        <f t="shared" si="1"/>
        <v>1</v>
      </c>
    </row>
    <row r="612">
      <c r="A612" s="18" t="s">
        <v>201</v>
      </c>
      <c r="B612" s="18" t="s">
        <v>44</v>
      </c>
      <c r="C612" s="18" t="s">
        <v>180</v>
      </c>
      <c r="D612" s="18" t="s">
        <v>2424</v>
      </c>
      <c r="E612" s="18" t="s">
        <v>2425</v>
      </c>
      <c r="F612" s="18" t="s">
        <v>2377</v>
      </c>
      <c r="G612" s="18">
        <v>22.04</v>
      </c>
      <c r="H612" s="18" t="s">
        <v>168</v>
      </c>
      <c r="I612" s="19">
        <v>4150.0</v>
      </c>
      <c r="J612" s="19">
        <v>5000.0</v>
      </c>
      <c r="K612" s="19">
        <v>4800.0</v>
      </c>
      <c r="L612" s="18" t="s">
        <v>2426</v>
      </c>
      <c r="M612" s="18" t="s">
        <v>2427</v>
      </c>
      <c r="N612" s="18" t="s">
        <v>240</v>
      </c>
      <c r="O612" s="18" t="s">
        <v>41</v>
      </c>
      <c r="P612" s="18"/>
      <c r="Q612" s="10">
        <f t="shared" si="1"/>
        <v>1</v>
      </c>
    </row>
    <row r="613">
      <c r="A613" s="18" t="s">
        <v>364</v>
      </c>
      <c r="B613" s="18" t="s">
        <v>44</v>
      </c>
      <c r="C613" s="18" t="s">
        <v>133</v>
      </c>
      <c r="D613" s="18" t="s">
        <v>2428</v>
      </c>
      <c r="E613" s="18" t="s">
        <v>2429</v>
      </c>
      <c r="F613" s="18" t="s">
        <v>2377</v>
      </c>
      <c r="G613" s="18">
        <v>14.08</v>
      </c>
      <c r="H613" s="18" t="s">
        <v>2430</v>
      </c>
      <c r="I613" s="19">
        <v>3750.0</v>
      </c>
      <c r="J613" s="19">
        <v>3750.0</v>
      </c>
      <c r="K613" s="19">
        <v>2400.0</v>
      </c>
      <c r="L613" s="18" t="s">
        <v>2431</v>
      </c>
      <c r="M613" s="18" t="s">
        <v>2432</v>
      </c>
      <c r="N613" s="18" t="s">
        <v>806</v>
      </c>
      <c r="O613" s="18" t="s">
        <v>117</v>
      </c>
      <c r="P613" s="18" t="s">
        <v>369</v>
      </c>
      <c r="Q613" s="10">
        <f t="shared" si="1"/>
        <v>1</v>
      </c>
    </row>
    <row r="614">
      <c r="A614" s="18" t="s">
        <v>364</v>
      </c>
      <c r="B614" s="18" t="s">
        <v>44</v>
      </c>
      <c r="C614" s="18" t="s">
        <v>133</v>
      </c>
      <c r="D614" s="18" t="s">
        <v>2433</v>
      </c>
      <c r="E614" s="18" t="s">
        <v>2434</v>
      </c>
      <c r="F614" s="18" t="s">
        <v>2377</v>
      </c>
      <c r="G614" s="18">
        <v>14.38</v>
      </c>
      <c r="H614" s="18" t="s">
        <v>56</v>
      </c>
      <c r="I614" s="19">
        <v>3900.0</v>
      </c>
      <c r="J614" s="19">
        <v>3900.0</v>
      </c>
      <c r="K614" s="19">
        <v>4500.0</v>
      </c>
      <c r="L614" s="18" t="s">
        <v>2435</v>
      </c>
      <c r="M614" s="18" t="s">
        <v>2436</v>
      </c>
      <c r="N614" s="18" t="s">
        <v>806</v>
      </c>
      <c r="O614" s="18" t="s">
        <v>117</v>
      </c>
      <c r="P614" s="18" t="s">
        <v>369</v>
      </c>
      <c r="Q614" s="10">
        <f t="shared" si="1"/>
        <v>1</v>
      </c>
    </row>
    <row r="615">
      <c r="A615" s="18" t="s">
        <v>364</v>
      </c>
      <c r="B615" s="18" t="s">
        <v>44</v>
      </c>
      <c r="C615" s="18" t="s">
        <v>64</v>
      </c>
      <c r="D615" s="18" t="s">
        <v>2437</v>
      </c>
      <c r="E615" s="18" t="s">
        <v>2438</v>
      </c>
      <c r="F615" s="18" t="s">
        <v>2377</v>
      </c>
      <c r="G615" s="18">
        <v>17.08</v>
      </c>
      <c r="H615" s="18" t="s">
        <v>120</v>
      </c>
      <c r="I615" s="19">
        <v>4500.0</v>
      </c>
      <c r="J615" s="19">
        <v>4500.0</v>
      </c>
      <c r="K615" s="19">
        <v>5400.0</v>
      </c>
      <c r="L615" s="18" t="s">
        <v>2439</v>
      </c>
      <c r="M615" s="18" t="s">
        <v>2440</v>
      </c>
      <c r="N615" s="18" t="s">
        <v>806</v>
      </c>
      <c r="O615" s="18" t="s">
        <v>117</v>
      </c>
      <c r="P615" s="18" t="s">
        <v>369</v>
      </c>
      <c r="Q615" s="10">
        <f t="shared" si="1"/>
        <v>1</v>
      </c>
    </row>
    <row r="616">
      <c r="A616" s="18" t="s">
        <v>364</v>
      </c>
      <c r="B616" s="18" t="s">
        <v>44</v>
      </c>
      <c r="C616" s="18" t="s">
        <v>76</v>
      </c>
      <c r="D616" s="18" t="s">
        <v>2441</v>
      </c>
      <c r="E616" s="18" t="s">
        <v>2442</v>
      </c>
      <c r="F616" s="18" t="s">
        <v>2377</v>
      </c>
      <c r="G616" s="18">
        <v>19.53</v>
      </c>
      <c r="H616" s="18" t="s">
        <v>120</v>
      </c>
      <c r="I616" s="19">
        <v>5100.0</v>
      </c>
      <c r="J616" s="19">
        <v>5100.0</v>
      </c>
      <c r="K616" s="19">
        <v>5950.0</v>
      </c>
      <c r="L616" s="18" t="s">
        <v>2443</v>
      </c>
      <c r="M616" s="18" t="s">
        <v>2444</v>
      </c>
      <c r="N616" s="18" t="s">
        <v>806</v>
      </c>
      <c r="O616" s="18" t="s">
        <v>117</v>
      </c>
      <c r="P616" s="18" t="s">
        <v>369</v>
      </c>
      <c r="Q616" s="10">
        <f t="shared" si="1"/>
        <v>1</v>
      </c>
    </row>
    <row r="617">
      <c r="A617" s="18" t="s">
        <v>201</v>
      </c>
      <c r="B617" s="18" t="s">
        <v>44</v>
      </c>
      <c r="C617" s="18" t="s">
        <v>113</v>
      </c>
      <c r="D617" s="18" t="s">
        <v>2445</v>
      </c>
      <c r="E617" s="18" t="s">
        <v>2446</v>
      </c>
      <c r="F617" s="18" t="s">
        <v>2377</v>
      </c>
      <c r="G617" s="18">
        <v>12.4</v>
      </c>
      <c r="H617" s="18" t="s">
        <v>116</v>
      </c>
      <c r="I617" s="19">
        <v>2600.0</v>
      </c>
      <c r="J617" s="19">
        <v>3150.0</v>
      </c>
      <c r="K617" s="19">
        <v>3000.0</v>
      </c>
      <c r="L617" s="18" t="s">
        <v>2447</v>
      </c>
      <c r="M617" s="18" t="s">
        <v>2448</v>
      </c>
      <c r="N617" s="18" t="s">
        <v>403</v>
      </c>
      <c r="O617" s="18" t="s">
        <v>41</v>
      </c>
      <c r="P617" s="18"/>
      <c r="Q617" s="10">
        <f t="shared" si="1"/>
        <v>1</v>
      </c>
    </row>
    <row r="618">
      <c r="A618" s="18" t="s">
        <v>165</v>
      </c>
      <c r="B618" s="18" t="s">
        <v>45</v>
      </c>
      <c r="C618" s="18" t="s">
        <v>45</v>
      </c>
      <c r="D618" s="18" t="s">
        <v>2449</v>
      </c>
      <c r="E618" s="18" t="s">
        <v>2450</v>
      </c>
      <c r="F618" s="18" t="s">
        <v>2377</v>
      </c>
      <c r="G618" s="18">
        <v>10.38</v>
      </c>
      <c r="H618" s="18" t="s">
        <v>45</v>
      </c>
      <c r="I618" s="19">
        <v>1892.0</v>
      </c>
      <c r="J618" s="19">
        <v>2300.0</v>
      </c>
      <c r="K618" s="19">
        <v>2300.0</v>
      </c>
      <c r="L618" s="18" t="s">
        <v>2451</v>
      </c>
      <c r="M618" s="18" t="s">
        <v>2452</v>
      </c>
      <c r="N618" s="18" t="s">
        <v>403</v>
      </c>
      <c r="O618" s="18" t="s">
        <v>117</v>
      </c>
      <c r="P618" s="18"/>
      <c r="Q618" s="10">
        <f t="shared" si="1"/>
        <v>1</v>
      </c>
    </row>
    <row r="619">
      <c r="A619" s="18" t="s">
        <v>154</v>
      </c>
      <c r="B619" s="18" t="s">
        <v>44</v>
      </c>
      <c r="C619" s="18" t="s">
        <v>180</v>
      </c>
      <c r="D619" s="18" t="s">
        <v>2453</v>
      </c>
      <c r="E619" s="18" t="s">
        <v>2454</v>
      </c>
      <c r="F619" s="18" t="s">
        <v>2377</v>
      </c>
      <c r="G619" s="18">
        <v>22.0</v>
      </c>
      <c r="H619" s="18" t="s">
        <v>56</v>
      </c>
      <c r="I619" s="19">
        <v>6090.0</v>
      </c>
      <c r="J619" s="19">
        <v>8550.0</v>
      </c>
      <c r="K619" s="19">
        <v>7350.0</v>
      </c>
      <c r="L619" s="18" t="s">
        <v>2455</v>
      </c>
      <c r="M619" s="18" t="s">
        <v>2456</v>
      </c>
      <c r="N619" s="18" t="s">
        <v>131</v>
      </c>
      <c r="O619" s="18" t="s">
        <v>151</v>
      </c>
      <c r="P619" s="18" t="s">
        <v>157</v>
      </c>
      <c r="Q619" s="10">
        <f t="shared" si="1"/>
        <v>1</v>
      </c>
    </row>
    <row r="620">
      <c r="A620" s="18" t="s">
        <v>158</v>
      </c>
      <c r="B620" s="18" t="s">
        <v>44</v>
      </c>
      <c r="C620" s="18" t="s">
        <v>133</v>
      </c>
      <c r="D620" s="18" t="s">
        <v>2457</v>
      </c>
      <c r="E620" s="18" t="s">
        <v>2458</v>
      </c>
      <c r="F620" s="18" t="s">
        <v>2377</v>
      </c>
      <c r="G620" s="18">
        <v>14.49</v>
      </c>
      <c r="H620" s="18" t="s">
        <v>56</v>
      </c>
      <c r="I620" s="19">
        <v>4666.0</v>
      </c>
      <c r="J620" s="19">
        <v>4700.0</v>
      </c>
      <c r="K620" s="19">
        <v>5650.0</v>
      </c>
      <c r="L620" s="18" t="s">
        <v>2459</v>
      </c>
      <c r="M620" s="18" t="s">
        <v>2460</v>
      </c>
      <c r="N620" s="18" t="s">
        <v>131</v>
      </c>
      <c r="O620" s="18" t="s">
        <v>41</v>
      </c>
      <c r="P620" s="18" t="s">
        <v>162</v>
      </c>
      <c r="Q620" s="10">
        <f t="shared" si="1"/>
        <v>1</v>
      </c>
    </row>
    <row r="621">
      <c r="A621" s="18" t="s">
        <v>43</v>
      </c>
      <c r="B621" s="18" t="s">
        <v>44</v>
      </c>
      <c r="C621" s="18" t="s">
        <v>76</v>
      </c>
      <c r="D621" s="18" t="s">
        <v>2461</v>
      </c>
      <c r="E621" s="18" t="s">
        <v>2462</v>
      </c>
      <c r="F621" s="18" t="s">
        <v>2377</v>
      </c>
      <c r="G621" s="18">
        <v>19.77</v>
      </c>
      <c r="H621" s="18" t="s">
        <v>120</v>
      </c>
      <c r="I621" s="19">
        <v>7200.0</v>
      </c>
      <c r="J621" s="19">
        <v>8650.0</v>
      </c>
      <c r="K621" s="19"/>
      <c r="L621" s="18" t="s">
        <v>2463</v>
      </c>
      <c r="M621" s="18" t="s">
        <v>2464</v>
      </c>
      <c r="N621" s="18" t="s">
        <v>131</v>
      </c>
      <c r="O621" s="18" t="s">
        <v>57</v>
      </c>
      <c r="P621" s="18" t="s">
        <v>48</v>
      </c>
      <c r="Q621" s="10">
        <f t="shared" si="1"/>
        <v>1</v>
      </c>
    </row>
    <row r="622">
      <c r="A622" s="18" t="s">
        <v>1238</v>
      </c>
      <c r="B622" s="18" t="s">
        <v>44</v>
      </c>
      <c r="C622" s="18" t="s">
        <v>133</v>
      </c>
      <c r="D622" s="18" t="s">
        <v>2465</v>
      </c>
      <c r="E622" s="18" t="s">
        <v>2466</v>
      </c>
      <c r="F622" s="18" t="s">
        <v>2377</v>
      </c>
      <c r="G622" s="18">
        <v>13.41</v>
      </c>
      <c r="H622" s="18" t="s">
        <v>1242</v>
      </c>
      <c r="I622" s="19">
        <v>3199.0</v>
      </c>
      <c r="J622" s="19">
        <v>4200.0</v>
      </c>
      <c r="K622" s="19"/>
      <c r="L622" s="18" t="s">
        <v>2467</v>
      </c>
      <c r="M622" s="18" t="s">
        <v>2468</v>
      </c>
      <c r="N622" s="18" t="s">
        <v>403</v>
      </c>
      <c r="O622" s="18" t="s">
        <v>41</v>
      </c>
      <c r="P622" s="18" t="s">
        <v>144</v>
      </c>
      <c r="Q622" s="10">
        <f t="shared" si="1"/>
        <v>1</v>
      </c>
    </row>
    <row r="623">
      <c r="A623" s="18" t="s">
        <v>125</v>
      </c>
      <c r="B623" s="18" t="s">
        <v>44</v>
      </c>
      <c r="C623" s="18" t="s">
        <v>180</v>
      </c>
      <c r="D623" s="18" t="s">
        <v>2469</v>
      </c>
      <c r="E623" s="18" t="s">
        <v>2470</v>
      </c>
      <c r="F623" s="18" t="s">
        <v>2377</v>
      </c>
      <c r="G623" s="18">
        <v>22.12</v>
      </c>
      <c r="H623" s="18" t="s">
        <v>168</v>
      </c>
      <c r="I623" s="19">
        <v>3323.0</v>
      </c>
      <c r="J623" s="19">
        <v>2850.0</v>
      </c>
      <c r="K623" s="19"/>
      <c r="L623" s="18" t="s">
        <v>2471</v>
      </c>
      <c r="M623" s="18" t="s">
        <v>2472</v>
      </c>
      <c r="N623" s="18" t="s">
        <v>403</v>
      </c>
      <c r="O623" s="18" t="s">
        <v>83</v>
      </c>
      <c r="P623" s="18"/>
      <c r="Q623" s="10">
        <f t="shared" si="1"/>
        <v>1</v>
      </c>
    </row>
    <row r="624">
      <c r="A624" s="18" t="s">
        <v>216</v>
      </c>
      <c r="B624" s="18" t="s">
        <v>44</v>
      </c>
      <c r="C624" s="18" t="s">
        <v>53</v>
      </c>
      <c r="D624" s="18" t="s">
        <v>2473</v>
      </c>
      <c r="E624" s="18" t="s">
        <v>2474</v>
      </c>
      <c r="F624" s="18" t="s">
        <v>2377</v>
      </c>
      <c r="G624" s="18">
        <v>14.84</v>
      </c>
      <c r="H624" s="18" t="s">
        <v>120</v>
      </c>
      <c r="I624" s="19">
        <v>5494.0</v>
      </c>
      <c r="J624" s="19">
        <v>7700.0</v>
      </c>
      <c r="K624" s="19">
        <v>6600.0</v>
      </c>
      <c r="L624" s="18" t="s">
        <v>2475</v>
      </c>
      <c r="M624" s="18" t="s">
        <v>2476</v>
      </c>
      <c r="N624" s="18" t="s">
        <v>903</v>
      </c>
      <c r="O624" s="18" t="s">
        <v>41</v>
      </c>
      <c r="P624" s="18" t="s">
        <v>42</v>
      </c>
      <c r="Q624" s="10">
        <f t="shared" si="1"/>
        <v>1</v>
      </c>
    </row>
    <row r="625">
      <c r="A625" s="18" t="s">
        <v>364</v>
      </c>
      <c r="B625" s="18" t="s">
        <v>44</v>
      </c>
      <c r="C625" s="18" t="s">
        <v>180</v>
      </c>
      <c r="D625" s="18" t="s">
        <v>2477</v>
      </c>
      <c r="E625" s="18" t="s">
        <v>2478</v>
      </c>
      <c r="F625" s="18" t="s">
        <v>2377</v>
      </c>
      <c r="G625" s="18">
        <v>23.65</v>
      </c>
      <c r="H625" s="18" t="s">
        <v>168</v>
      </c>
      <c r="I625" s="19">
        <v>5600.0</v>
      </c>
      <c r="J625" s="19">
        <v>5600.0</v>
      </c>
      <c r="K625" s="19">
        <v>6500.0</v>
      </c>
      <c r="L625" s="18" t="s">
        <v>2479</v>
      </c>
      <c r="M625" s="18" t="s">
        <v>2480</v>
      </c>
      <c r="N625" s="18" t="s">
        <v>1980</v>
      </c>
      <c r="O625" s="18" t="s">
        <v>41</v>
      </c>
      <c r="P625" s="18" t="s">
        <v>369</v>
      </c>
      <c r="Q625" s="10">
        <f t="shared" si="1"/>
        <v>1</v>
      </c>
    </row>
    <row r="626">
      <c r="A626" s="18" t="s">
        <v>43</v>
      </c>
      <c r="B626" s="18" t="s">
        <v>44</v>
      </c>
      <c r="C626" s="18" t="s">
        <v>64</v>
      </c>
      <c r="D626" s="18" t="s">
        <v>2481</v>
      </c>
      <c r="E626" s="18" t="s">
        <v>2482</v>
      </c>
      <c r="F626" s="18" t="s">
        <v>2377</v>
      </c>
      <c r="G626" s="18">
        <v>17.12</v>
      </c>
      <c r="H626" s="18" t="s">
        <v>120</v>
      </c>
      <c r="I626" s="19">
        <v>6800.0</v>
      </c>
      <c r="J626" s="19">
        <v>8200.0</v>
      </c>
      <c r="K626" s="19"/>
      <c r="L626" s="18" t="s">
        <v>2483</v>
      </c>
      <c r="M626" s="18" t="s">
        <v>2484</v>
      </c>
      <c r="N626" s="18" t="s">
        <v>403</v>
      </c>
      <c r="O626" s="18" t="s">
        <v>41</v>
      </c>
      <c r="P626" s="18" t="s">
        <v>48</v>
      </c>
      <c r="Q626" s="10">
        <f t="shared" si="1"/>
        <v>1</v>
      </c>
    </row>
    <row r="627">
      <c r="A627" s="18" t="s">
        <v>1029</v>
      </c>
      <c r="B627" s="18" t="s">
        <v>45</v>
      </c>
      <c r="C627" s="18" t="s">
        <v>45</v>
      </c>
      <c r="D627" s="18" t="s">
        <v>2485</v>
      </c>
      <c r="E627" s="18" t="s">
        <v>2486</v>
      </c>
      <c r="F627" s="18" t="s">
        <v>2487</v>
      </c>
      <c r="G627" s="18">
        <v>15.66</v>
      </c>
      <c r="H627" s="18"/>
      <c r="I627" s="19">
        <v>245.0</v>
      </c>
      <c r="J627" s="19">
        <v>200.0</v>
      </c>
      <c r="K627" s="19"/>
      <c r="L627" s="18" t="s">
        <v>2488</v>
      </c>
      <c r="M627" s="18" t="s">
        <v>2489</v>
      </c>
      <c r="N627" s="18" t="s">
        <v>1034</v>
      </c>
      <c r="O627" s="18" t="s">
        <v>213</v>
      </c>
      <c r="P627" s="18"/>
      <c r="Q627" s="10">
        <f t="shared" si="1"/>
        <v>1</v>
      </c>
    </row>
    <row r="628">
      <c r="A628" s="18" t="s">
        <v>2208</v>
      </c>
      <c r="B628" s="18" t="s">
        <v>45</v>
      </c>
      <c r="C628" s="18" t="s">
        <v>45</v>
      </c>
      <c r="D628" s="18" t="s">
        <v>2490</v>
      </c>
      <c r="E628" s="18" t="s">
        <v>2491</v>
      </c>
      <c r="F628" s="18" t="s">
        <v>2487</v>
      </c>
      <c r="G628" s="18">
        <v>10.65</v>
      </c>
      <c r="H628" s="18" t="s">
        <v>45</v>
      </c>
      <c r="I628" s="19">
        <v>4700.0</v>
      </c>
      <c r="J628" s="19">
        <v>4700.0</v>
      </c>
      <c r="K628" s="19"/>
      <c r="L628" s="18" t="s">
        <v>2492</v>
      </c>
      <c r="M628" s="18" t="s">
        <v>2493</v>
      </c>
      <c r="N628" s="18" t="s">
        <v>131</v>
      </c>
      <c r="O628" s="18" t="s">
        <v>41</v>
      </c>
      <c r="P628" s="18"/>
      <c r="Q628" s="10">
        <f t="shared" si="1"/>
        <v>1</v>
      </c>
    </row>
    <row r="629">
      <c r="A629" s="18" t="s">
        <v>282</v>
      </c>
      <c r="B629" s="18" t="s">
        <v>44</v>
      </c>
      <c r="C629" s="18" t="s">
        <v>64</v>
      </c>
      <c r="D629" s="18" t="s">
        <v>2494</v>
      </c>
      <c r="E629" s="18" t="s">
        <v>2495</v>
      </c>
      <c r="F629" s="18" t="s">
        <v>2487</v>
      </c>
      <c r="G629" s="18">
        <v>18.11</v>
      </c>
      <c r="H629" s="18" t="s">
        <v>120</v>
      </c>
      <c r="I629" s="19">
        <v>5767.0</v>
      </c>
      <c r="J629" s="19">
        <v>6950.0</v>
      </c>
      <c r="K629" s="19">
        <v>7000.0</v>
      </c>
      <c r="L629" s="18" t="s">
        <v>2496</v>
      </c>
      <c r="M629" s="18" t="s">
        <v>2497</v>
      </c>
      <c r="N629" s="18" t="s">
        <v>363</v>
      </c>
      <c r="O629" s="18" t="s">
        <v>41</v>
      </c>
      <c r="P629" s="18" t="s">
        <v>63</v>
      </c>
      <c r="Q629" s="10">
        <f t="shared" si="1"/>
        <v>1</v>
      </c>
    </row>
    <row r="630">
      <c r="A630" s="18" t="s">
        <v>158</v>
      </c>
      <c r="B630" s="18" t="s">
        <v>44</v>
      </c>
      <c r="C630" s="18" t="s">
        <v>64</v>
      </c>
      <c r="D630" s="18" t="s">
        <v>2498</v>
      </c>
      <c r="E630" s="18" t="s">
        <v>2499</v>
      </c>
      <c r="F630" s="18" t="s">
        <v>2487</v>
      </c>
      <c r="G630" s="18">
        <v>18.11</v>
      </c>
      <c r="H630" s="18" t="s">
        <v>120</v>
      </c>
      <c r="I630" s="19">
        <v>5516.0</v>
      </c>
      <c r="J630" s="19">
        <v>5550.0</v>
      </c>
      <c r="K630" s="19">
        <v>6700.0</v>
      </c>
      <c r="L630" s="18" t="s">
        <v>2500</v>
      </c>
      <c r="M630" s="18" t="s">
        <v>2501</v>
      </c>
      <c r="N630" s="18" t="s">
        <v>903</v>
      </c>
      <c r="O630" s="18" t="s">
        <v>161</v>
      </c>
      <c r="P630" s="18" t="s">
        <v>162</v>
      </c>
      <c r="Q630" s="10">
        <f t="shared" si="1"/>
        <v>1</v>
      </c>
    </row>
    <row r="631">
      <c r="A631" s="18" t="s">
        <v>154</v>
      </c>
      <c r="B631" s="18" t="s">
        <v>44</v>
      </c>
      <c r="C631" s="18" t="s">
        <v>64</v>
      </c>
      <c r="D631" s="18" t="s">
        <v>2502</v>
      </c>
      <c r="E631" s="18" t="s">
        <v>2503</v>
      </c>
      <c r="F631" s="18" t="s">
        <v>2487</v>
      </c>
      <c r="G631" s="18">
        <v>17.0</v>
      </c>
      <c r="H631" s="18" t="s">
        <v>56</v>
      </c>
      <c r="I631" s="19">
        <v>5731.0</v>
      </c>
      <c r="J631" s="19">
        <v>8050.0</v>
      </c>
      <c r="K631" s="19">
        <v>6900.0</v>
      </c>
      <c r="L631" s="18" t="s">
        <v>2504</v>
      </c>
      <c r="M631" s="18" t="s">
        <v>2505</v>
      </c>
      <c r="N631" s="18" t="s">
        <v>903</v>
      </c>
      <c r="O631" s="18" t="s">
        <v>151</v>
      </c>
      <c r="P631" s="18" t="s">
        <v>157</v>
      </c>
      <c r="Q631" s="10">
        <f t="shared" si="1"/>
        <v>1</v>
      </c>
    </row>
    <row r="632">
      <c r="A632" s="18" t="s">
        <v>1822</v>
      </c>
      <c r="B632" s="18" t="s">
        <v>44</v>
      </c>
      <c r="C632" s="18" t="s">
        <v>423</v>
      </c>
      <c r="D632" s="18" t="s">
        <v>2506</v>
      </c>
      <c r="E632" s="18" t="s">
        <v>2507</v>
      </c>
      <c r="F632" s="18" t="s">
        <v>2487</v>
      </c>
      <c r="G632" s="18">
        <v>27.2</v>
      </c>
      <c r="H632" s="18" t="s">
        <v>168</v>
      </c>
      <c r="I632" s="19">
        <v>4900.0</v>
      </c>
      <c r="J632" s="19">
        <v>5400.0</v>
      </c>
      <c r="K632" s="19"/>
      <c r="L632" s="18" t="s">
        <v>2508</v>
      </c>
      <c r="M632" s="18" t="s">
        <v>2509</v>
      </c>
      <c r="N632" s="18" t="s">
        <v>363</v>
      </c>
      <c r="O632" s="18" t="s">
        <v>41</v>
      </c>
      <c r="P632" s="18"/>
      <c r="Q632" s="10">
        <f t="shared" si="1"/>
        <v>1</v>
      </c>
    </row>
    <row r="633">
      <c r="A633" s="18" t="s">
        <v>1822</v>
      </c>
      <c r="B633" s="18" t="s">
        <v>44</v>
      </c>
      <c r="C633" s="18" t="s">
        <v>64</v>
      </c>
      <c r="D633" s="18" t="s">
        <v>2510</v>
      </c>
      <c r="E633" s="18" t="s">
        <v>2511</v>
      </c>
      <c r="F633" s="18" t="s">
        <v>2487</v>
      </c>
      <c r="G633" s="18">
        <v>17.19</v>
      </c>
      <c r="H633" s="18" t="s">
        <v>120</v>
      </c>
      <c r="I633" s="19">
        <v>4000.0</v>
      </c>
      <c r="J633" s="19">
        <v>4400.0</v>
      </c>
      <c r="K633" s="19"/>
      <c r="L633" s="18" t="s">
        <v>2512</v>
      </c>
      <c r="M633" s="18" t="s">
        <v>2513</v>
      </c>
      <c r="N633" s="18" t="s">
        <v>363</v>
      </c>
      <c r="O633" s="18" t="s">
        <v>57</v>
      </c>
      <c r="P633" s="18"/>
      <c r="Q633" s="10">
        <f t="shared" si="1"/>
        <v>1</v>
      </c>
    </row>
    <row r="634">
      <c r="A634" s="18" t="s">
        <v>1822</v>
      </c>
      <c r="B634" s="18" t="s">
        <v>44</v>
      </c>
      <c r="C634" s="18" t="s">
        <v>76</v>
      </c>
      <c r="D634" s="18" t="s">
        <v>2514</v>
      </c>
      <c r="E634" s="18" t="s">
        <v>2515</v>
      </c>
      <c r="F634" s="18" t="s">
        <v>2487</v>
      </c>
      <c r="G634" s="18">
        <v>21.2</v>
      </c>
      <c r="H634" s="18" t="s">
        <v>120</v>
      </c>
      <c r="I634" s="19">
        <v>4200.0</v>
      </c>
      <c r="J634" s="19">
        <v>4650.0</v>
      </c>
      <c r="K634" s="19"/>
      <c r="L634" s="18" t="s">
        <v>2516</v>
      </c>
      <c r="M634" s="18" t="s">
        <v>2517</v>
      </c>
      <c r="N634" s="18" t="s">
        <v>363</v>
      </c>
      <c r="O634" s="18" t="s">
        <v>57</v>
      </c>
      <c r="P634" s="18"/>
      <c r="Q634" s="10">
        <f t="shared" si="1"/>
        <v>1</v>
      </c>
    </row>
    <row r="635">
      <c r="A635" s="18" t="s">
        <v>912</v>
      </c>
      <c r="B635" s="18" t="s">
        <v>44</v>
      </c>
      <c r="C635" s="18" t="s">
        <v>180</v>
      </c>
      <c r="D635" s="18" t="s">
        <v>2518</v>
      </c>
      <c r="E635" s="18" t="s">
        <v>2519</v>
      </c>
      <c r="F635" s="18" t="s">
        <v>2487</v>
      </c>
      <c r="G635" s="18">
        <v>19.54</v>
      </c>
      <c r="H635" s="18" t="s">
        <v>168</v>
      </c>
      <c r="I635" s="19">
        <v>5700.0</v>
      </c>
      <c r="J635" s="19">
        <v>7150.0</v>
      </c>
      <c r="K635" s="19">
        <v>6600.0</v>
      </c>
      <c r="L635" s="18" t="s">
        <v>2520</v>
      </c>
      <c r="M635" s="18" t="s">
        <v>2521</v>
      </c>
      <c r="N635" s="18" t="s">
        <v>903</v>
      </c>
      <c r="O635" s="18" t="s">
        <v>41</v>
      </c>
      <c r="P635" s="18" t="s">
        <v>917</v>
      </c>
      <c r="Q635" s="10">
        <f t="shared" si="1"/>
        <v>1</v>
      </c>
    </row>
    <row r="636">
      <c r="A636" s="18" t="s">
        <v>2208</v>
      </c>
      <c r="B636" s="18" t="s">
        <v>44</v>
      </c>
      <c r="C636" s="18" t="s">
        <v>76</v>
      </c>
      <c r="D636" s="18" t="s">
        <v>2522</v>
      </c>
      <c r="E636" s="18" t="s">
        <v>2523</v>
      </c>
      <c r="F636" s="18" t="s">
        <v>2487</v>
      </c>
      <c r="G636" s="18">
        <v>21.25</v>
      </c>
      <c r="H636" s="18" t="s">
        <v>120</v>
      </c>
      <c r="I636" s="19">
        <v>7900.0</v>
      </c>
      <c r="J636" s="19">
        <v>7900.0</v>
      </c>
      <c r="K636" s="19"/>
      <c r="L636" s="18" t="s">
        <v>2524</v>
      </c>
      <c r="M636" s="18" t="s">
        <v>2525</v>
      </c>
      <c r="N636" s="18" t="s">
        <v>806</v>
      </c>
      <c r="O636" s="18" t="s">
        <v>57</v>
      </c>
      <c r="P636" s="18"/>
      <c r="Q636" s="10">
        <f t="shared" si="1"/>
        <v>1</v>
      </c>
    </row>
    <row r="637">
      <c r="A637" s="18" t="s">
        <v>2526</v>
      </c>
      <c r="B637" s="18" t="s">
        <v>44</v>
      </c>
      <c r="C637" s="18" t="s">
        <v>180</v>
      </c>
      <c r="D637" s="18" t="s">
        <v>2527</v>
      </c>
      <c r="E637" s="18" t="s">
        <v>2528</v>
      </c>
      <c r="F637" s="18" t="s">
        <v>2487</v>
      </c>
      <c r="G637" s="18">
        <v>22.07</v>
      </c>
      <c r="H637" s="18" t="s">
        <v>168</v>
      </c>
      <c r="I637" s="19">
        <v>9500.0</v>
      </c>
      <c r="J637" s="19">
        <v>10450.0</v>
      </c>
      <c r="K637" s="19"/>
      <c r="L637" s="18" t="s">
        <v>2529</v>
      </c>
      <c r="M637" s="18" t="s">
        <v>2530</v>
      </c>
      <c r="N637" s="18" t="s">
        <v>806</v>
      </c>
      <c r="O637" s="18" t="s">
        <v>2531</v>
      </c>
      <c r="P637" s="18" t="s">
        <v>42</v>
      </c>
      <c r="Q637" s="10">
        <f t="shared" si="1"/>
        <v>1</v>
      </c>
    </row>
    <row r="638">
      <c r="A638" s="18" t="s">
        <v>1029</v>
      </c>
      <c r="B638" s="18" t="s">
        <v>45</v>
      </c>
      <c r="C638" s="18" t="s">
        <v>45</v>
      </c>
      <c r="D638" s="18" t="s">
        <v>2485</v>
      </c>
      <c r="E638" s="18" t="s">
        <v>2486</v>
      </c>
      <c r="F638" s="18" t="s">
        <v>2487</v>
      </c>
      <c r="G638" s="18">
        <v>15.66</v>
      </c>
      <c r="H638" s="18"/>
      <c r="I638" s="19">
        <v>245.0</v>
      </c>
      <c r="J638" s="19">
        <v>200.0</v>
      </c>
      <c r="K638" s="19"/>
      <c r="L638" s="18" t="s">
        <v>2532</v>
      </c>
      <c r="M638" s="18" t="s">
        <v>2533</v>
      </c>
      <c r="N638" s="18" t="s">
        <v>1034</v>
      </c>
      <c r="O638" s="18" t="s">
        <v>213</v>
      </c>
      <c r="P638" s="18"/>
      <c r="Q638" s="10">
        <f t="shared" si="1"/>
        <v>1</v>
      </c>
    </row>
    <row r="639">
      <c r="A639" s="18" t="s">
        <v>148</v>
      </c>
      <c r="B639" s="18" t="s">
        <v>44</v>
      </c>
      <c r="C639" s="18" t="s">
        <v>64</v>
      </c>
      <c r="D639" s="18" t="s">
        <v>2534</v>
      </c>
      <c r="E639" s="18" t="s">
        <v>2535</v>
      </c>
      <c r="F639" s="18" t="s">
        <v>2487</v>
      </c>
      <c r="G639" s="18">
        <v>17.5</v>
      </c>
      <c r="H639" s="18" t="s">
        <v>56</v>
      </c>
      <c r="I639" s="19">
        <v>7096.0</v>
      </c>
      <c r="J639" s="19">
        <v>7100.0</v>
      </c>
      <c r="K639" s="19">
        <v>8550.0</v>
      </c>
      <c r="L639" s="18" t="s">
        <v>2536</v>
      </c>
      <c r="M639" s="18" t="s">
        <v>2537</v>
      </c>
      <c r="N639" s="18" t="s">
        <v>143</v>
      </c>
      <c r="O639" s="18" t="s">
        <v>151</v>
      </c>
      <c r="P639" s="18" t="s">
        <v>48</v>
      </c>
      <c r="Q639" s="10">
        <f t="shared" si="1"/>
        <v>1</v>
      </c>
    </row>
    <row r="640">
      <c r="A640" s="18" t="s">
        <v>216</v>
      </c>
      <c r="B640" s="18" t="s">
        <v>44</v>
      </c>
      <c r="C640" s="18" t="s">
        <v>133</v>
      </c>
      <c r="D640" s="18" t="s">
        <v>2538</v>
      </c>
      <c r="E640" s="18" t="s">
        <v>2539</v>
      </c>
      <c r="F640" s="18" t="s">
        <v>2487</v>
      </c>
      <c r="G640" s="18">
        <v>11.84</v>
      </c>
      <c r="H640" s="18" t="s">
        <v>56</v>
      </c>
      <c r="I640" s="19">
        <v>4684.0</v>
      </c>
      <c r="J640" s="19">
        <v>6600.0</v>
      </c>
      <c r="K640" s="19">
        <v>5650.0</v>
      </c>
      <c r="L640" s="18" t="s">
        <v>2540</v>
      </c>
      <c r="M640" s="18" t="s">
        <v>2541</v>
      </c>
      <c r="N640" s="18" t="s">
        <v>143</v>
      </c>
      <c r="O640" s="18" t="s">
        <v>41</v>
      </c>
      <c r="P640" s="18" t="s">
        <v>42</v>
      </c>
      <c r="Q640" s="10">
        <f t="shared" si="1"/>
        <v>1</v>
      </c>
    </row>
    <row r="641">
      <c r="A641" s="18" t="s">
        <v>1822</v>
      </c>
      <c r="B641" s="18" t="s">
        <v>44</v>
      </c>
      <c r="C641" s="18" t="s">
        <v>133</v>
      </c>
      <c r="D641" s="18" t="s">
        <v>2542</v>
      </c>
      <c r="E641" s="18" t="s">
        <v>2543</v>
      </c>
      <c r="F641" s="18" t="s">
        <v>2487</v>
      </c>
      <c r="G641" s="18">
        <v>13.03</v>
      </c>
      <c r="H641" s="18" t="s">
        <v>56</v>
      </c>
      <c r="I641" s="19">
        <v>3500.0</v>
      </c>
      <c r="J641" s="19">
        <v>3850.0</v>
      </c>
      <c r="K641" s="19"/>
      <c r="L641" s="18" t="s">
        <v>2544</v>
      </c>
      <c r="M641" s="18" t="s">
        <v>2545</v>
      </c>
      <c r="N641" s="18" t="s">
        <v>143</v>
      </c>
      <c r="O641" s="18" t="s">
        <v>57</v>
      </c>
      <c r="P641" s="18"/>
      <c r="Q641" s="10">
        <f t="shared" si="1"/>
        <v>1</v>
      </c>
    </row>
    <row r="642">
      <c r="A642" s="18" t="s">
        <v>138</v>
      </c>
      <c r="B642" s="18" t="s">
        <v>45</v>
      </c>
      <c r="C642" s="18" t="s">
        <v>45</v>
      </c>
      <c r="D642" s="18" t="s">
        <v>2546</v>
      </c>
      <c r="E642" s="18" t="s">
        <v>2547</v>
      </c>
      <c r="F642" s="18" t="s">
        <v>2487</v>
      </c>
      <c r="G642" s="18">
        <v>10.21</v>
      </c>
      <c r="H642" s="18" t="s">
        <v>45</v>
      </c>
      <c r="I642" s="19">
        <v>1652.0</v>
      </c>
      <c r="J642" s="19">
        <v>2400.0</v>
      </c>
      <c r="K642" s="19">
        <v>2050.0</v>
      </c>
      <c r="L642" s="18" t="s">
        <v>2548</v>
      </c>
      <c r="M642" s="18" t="s">
        <v>2549</v>
      </c>
      <c r="N642" s="18" t="s">
        <v>806</v>
      </c>
      <c r="O642" s="18" t="s">
        <v>83</v>
      </c>
      <c r="P642" s="18" t="s">
        <v>144</v>
      </c>
      <c r="Q642" s="10">
        <f t="shared" si="1"/>
        <v>1</v>
      </c>
    </row>
    <row r="643">
      <c r="A643" s="18" t="s">
        <v>364</v>
      </c>
      <c r="B643" s="18" t="s">
        <v>44</v>
      </c>
      <c r="C643" s="18" t="s">
        <v>53</v>
      </c>
      <c r="D643" s="18" t="s">
        <v>2550</v>
      </c>
      <c r="E643" s="18" t="s">
        <v>2551</v>
      </c>
      <c r="F643" s="18" t="s">
        <v>2487</v>
      </c>
      <c r="G643" s="18">
        <v>15.35</v>
      </c>
      <c r="H643" s="18" t="s">
        <v>56</v>
      </c>
      <c r="I643" s="19">
        <v>4250.0</v>
      </c>
      <c r="J643" s="19">
        <v>4250.0</v>
      </c>
      <c r="K643" s="19">
        <v>5000.0</v>
      </c>
      <c r="L643" s="18" t="s">
        <v>2552</v>
      </c>
      <c r="M643" s="18" t="s">
        <v>2553</v>
      </c>
      <c r="N643" s="18" t="s">
        <v>806</v>
      </c>
      <c r="O643" s="18" t="s">
        <v>117</v>
      </c>
      <c r="P643" s="18" t="s">
        <v>369</v>
      </c>
      <c r="Q643" s="10">
        <f t="shared" si="1"/>
        <v>1</v>
      </c>
    </row>
    <row r="644">
      <c r="A644" s="18" t="s">
        <v>1822</v>
      </c>
      <c r="B644" s="18" t="s">
        <v>44</v>
      </c>
      <c r="C644" s="18" t="s">
        <v>64</v>
      </c>
      <c r="D644" s="18" t="s">
        <v>2554</v>
      </c>
      <c r="E644" s="18" t="s">
        <v>2555</v>
      </c>
      <c r="F644" s="18" t="s">
        <v>2487</v>
      </c>
      <c r="G644" s="18">
        <v>17.37</v>
      </c>
      <c r="H644" s="18" t="s">
        <v>120</v>
      </c>
      <c r="I644" s="19">
        <v>4000.0</v>
      </c>
      <c r="J644" s="19">
        <v>4400.0</v>
      </c>
      <c r="K644" s="19"/>
      <c r="L644" s="18" t="s">
        <v>2556</v>
      </c>
      <c r="M644" s="18" t="s">
        <v>2557</v>
      </c>
      <c r="N644" s="18" t="s">
        <v>363</v>
      </c>
      <c r="O644" s="18" t="s">
        <v>57</v>
      </c>
      <c r="P644" s="18"/>
      <c r="Q644" s="10">
        <f t="shared" si="1"/>
        <v>1</v>
      </c>
    </row>
    <row r="645">
      <c r="A645" s="18" t="s">
        <v>1822</v>
      </c>
      <c r="B645" s="18" t="s">
        <v>44</v>
      </c>
      <c r="C645" s="18" t="s">
        <v>53</v>
      </c>
      <c r="D645" s="18" t="s">
        <v>2558</v>
      </c>
      <c r="E645" s="18" t="s">
        <v>2559</v>
      </c>
      <c r="F645" s="18" t="s">
        <v>2487</v>
      </c>
      <c r="G645" s="18">
        <v>15.1</v>
      </c>
      <c r="H645" s="18" t="s">
        <v>56</v>
      </c>
      <c r="I645" s="19">
        <v>3700.0</v>
      </c>
      <c r="J645" s="19">
        <v>4100.0</v>
      </c>
      <c r="K645" s="19"/>
      <c r="L645" s="18" t="s">
        <v>2560</v>
      </c>
      <c r="M645" s="18" t="s">
        <v>2561</v>
      </c>
      <c r="N645" s="18" t="s">
        <v>363</v>
      </c>
      <c r="O645" s="18" t="s">
        <v>57</v>
      </c>
      <c r="P645" s="18"/>
      <c r="Q645" s="10">
        <f t="shared" si="1"/>
        <v>1</v>
      </c>
    </row>
    <row r="646">
      <c r="A646" s="18" t="s">
        <v>1029</v>
      </c>
      <c r="B646" s="18" t="s">
        <v>45</v>
      </c>
      <c r="C646" s="18" t="s">
        <v>45</v>
      </c>
      <c r="D646" s="18" t="s">
        <v>2562</v>
      </c>
      <c r="E646" s="18" t="s">
        <v>2563</v>
      </c>
      <c r="F646" s="18" t="s">
        <v>2487</v>
      </c>
      <c r="G646" s="18">
        <v>15.66</v>
      </c>
      <c r="H646" s="18"/>
      <c r="I646" s="19">
        <v>245.0</v>
      </c>
      <c r="J646" s="19">
        <v>200.0</v>
      </c>
      <c r="K646" s="19"/>
      <c r="L646" s="18" t="s">
        <v>2564</v>
      </c>
      <c r="M646" s="18" t="s">
        <v>2565</v>
      </c>
      <c r="N646" s="18" t="s">
        <v>1034</v>
      </c>
      <c r="O646" s="18" t="s">
        <v>213</v>
      </c>
      <c r="P646" s="18"/>
      <c r="Q646" s="10">
        <f t="shared" si="1"/>
        <v>1</v>
      </c>
    </row>
    <row r="647">
      <c r="A647" s="18" t="s">
        <v>1822</v>
      </c>
      <c r="B647" s="18" t="s">
        <v>44</v>
      </c>
      <c r="C647" s="18" t="s">
        <v>76</v>
      </c>
      <c r="D647" s="18" t="s">
        <v>2566</v>
      </c>
      <c r="E647" s="18" t="s">
        <v>2567</v>
      </c>
      <c r="F647" s="18" t="s">
        <v>2487</v>
      </c>
      <c r="G647" s="18">
        <v>19.31</v>
      </c>
      <c r="H647" s="18" t="s">
        <v>120</v>
      </c>
      <c r="I647" s="19">
        <v>4200.0</v>
      </c>
      <c r="J647" s="19">
        <v>4650.0</v>
      </c>
      <c r="K647" s="19"/>
      <c r="L647" s="18" t="s">
        <v>2568</v>
      </c>
      <c r="M647" s="18" t="s">
        <v>2569</v>
      </c>
      <c r="N647" s="18" t="s">
        <v>363</v>
      </c>
      <c r="O647" s="18" t="s">
        <v>57</v>
      </c>
      <c r="P647" s="18"/>
      <c r="Q647" s="10">
        <f t="shared" si="1"/>
        <v>1</v>
      </c>
    </row>
    <row r="648">
      <c r="A648" s="18" t="s">
        <v>1822</v>
      </c>
      <c r="B648" s="18" t="s">
        <v>44</v>
      </c>
      <c r="C648" s="18" t="s">
        <v>180</v>
      </c>
      <c r="D648" s="18" t="s">
        <v>2570</v>
      </c>
      <c r="E648" s="18" t="s">
        <v>2571</v>
      </c>
      <c r="F648" s="18" t="s">
        <v>2487</v>
      </c>
      <c r="G648" s="18">
        <v>22.26</v>
      </c>
      <c r="H648" s="18" t="s">
        <v>168</v>
      </c>
      <c r="I648" s="19">
        <v>4500.0</v>
      </c>
      <c r="J648" s="19">
        <v>4950.0</v>
      </c>
      <c r="K648" s="19"/>
      <c r="L648" s="18" t="s">
        <v>2572</v>
      </c>
      <c r="M648" s="18" t="s">
        <v>2573</v>
      </c>
      <c r="N648" s="18" t="s">
        <v>363</v>
      </c>
      <c r="O648" s="18" t="s">
        <v>57</v>
      </c>
      <c r="P648" s="18"/>
      <c r="Q648" s="10">
        <f t="shared" si="1"/>
        <v>1</v>
      </c>
    </row>
    <row r="649">
      <c r="A649" s="18" t="s">
        <v>364</v>
      </c>
      <c r="B649" s="18" t="s">
        <v>44</v>
      </c>
      <c r="C649" s="18" t="s">
        <v>151</v>
      </c>
      <c r="D649" s="18" t="s">
        <v>2574</v>
      </c>
      <c r="E649" s="18" t="s">
        <v>2575</v>
      </c>
      <c r="F649" s="18" t="s">
        <v>2487</v>
      </c>
      <c r="G649" s="18">
        <v>25.32</v>
      </c>
      <c r="H649" s="18" t="s">
        <v>168</v>
      </c>
      <c r="I649" s="19">
        <v>6050.0</v>
      </c>
      <c r="J649" s="19">
        <v>6050.0</v>
      </c>
      <c r="K649" s="19">
        <v>7050.0</v>
      </c>
      <c r="L649" s="18" t="s">
        <v>2576</v>
      </c>
      <c r="M649" s="18" t="s">
        <v>2577</v>
      </c>
      <c r="N649" s="18" t="s">
        <v>131</v>
      </c>
      <c r="O649" s="18" t="s">
        <v>117</v>
      </c>
      <c r="P649" s="18" t="s">
        <v>369</v>
      </c>
      <c r="Q649" s="10">
        <f t="shared" si="1"/>
        <v>1</v>
      </c>
    </row>
    <row r="650">
      <c r="A650" s="18" t="s">
        <v>49</v>
      </c>
      <c r="B650" s="18" t="s">
        <v>44</v>
      </c>
      <c r="C650" s="18" t="s">
        <v>180</v>
      </c>
      <c r="D650" s="18" t="s">
        <v>2578</v>
      </c>
      <c r="E650" s="18" t="s">
        <v>2579</v>
      </c>
      <c r="F650" s="18" t="s">
        <v>2487</v>
      </c>
      <c r="G650" s="18">
        <v>23.49</v>
      </c>
      <c r="H650" s="18" t="s">
        <v>168</v>
      </c>
      <c r="I650" s="19">
        <v>8300.0</v>
      </c>
      <c r="J650" s="19">
        <v>9550.0</v>
      </c>
      <c r="K650" s="19">
        <v>10000.0</v>
      </c>
      <c r="L650" s="18" t="s">
        <v>2580</v>
      </c>
      <c r="M650" s="18" t="s">
        <v>2581</v>
      </c>
      <c r="N650" s="18" t="s">
        <v>903</v>
      </c>
      <c r="O650" s="18" t="s">
        <v>57</v>
      </c>
      <c r="P650" s="18" t="s">
        <v>48</v>
      </c>
      <c r="Q650" s="10">
        <f t="shared" si="1"/>
        <v>1</v>
      </c>
    </row>
    <row r="651">
      <c r="A651" s="18" t="s">
        <v>282</v>
      </c>
      <c r="B651" s="18" t="s">
        <v>44</v>
      </c>
      <c r="C651" s="18" t="s">
        <v>64</v>
      </c>
      <c r="D651" s="18" t="s">
        <v>2582</v>
      </c>
      <c r="E651" s="18" t="s">
        <v>2583</v>
      </c>
      <c r="F651" s="18" t="s">
        <v>2487</v>
      </c>
      <c r="G651" s="18">
        <v>17.59</v>
      </c>
      <c r="H651" s="18" t="s">
        <v>120</v>
      </c>
      <c r="I651" s="19">
        <v>5767.0</v>
      </c>
      <c r="J651" s="19">
        <v>6950.0</v>
      </c>
      <c r="K651" s="19">
        <v>7000.0</v>
      </c>
      <c r="L651" s="18" t="s">
        <v>2584</v>
      </c>
      <c r="M651" s="18" t="s">
        <v>2585</v>
      </c>
      <c r="N651" s="18" t="s">
        <v>143</v>
      </c>
      <c r="O651" s="18" t="s">
        <v>41</v>
      </c>
      <c r="P651" s="18" t="s">
        <v>63</v>
      </c>
      <c r="Q651" s="10">
        <f t="shared" si="1"/>
        <v>1</v>
      </c>
    </row>
    <row r="652">
      <c r="A652" s="18" t="s">
        <v>282</v>
      </c>
      <c r="B652" s="18" t="s">
        <v>44</v>
      </c>
      <c r="C652" s="18" t="s">
        <v>76</v>
      </c>
      <c r="D652" s="18" t="s">
        <v>2586</v>
      </c>
      <c r="E652" s="18" t="s">
        <v>2587</v>
      </c>
      <c r="F652" s="18" t="s">
        <v>2487</v>
      </c>
      <c r="G652" s="18">
        <v>19.8</v>
      </c>
      <c r="H652" s="18" t="s">
        <v>168</v>
      </c>
      <c r="I652" s="19">
        <v>6499.0</v>
      </c>
      <c r="J652" s="19">
        <v>7800.0</v>
      </c>
      <c r="K652" s="19">
        <v>7800.0</v>
      </c>
      <c r="L652" s="18" t="s">
        <v>2588</v>
      </c>
      <c r="M652" s="18" t="s">
        <v>2589</v>
      </c>
      <c r="N652" s="18" t="s">
        <v>806</v>
      </c>
      <c r="O652" s="18" t="s">
        <v>57</v>
      </c>
      <c r="P652" s="18" t="s">
        <v>63</v>
      </c>
      <c r="Q652" s="10">
        <f t="shared" si="1"/>
        <v>1</v>
      </c>
    </row>
    <row r="653">
      <c r="A653" s="18" t="s">
        <v>145</v>
      </c>
      <c r="B653" s="18" t="s">
        <v>44</v>
      </c>
      <c r="C653" s="18" t="s">
        <v>64</v>
      </c>
      <c r="D653" s="18" t="s">
        <v>2590</v>
      </c>
      <c r="E653" s="18" t="s">
        <v>2591</v>
      </c>
      <c r="F653" s="18" t="s">
        <v>2487</v>
      </c>
      <c r="G653" s="18">
        <v>17.0</v>
      </c>
      <c r="H653" s="18" t="s">
        <v>56</v>
      </c>
      <c r="I653" s="19">
        <v>9022.0</v>
      </c>
      <c r="J653" s="19">
        <v>9950.0</v>
      </c>
      <c r="K653" s="19">
        <v>10900.0</v>
      </c>
      <c r="L653" s="18"/>
      <c r="M653" s="18"/>
      <c r="N653" s="18"/>
      <c r="O653" s="18" t="s">
        <v>151</v>
      </c>
      <c r="P653" s="18" t="s">
        <v>63</v>
      </c>
      <c r="Q653" s="10">
        <f t="shared" si="1"/>
        <v>0</v>
      </c>
    </row>
    <row r="654">
      <c r="A654" s="18" t="s">
        <v>145</v>
      </c>
      <c r="B654" s="18" t="s">
        <v>44</v>
      </c>
      <c r="C654" s="18" t="s">
        <v>64</v>
      </c>
      <c r="D654" s="18" t="s">
        <v>2592</v>
      </c>
      <c r="E654" s="18" t="s">
        <v>2593</v>
      </c>
      <c r="F654" s="18" t="s">
        <v>2487</v>
      </c>
      <c r="G654" s="18">
        <v>17.3</v>
      </c>
      <c r="H654" s="18" t="s">
        <v>56</v>
      </c>
      <c r="I654" s="19">
        <v>9022.0</v>
      </c>
      <c r="J654" s="19">
        <v>9950.0</v>
      </c>
      <c r="K654" s="19">
        <v>10900.0</v>
      </c>
      <c r="L654" s="18"/>
      <c r="M654" s="18"/>
      <c r="N654" s="18"/>
      <c r="O654" s="18" t="s">
        <v>151</v>
      </c>
      <c r="P654" s="18" t="s">
        <v>63</v>
      </c>
      <c r="Q654" s="10">
        <f t="shared" si="1"/>
        <v>0</v>
      </c>
    </row>
    <row r="655">
      <c r="A655" s="18" t="s">
        <v>145</v>
      </c>
      <c r="B655" s="18" t="s">
        <v>44</v>
      </c>
      <c r="C655" s="18" t="s">
        <v>53</v>
      </c>
      <c r="D655" s="18" t="s">
        <v>2594</v>
      </c>
      <c r="E655" s="18" t="s">
        <v>2595</v>
      </c>
      <c r="F655" s="18" t="s">
        <v>2487</v>
      </c>
      <c r="G655" s="18">
        <v>15.9</v>
      </c>
      <c r="H655" s="18" t="s">
        <v>56</v>
      </c>
      <c r="I655" s="19">
        <v>8592.0</v>
      </c>
      <c r="J655" s="19">
        <v>9500.0</v>
      </c>
      <c r="K655" s="19">
        <v>10350.0</v>
      </c>
      <c r="L655" s="18"/>
      <c r="M655" s="18"/>
      <c r="N655" s="18"/>
      <c r="O655" s="18" t="s">
        <v>57</v>
      </c>
      <c r="P655" s="18" t="s">
        <v>63</v>
      </c>
      <c r="Q655" s="10">
        <f t="shared" si="1"/>
        <v>0</v>
      </c>
    </row>
    <row r="656">
      <c r="A656" s="18" t="s">
        <v>158</v>
      </c>
      <c r="B656" s="18" t="s">
        <v>44</v>
      </c>
      <c r="C656" s="18" t="s">
        <v>133</v>
      </c>
      <c r="D656" s="18" t="s">
        <v>2596</v>
      </c>
      <c r="E656" s="18" t="s">
        <v>2597</v>
      </c>
      <c r="F656" s="18" t="s">
        <v>2487</v>
      </c>
      <c r="G656" s="18">
        <v>14.54</v>
      </c>
      <c r="H656" s="18" t="s">
        <v>56</v>
      </c>
      <c r="I656" s="19">
        <v>4666.0</v>
      </c>
      <c r="J656" s="19">
        <v>4700.0</v>
      </c>
      <c r="K656" s="19">
        <v>5650.0</v>
      </c>
      <c r="L656" s="18"/>
      <c r="M656" s="18"/>
      <c r="N656" s="18"/>
      <c r="O656" s="18" t="s">
        <v>161</v>
      </c>
      <c r="P656" s="18" t="s">
        <v>162</v>
      </c>
      <c r="Q656" s="10">
        <f t="shared" si="1"/>
        <v>0</v>
      </c>
    </row>
    <row r="657">
      <c r="A657" s="18" t="s">
        <v>145</v>
      </c>
      <c r="B657" s="18" t="s">
        <v>44</v>
      </c>
      <c r="C657" s="18" t="s">
        <v>64</v>
      </c>
      <c r="D657" s="18" t="s">
        <v>2598</v>
      </c>
      <c r="E657" s="18" t="s">
        <v>2599</v>
      </c>
      <c r="F657" s="18" t="s">
        <v>2487</v>
      </c>
      <c r="G657" s="18">
        <v>18.0</v>
      </c>
      <c r="H657" s="18" t="s">
        <v>56</v>
      </c>
      <c r="I657" s="19">
        <v>9022.0</v>
      </c>
      <c r="J657" s="19">
        <v>9950.0</v>
      </c>
      <c r="K657" s="19">
        <v>10900.0</v>
      </c>
      <c r="L657" s="18"/>
      <c r="M657" s="18"/>
      <c r="N657" s="18"/>
      <c r="O657" s="18" t="s">
        <v>151</v>
      </c>
      <c r="P657" s="18" t="s">
        <v>63</v>
      </c>
      <c r="Q657" s="10">
        <f t="shared" si="1"/>
        <v>0</v>
      </c>
    </row>
    <row r="658">
      <c r="A658" s="18" t="s">
        <v>2526</v>
      </c>
      <c r="B658" s="18" t="s">
        <v>44</v>
      </c>
      <c r="C658" s="18" t="s">
        <v>76</v>
      </c>
      <c r="D658" s="18" t="s">
        <v>2600</v>
      </c>
      <c r="E658" s="18" t="s">
        <v>2601</v>
      </c>
      <c r="F658" s="18" t="s">
        <v>2487</v>
      </c>
      <c r="G658" s="18">
        <v>19.38</v>
      </c>
      <c r="H658" s="18" t="s">
        <v>120</v>
      </c>
      <c r="I658" s="19">
        <v>9000.0</v>
      </c>
      <c r="J658" s="19">
        <v>9900.0</v>
      </c>
      <c r="K658" s="19"/>
      <c r="L658" s="18"/>
      <c r="M658" s="18"/>
      <c r="N658" s="18"/>
      <c r="O658" s="18" t="s">
        <v>41</v>
      </c>
      <c r="P658" s="18" t="s">
        <v>42</v>
      </c>
      <c r="Q658" s="10">
        <f t="shared" si="1"/>
        <v>0</v>
      </c>
    </row>
    <row r="659">
      <c r="A659" s="18" t="s">
        <v>145</v>
      </c>
      <c r="B659" s="18" t="s">
        <v>44</v>
      </c>
      <c r="C659" s="18" t="s">
        <v>64</v>
      </c>
      <c r="D659" s="18" t="s">
        <v>2602</v>
      </c>
      <c r="E659" s="18" t="s">
        <v>2603</v>
      </c>
      <c r="F659" s="18" t="s">
        <v>2487</v>
      </c>
      <c r="G659" s="18">
        <v>17.0</v>
      </c>
      <c r="H659" s="18" t="s">
        <v>56</v>
      </c>
      <c r="I659" s="19">
        <v>9022.0</v>
      </c>
      <c r="J659" s="19">
        <v>9950.0</v>
      </c>
      <c r="K659" s="19">
        <v>10900.0</v>
      </c>
      <c r="L659" s="18"/>
      <c r="M659" s="18"/>
      <c r="N659" s="18"/>
      <c r="O659" s="18" t="s">
        <v>151</v>
      </c>
      <c r="P659" s="18" t="s">
        <v>63</v>
      </c>
      <c r="Q659" s="10">
        <f t="shared" si="1"/>
        <v>0</v>
      </c>
    </row>
    <row r="660">
      <c r="A660" s="18" t="s">
        <v>145</v>
      </c>
      <c r="B660" s="18" t="s">
        <v>44</v>
      </c>
      <c r="C660" s="18" t="s">
        <v>53</v>
      </c>
      <c r="D660" s="18" t="s">
        <v>2604</v>
      </c>
      <c r="E660" s="18" t="s">
        <v>2605</v>
      </c>
      <c r="F660" s="18" t="s">
        <v>2487</v>
      </c>
      <c r="G660" s="18">
        <v>16.5</v>
      </c>
      <c r="H660" s="18" t="s">
        <v>56</v>
      </c>
      <c r="I660" s="19">
        <v>8592.0</v>
      </c>
      <c r="J660" s="19">
        <v>9500.0</v>
      </c>
      <c r="K660" s="19">
        <v>10350.0</v>
      </c>
      <c r="L660" s="18"/>
      <c r="M660" s="18"/>
      <c r="N660" s="18"/>
      <c r="O660" s="18" t="s">
        <v>57</v>
      </c>
      <c r="P660" s="18" t="s">
        <v>63</v>
      </c>
      <c r="Q660" s="10">
        <f t="shared" si="1"/>
        <v>0</v>
      </c>
    </row>
    <row r="661">
      <c r="A661" s="18" t="s">
        <v>158</v>
      </c>
      <c r="B661" s="18" t="s">
        <v>44</v>
      </c>
      <c r="C661" s="18" t="s">
        <v>133</v>
      </c>
      <c r="D661" s="18" t="s">
        <v>2606</v>
      </c>
      <c r="E661" s="18" t="s">
        <v>2607</v>
      </c>
      <c r="F661" s="18" t="s">
        <v>2487</v>
      </c>
      <c r="G661" s="18">
        <v>14.0</v>
      </c>
      <c r="H661" s="18" t="s">
        <v>56</v>
      </c>
      <c r="I661" s="19">
        <v>4666.0</v>
      </c>
      <c r="J661" s="19">
        <v>4700.0</v>
      </c>
      <c r="K661" s="19">
        <v>5650.0</v>
      </c>
      <c r="L661" s="18"/>
      <c r="M661" s="18"/>
      <c r="N661" s="18"/>
      <c r="O661" s="18" t="s">
        <v>41</v>
      </c>
      <c r="P661" s="18" t="s">
        <v>162</v>
      </c>
      <c r="Q661" s="10">
        <f t="shared" si="1"/>
        <v>0</v>
      </c>
    </row>
    <row r="662">
      <c r="A662" s="18" t="s">
        <v>145</v>
      </c>
      <c r="B662" s="18" t="s">
        <v>45</v>
      </c>
      <c r="C662" s="18" t="s">
        <v>45</v>
      </c>
      <c r="D662" s="18" t="s">
        <v>2608</v>
      </c>
      <c r="E662" s="18" t="s">
        <v>2609</v>
      </c>
      <c r="F662" s="18" t="s">
        <v>2487</v>
      </c>
      <c r="G662" s="18">
        <v>7.1</v>
      </c>
      <c r="H662" s="18" t="s">
        <v>45</v>
      </c>
      <c r="I662" s="19">
        <v>4215.0</v>
      </c>
      <c r="J662" s="19">
        <v>4650.0</v>
      </c>
      <c r="K662" s="19">
        <v>5100.0</v>
      </c>
      <c r="L662" s="18"/>
      <c r="M662" s="18"/>
      <c r="N662" s="18"/>
      <c r="O662" s="18" t="s">
        <v>57</v>
      </c>
      <c r="P662" s="18" t="s">
        <v>63</v>
      </c>
      <c r="Q662" s="10">
        <f t="shared" si="1"/>
        <v>0</v>
      </c>
    </row>
    <row r="663">
      <c r="A663" s="18" t="s">
        <v>158</v>
      </c>
      <c r="B663" s="18" t="s">
        <v>45</v>
      </c>
      <c r="C663" s="18" t="s">
        <v>45</v>
      </c>
      <c r="D663" s="18" t="s">
        <v>2610</v>
      </c>
      <c r="E663" s="18" t="s">
        <v>2611</v>
      </c>
      <c r="F663" s="18" t="s">
        <v>2487</v>
      </c>
      <c r="G663" s="18">
        <v>6.5</v>
      </c>
      <c r="H663" s="18" t="s">
        <v>45</v>
      </c>
      <c r="I663" s="19">
        <v>2542.0</v>
      </c>
      <c r="J663" s="19">
        <v>2550.0</v>
      </c>
      <c r="K663" s="19">
        <v>3100.0</v>
      </c>
      <c r="L663" s="18"/>
      <c r="M663" s="18"/>
      <c r="N663" s="18"/>
      <c r="O663" s="18" t="s">
        <v>41</v>
      </c>
      <c r="P663" s="18" t="s">
        <v>162</v>
      </c>
      <c r="Q663" s="10">
        <f t="shared" si="1"/>
        <v>0</v>
      </c>
    </row>
    <row r="664">
      <c r="A664" s="18" t="s">
        <v>145</v>
      </c>
      <c r="B664" s="18" t="s">
        <v>44</v>
      </c>
      <c r="C664" s="18" t="s">
        <v>53</v>
      </c>
      <c r="D664" s="18" t="s">
        <v>2612</v>
      </c>
      <c r="E664" s="18" t="s">
        <v>2613</v>
      </c>
      <c r="F664" s="18" t="s">
        <v>2487</v>
      </c>
      <c r="G664" s="18">
        <v>16.0</v>
      </c>
      <c r="H664" s="18" t="s">
        <v>56</v>
      </c>
      <c r="I664" s="19">
        <v>8592.0</v>
      </c>
      <c r="J664" s="19">
        <v>9500.0</v>
      </c>
      <c r="K664" s="19">
        <v>10350.0</v>
      </c>
      <c r="L664" s="18"/>
      <c r="M664" s="18"/>
      <c r="N664" s="18"/>
      <c r="O664" s="18" t="s">
        <v>57</v>
      </c>
      <c r="P664" s="18" t="s">
        <v>63</v>
      </c>
      <c r="Q664" s="10">
        <f t="shared" si="1"/>
        <v>0</v>
      </c>
    </row>
    <row r="665">
      <c r="A665" s="18" t="s">
        <v>145</v>
      </c>
      <c r="B665" s="18" t="s">
        <v>45</v>
      </c>
      <c r="C665" s="18" t="s">
        <v>45</v>
      </c>
      <c r="D665" s="18" t="s">
        <v>2614</v>
      </c>
      <c r="E665" s="18" t="s">
        <v>2615</v>
      </c>
      <c r="F665" s="18" t="s">
        <v>2487</v>
      </c>
      <c r="G665" s="18">
        <v>7.2</v>
      </c>
      <c r="H665" s="18" t="s">
        <v>45</v>
      </c>
      <c r="I665" s="19">
        <v>4215.0</v>
      </c>
      <c r="J665" s="19">
        <v>4650.0</v>
      </c>
      <c r="K665" s="19">
        <v>5100.0</v>
      </c>
      <c r="L665" s="18"/>
      <c r="M665" s="18"/>
      <c r="N665" s="18"/>
      <c r="O665" s="18" t="s">
        <v>57</v>
      </c>
      <c r="P665" s="18" t="s">
        <v>63</v>
      </c>
      <c r="Q665" s="10">
        <f t="shared" si="1"/>
        <v>0</v>
      </c>
    </row>
    <row r="666">
      <c r="A666" s="18" t="s">
        <v>225</v>
      </c>
      <c r="B666" s="18" t="s">
        <v>44</v>
      </c>
      <c r="C666" s="18" t="s">
        <v>133</v>
      </c>
      <c r="D666" s="18" t="s">
        <v>2616</v>
      </c>
      <c r="E666" s="18" t="s">
        <v>2617</v>
      </c>
      <c r="F666" s="18" t="s">
        <v>2487</v>
      </c>
      <c r="G666" s="18">
        <v>14.0</v>
      </c>
      <c r="H666" s="18" t="s">
        <v>56</v>
      </c>
      <c r="I666" s="19">
        <v>4650.0</v>
      </c>
      <c r="J666" s="19">
        <v>6050.0</v>
      </c>
      <c r="K666" s="19">
        <v>5400.0</v>
      </c>
      <c r="L666" s="18"/>
      <c r="M666" s="18"/>
      <c r="N666" s="18"/>
      <c r="O666" s="18" t="s">
        <v>41</v>
      </c>
      <c r="P666" s="18" t="s">
        <v>162</v>
      </c>
      <c r="Q666" s="10">
        <f t="shared" si="1"/>
        <v>0</v>
      </c>
    </row>
    <row r="667">
      <c r="A667" s="18" t="s">
        <v>145</v>
      </c>
      <c r="B667" s="18" t="s">
        <v>44</v>
      </c>
      <c r="C667" s="18" t="s">
        <v>53</v>
      </c>
      <c r="D667" s="18" t="s">
        <v>2618</v>
      </c>
      <c r="E667" s="18" t="s">
        <v>2619</v>
      </c>
      <c r="F667" s="18" t="s">
        <v>2487</v>
      </c>
      <c r="G667" s="18">
        <v>15.5</v>
      </c>
      <c r="H667" s="18" t="s">
        <v>56</v>
      </c>
      <c r="I667" s="19">
        <v>8592.0</v>
      </c>
      <c r="J667" s="19">
        <v>9500.0</v>
      </c>
      <c r="K667" s="19">
        <v>10350.0</v>
      </c>
      <c r="L667" s="18"/>
      <c r="M667" s="18"/>
      <c r="N667" s="18"/>
      <c r="O667" s="18" t="s">
        <v>57</v>
      </c>
      <c r="P667" s="18" t="s">
        <v>63</v>
      </c>
      <c r="Q667" s="10">
        <f t="shared" si="1"/>
        <v>0</v>
      </c>
    </row>
    <row r="668">
      <c r="A668" s="18" t="s">
        <v>148</v>
      </c>
      <c r="B668" s="18" t="s">
        <v>44</v>
      </c>
      <c r="C668" s="18" t="s">
        <v>76</v>
      </c>
      <c r="D668" s="18" t="s">
        <v>2620</v>
      </c>
      <c r="E668" s="18" t="s">
        <v>2621</v>
      </c>
      <c r="F668" s="18" t="s">
        <v>2487</v>
      </c>
      <c r="G668" s="18">
        <v>21.0</v>
      </c>
      <c r="H668" s="18" t="s">
        <v>56</v>
      </c>
      <c r="I668" s="19">
        <v>8349.0</v>
      </c>
      <c r="J668" s="19">
        <v>8350.0</v>
      </c>
      <c r="K668" s="19">
        <v>10050.0</v>
      </c>
      <c r="L668" s="18"/>
      <c r="M668" s="18"/>
      <c r="N668" s="18"/>
      <c r="O668" s="18" t="s">
        <v>151</v>
      </c>
      <c r="P668" s="18" t="s">
        <v>48</v>
      </c>
      <c r="Q668" s="10">
        <f t="shared" si="1"/>
        <v>0</v>
      </c>
    </row>
    <row r="669">
      <c r="A669" s="18" t="s">
        <v>148</v>
      </c>
      <c r="B669" s="18" t="s">
        <v>44</v>
      </c>
      <c r="C669" s="18" t="s">
        <v>76</v>
      </c>
      <c r="D669" s="18" t="s">
        <v>2622</v>
      </c>
      <c r="E669" s="18" t="s">
        <v>2623</v>
      </c>
      <c r="F669" s="18" t="s">
        <v>2487</v>
      </c>
      <c r="G669" s="18">
        <v>21.0</v>
      </c>
      <c r="H669" s="18" t="s">
        <v>56</v>
      </c>
      <c r="I669" s="19">
        <v>8349.0</v>
      </c>
      <c r="J669" s="19">
        <v>8350.0</v>
      </c>
      <c r="K669" s="19">
        <v>10050.0</v>
      </c>
      <c r="L669" s="18"/>
      <c r="M669" s="18"/>
      <c r="N669" s="18"/>
      <c r="O669" s="18" t="s">
        <v>151</v>
      </c>
      <c r="P669" s="18" t="s">
        <v>48</v>
      </c>
      <c r="Q669" s="10">
        <f t="shared" si="1"/>
        <v>0</v>
      </c>
    </row>
    <row r="670">
      <c r="A670" s="18" t="s">
        <v>148</v>
      </c>
      <c r="B670" s="18" t="s">
        <v>44</v>
      </c>
      <c r="C670" s="18" t="s">
        <v>64</v>
      </c>
      <c r="D670" s="18" t="s">
        <v>2624</v>
      </c>
      <c r="E670" s="18" t="s">
        <v>2625</v>
      </c>
      <c r="F670" s="18" t="s">
        <v>2487</v>
      </c>
      <c r="G670" s="18">
        <v>17.0</v>
      </c>
      <c r="H670" s="18" t="s">
        <v>56</v>
      </c>
      <c r="I670" s="19">
        <v>7096.0</v>
      </c>
      <c r="J670" s="19">
        <v>7100.0</v>
      </c>
      <c r="K670" s="19">
        <v>8550.0</v>
      </c>
      <c r="L670" s="18"/>
      <c r="M670" s="18"/>
      <c r="N670" s="18"/>
      <c r="O670" s="18" t="s">
        <v>151</v>
      </c>
      <c r="P670" s="18" t="s">
        <v>48</v>
      </c>
      <c r="Q670" s="10">
        <f t="shared" si="1"/>
        <v>0</v>
      </c>
    </row>
    <row r="671">
      <c r="A671" s="18" t="s">
        <v>148</v>
      </c>
      <c r="B671" s="18" t="s">
        <v>44</v>
      </c>
      <c r="C671" s="18" t="s">
        <v>64</v>
      </c>
      <c r="D671" s="18" t="s">
        <v>2626</v>
      </c>
      <c r="E671" s="18" t="s">
        <v>2627</v>
      </c>
      <c r="F671" s="18" t="s">
        <v>2487</v>
      </c>
      <c r="G671" s="18">
        <v>17.0</v>
      </c>
      <c r="H671" s="18" t="s">
        <v>56</v>
      </c>
      <c r="I671" s="19">
        <v>7096.0</v>
      </c>
      <c r="J671" s="19">
        <v>7100.0</v>
      </c>
      <c r="K671" s="19">
        <v>8550.0</v>
      </c>
      <c r="L671" s="18"/>
      <c r="M671" s="18"/>
      <c r="N671" s="18"/>
      <c r="O671" s="18" t="s">
        <v>57</v>
      </c>
      <c r="P671" s="18" t="s">
        <v>48</v>
      </c>
      <c r="Q671" s="10">
        <f t="shared" si="1"/>
        <v>0</v>
      </c>
    </row>
    <row r="672">
      <c r="A672" s="18" t="s">
        <v>148</v>
      </c>
      <c r="B672" s="18" t="s">
        <v>44</v>
      </c>
      <c r="C672" s="18" t="s">
        <v>53</v>
      </c>
      <c r="D672" s="18" t="s">
        <v>2628</v>
      </c>
      <c r="E672" s="18" t="s">
        <v>2629</v>
      </c>
      <c r="F672" s="18" t="s">
        <v>2487</v>
      </c>
      <c r="G672" s="18">
        <v>16.0</v>
      </c>
      <c r="H672" s="18" t="s">
        <v>56</v>
      </c>
      <c r="I672" s="19">
        <v>6678.0</v>
      </c>
      <c r="J672" s="19">
        <v>6700.0</v>
      </c>
      <c r="K672" s="19">
        <v>8050.0</v>
      </c>
      <c r="L672" s="18"/>
      <c r="M672" s="18"/>
      <c r="N672" s="18"/>
      <c r="O672" s="18" t="s">
        <v>57</v>
      </c>
      <c r="P672" s="18" t="s">
        <v>48</v>
      </c>
      <c r="Q672" s="10">
        <f t="shared" si="1"/>
        <v>0</v>
      </c>
    </row>
    <row r="673">
      <c r="A673" s="18" t="s">
        <v>148</v>
      </c>
      <c r="B673" s="18" t="s">
        <v>44</v>
      </c>
      <c r="C673" s="18" t="s">
        <v>76</v>
      </c>
      <c r="D673" s="18" t="s">
        <v>2630</v>
      </c>
      <c r="E673" s="18" t="s">
        <v>2631</v>
      </c>
      <c r="F673" s="18" t="s">
        <v>2487</v>
      </c>
      <c r="G673" s="18">
        <v>19.4</v>
      </c>
      <c r="H673" s="18" t="s">
        <v>56</v>
      </c>
      <c r="I673" s="19">
        <v>7514.0</v>
      </c>
      <c r="J673" s="19">
        <v>7550.0</v>
      </c>
      <c r="K673" s="19">
        <v>9100.0</v>
      </c>
      <c r="L673" s="18"/>
      <c r="M673" s="18"/>
      <c r="N673" s="18"/>
      <c r="O673" s="18" t="s">
        <v>57</v>
      </c>
      <c r="P673" s="18" t="s">
        <v>48</v>
      </c>
      <c r="Q673" s="10">
        <f t="shared" si="1"/>
        <v>0</v>
      </c>
    </row>
    <row r="674">
      <c r="A674" s="18" t="s">
        <v>148</v>
      </c>
      <c r="B674" s="18" t="s">
        <v>44</v>
      </c>
      <c r="C674" s="18" t="s">
        <v>76</v>
      </c>
      <c r="D674" s="18" t="s">
        <v>2632</v>
      </c>
      <c r="E674" s="18" t="s">
        <v>2633</v>
      </c>
      <c r="F674" s="18" t="s">
        <v>2487</v>
      </c>
      <c r="G674" s="18">
        <v>20.0</v>
      </c>
      <c r="H674" s="18" t="s">
        <v>56</v>
      </c>
      <c r="I674" s="19">
        <v>7514.0</v>
      </c>
      <c r="J674" s="19">
        <v>7550.0</v>
      </c>
      <c r="K674" s="19">
        <v>9100.0</v>
      </c>
      <c r="L674" s="18"/>
      <c r="M674" s="18"/>
      <c r="N674" s="18"/>
      <c r="O674" s="18" t="s">
        <v>57</v>
      </c>
      <c r="P674" s="18" t="s">
        <v>48</v>
      </c>
      <c r="Q674" s="10">
        <f t="shared" si="1"/>
        <v>0</v>
      </c>
    </row>
    <row r="675">
      <c r="A675" s="18" t="s">
        <v>148</v>
      </c>
      <c r="B675" s="18" t="s">
        <v>44</v>
      </c>
      <c r="C675" s="18" t="s">
        <v>76</v>
      </c>
      <c r="D675" s="18" t="s">
        <v>2634</v>
      </c>
      <c r="E675" s="18" t="s">
        <v>2635</v>
      </c>
      <c r="F675" s="18" t="s">
        <v>2487</v>
      </c>
      <c r="G675" s="18">
        <v>20.0</v>
      </c>
      <c r="H675" s="18" t="s">
        <v>56</v>
      </c>
      <c r="I675" s="19">
        <v>7514.0</v>
      </c>
      <c r="J675" s="19">
        <v>7550.0</v>
      </c>
      <c r="K675" s="19">
        <v>9100.0</v>
      </c>
      <c r="L675" s="18"/>
      <c r="M675" s="18"/>
      <c r="N675" s="18"/>
      <c r="O675" s="18" t="s">
        <v>57</v>
      </c>
      <c r="P675" s="18" t="s">
        <v>48</v>
      </c>
      <c r="Q675" s="10">
        <f t="shared" si="1"/>
        <v>0</v>
      </c>
    </row>
    <row r="676">
      <c r="A676" s="18" t="s">
        <v>148</v>
      </c>
      <c r="B676" s="18" t="s">
        <v>44</v>
      </c>
      <c r="C676" s="18" t="s">
        <v>64</v>
      </c>
      <c r="D676" s="18" t="s">
        <v>2636</v>
      </c>
      <c r="E676" s="18" t="s">
        <v>2637</v>
      </c>
      <c r="F676" s="18" t="s">
        <v>2487</v>
      </c>
      <c r="G676" s="18">
        <v>17.6</v>
      </c>
      <c r="H676" s="18" t="s">
        <v>56</v>
      </c>
      <c r="I676" s="19">
        <v>7096.0</v>
      </c>
      <c r="J676" s="19">
        <v>7100.0</v>
      </c>
      <c r="K676" s="19">
        <v>8550.0</v>
      </c>
      <c r="L676" s="18"/>
      <c r="M676" s="18"/>
      <c r="N676" s="18"/>
      <c r="O676" s="18" t="s">
        <v>57</v>
      </c>
      <c r="P676" s="18" t="s">
        <v>48</v>
      </c>
      <c r="Q676" s="10">
        <f t="shared" si="1"/>
        <v>0</v>
      </c>
    </row>
    <row r="677">
      <c r="A677" s="18" t="s">
        <v>154</v>
      </c>
      <c r="B677" s="18" t="s">
        <v>44</v>
      </c>
      <c r="C677" s="18" t="s">
        <v>76</v>
      </c>
      <c r="D677" s="18" t="s">
        <v>2638</v>
      </c>
      <c r="E677" s="18" t="s">
        <v>2639</v>
      </c>
      <c r="F677" s="18" t="s">
        <v>2487</v>
      </c>
      <c r="G677" s="18">
        <v>20.0</v>
      </c>
      <c r="H677" s="18" t="s">
        <v>56</v>
      </c>
      <c r="I677" s="19">
        <v>6090.0</v>
      </c>
      <c r="J677" s="19">
        <v>8550.0</v>
      </c>
      <c r="K677" s="19">
        <v>7350.0</v>
      </c>
      <c r="L677" s="18"/>
      <c r="M677" s="18"/>
      <c r="N677" s="18"/>
      <c r="O677" s="18" t="s">
        <v>151</v>
      </c>
      <c r="P677" s="18" t="s">
        <v>157</v>
      </c>
      <c r="Q677" s="10">
        <f t="shared" si="1"/>
        <v>0</v>
      </c>
    </row>
    <row r="678">
      <c r="A678" s="18" t="s">
        <v>148</v>
      </c>
      <c r="B678" s="18" t="s">
        <v>44</v>
      </c>
      <c r="C678" s="18" t="s">
        <v>76</v>
      </c>
      <c r="D678" s="18" t="s">
        <v>2640</v>
      </c>
      <c r="E678" s="18" t="s">
        <v>2641</v>
      </c>
      <c r="F678" s="18" t="s">
        <v>2487</v>
      </c>
      <c r="G678" s="18">
        <v>20.0</v>
      </c>
      <c r="H678" s="18" t="s">
        <v>56</v>
      </c>
      <c r="I678" s="19">
        <v>7514.0</v>
      </c>
      <c r="J678" s="19">
        <v>7550.0</v>
      </c>
      <c r="K678" s="19">
        <v>9100.0</v>
      </c>
      <c r="L678" s="18"/>
      <c r="M678" s="18"/>
      <c r="N678" s="18"/>
      <c r="O678" s="18" t="s">
        <v>57</v>
      </c>
      <c r="P678" s="18" t="s">
        <v>48</v>
      </c>
      <c r="Q678" s="10">
        <f t="shared" si="1"/>
        <v>0</v>
      </c>
    </row>
    <row r="679">
      <c r="A679" s="18" t="s">
        <v>148</v>
      </c>
      <c r="B679" s="18" t="s">
        <v>44</v>
      </c>
      <c r="C679" s="18" t="s">
        <v>76</v>
      </c>
      <c r="D679" s="18" t="s">
        <v>2642</v>
      </c>
      <c r="E679" s="18" t="s">
        <v>2643</v>
      </c>
      <c r="F679" s="18" t="s">
        <v>2487</v>
      </c>
      <c r="G679" s="18">
        <v>19.5</v>
      </c>
      <c r="H679" s="18" t="s">
        <v>56</v>
      </c>
      <c r="I679" s="19">
        <v>7514.0</v>
      </c>
      <c r="J679" s="19">
        <v>7550.0</v>
      </c>
      <c r="K679" s="19">
        <v>9100.0</v>
      </c>
      <c r="L679" s="18"/>
      <c r="M679" s="18"/>
      <c r="N679" s="18"/>
      <c r="O679" s="18" t="s">
        <v>57</v>
      </c>
      <c r="P679" s="18" t="s">
        <v>48</v>
      </c>
      <c r="Q679" s="10">
        <f t="shared" si="1"/>
        <v>0</v>
      </c>
    </row>
    <row r="680">
      <c r="A680" s="18" t="s">
        <v>148</v>
      </c>
      <c r="B680" s="18" t="s">
        <v>44</v>
      </c>
      <c r="C680" s="18" t="s">
        <v>423</v>
      </c>
      <c r="D680" s="18" t="s">
        <v>2644</v>
      </c>
      <c r="E680" s="18" t="s">
        <v>2645</v>
      </c>
      <c r="F680" s="18" t="s">
        <v>2487</v>
      </c>
      <c r="G680" s="18">
        <v>28.54</v>
      </c>
      <c r="H680" s="18" t="s">
        <v>168</v>
      </c>
      <c r="I680" s="19">
        <v>10857.0</v>
      </c>
      <c r="J680" s="19">
        <v>10900.0</v>
      </c>
      <c r="K680" s="19">
        <v>13100.0</v>
      </c>
      <c r="L680" s="18"/>
      <c r="M680" s="18"/>
      <c r="N680" s="18"/>
      <c r="O680" s="18" t="s">
        <v>57</v>
      </c>
      <c r="P680" s="18" t="s">
        <v>48</v>
      </c>
      <c r="Q680" s="10">
        <f t="shared" si="1"/>
        <v>0</v>
      </c>
    </row>
    <row r="681">
      <c r="A681" s="18" t="s">
        <v>148</v>
      </c>
      <c r="B681" s="18" t="s">
        <v>44</v>
      </c>
      <c r="C681" s="18" t="s">
        <v>76</v>
      </c>
      <c r="D681" s="18" t="s">
        <v>2646</v>
      </c>
      <c r="E681" s="18" t="s">
        <v>2647</v>
      </c>
      <c r="F681" s="18" t="s">
        <v>2487</v>
      </c>
      <c r="G681" s="18">
        <v>19.7</v>
      </c>
      <c r="H681" s="18" t="s">
        <v>56</v>
      </c>
      <c r="I681" s="19">
        <v>7514.0</v>
      </c>
      <c r="J681" s="19">
        <v>7550.0</v>
      </c>
      <c r="K681" s="19">
        <v>9100.0</v>
      </c>
      <c r="L681" s="18"/>
      <c r="M681" s="18"/>
      <c r="N681" s="18"/>
      <c r="O681" s="18" t="s">
        <v>57</v>
      </c>
      <c r="P681" s="18" t="s">
        <v>48</v>
      </c>
      <c r="Q681" s="10">
        <f t="shared" si="1"/>
        <v>0</v>
      </c>
    </row>
    <row r="682">
      <c r="A682" s="18" t="s">
        <v>148</v>
      </c>
      <c r="B682" s="18" t="s">
        <v>44</v>
      </c>
      <c r="C682" s="18" t="s">
        <v>76</v>
      </c>
      <c r="D682" s="18" t="s">
        <v>2648</v>
      </c>
      <c r="E682" s="18" t="s">
        <v>2649</v>
      </c>
      <c r="F682" s="18" t="s">
        <v>2487</v>
      </c>
      <c r="G682" s="18">
        <v>20.0</v>
      </c>
      <c r="H682" s="18" t="s">
        <v>56</v>
      </c>
      <c r="I682" s="19">
        <v>7514.0</v>
      </c>
      <c r="J682" s="19">
        <v>7550.0</v>
      </c>
      <c r="K682" s="19">
        <v>9100.0</v>
      </c>
      <c r="L682" s="18"/>
      <c r="M682" s="18"/>
      <c r="N682" s="18"/>
      <c r="O682" s="18" t="s">
        <v>57</v>
      </c>
      <c r="P682" s="18" t="s">
        <v>48</v>
      </c>
      <c r="Q682" s="10">
        <f t="shared" si="1"/>
        <v>0</v>
      </c>
    </row>
    <row r="683">
      <c r="A683" s="18" t="s">
        <v>154</v>
      </c>
      <c r="B683" s="18" t="s">
        <v>44</v>
      </c>
      <c r="C683" s="18" t="s">
        <v>53</v>
      </c>
      <c r="D683" s="18" t="s">
        <v>2650</v>
      </c>
      <c r="E683" s="18" t="s">
        <v>2651</v>
      </c>
      <c r="F683" s="18" t="s">
        <v>2487</v>
      </c>
      <c r="G683" s="18">
        <v>16.0</v>
      </c>
      <c r="H683" s="18" t="s">
        <v>56</v>
      </c>
      <c r="I683" s="19">
        <v>4799.0</v>
      </c>
      <c r="J683" s="19">
        <v>6750.0</v>
      </c>
      <c r="K683" s="19">
        <v>5800.0</v>
      </c>
      <c r="L683" s="18"/>
      <c r="M683" s="18"/>
      <c r="N683" s="18"/>
      <c r="O683" s="18" t="s">
        <v>151</v>
      </c>
      <c r="P683" s="18" t="s">
        <v>157</v>
      </c>
      <c r="Q683" s="10">
        <f t="shared" si="1"/>
        <v>0</v>
      </c>
    </row>
    <row r="684">
      <c r="A684" s="18" t="s">
        <v>154</v>
      </c>
      <c r="B684" s="18" t="s">
        <v>44</v>
      </c>
      <c r="C684" s="18" t="s">
        <v>180</v>
      </c>
      <c r="D684" s="18" t="s">
        <v>2652</v>
      </c>
      <c r="E684" s="18" t="s">
        <v>2653</v>
      </c>
      <c r="F684" s="18" t="s">
        <v>2487</v>
      </c>
      <c r="G684" s="18">
        <v>22.0</v>
      </c>
      <c r="H684" s="18" t="s">
        <v>56</v>
      </c>
      <c r="I684" s="19">
        <v>6090.0</v>
      </c>
      <c r="J684" s="19">
        <v>8550.0</v>
      </c>
      <c r="K684" s="19">
        <v>7350.0</v>
      </c>
      <c r="L684" s="18"/>
      <c r="M684" s="18"/>
      <c r="N684" s="18"/>
      <c r="O684" s="18" t="s">
        <v>151</v>
      </c>
      <c r="P684" s="18" t="s">
        <v>157</v>
      </c>
      <c r="Q684" s="10">
        <f t="shared" si="1"/>
        <v>0</v>
      </c>
    </row>
    <row r="685">
      <c r="A685" s="18" t="s">
        <v>158</v>
      </c>
      <c r="B685" s="18" t="s">
        <v>44</v>
      </c>
      <c r="C685" s="18" t="s">
        <v>133</v>
      </c>
      <c r="D685" s="18" t="s">
        <v>2654</v>
      </c>
      <c r="E685" s="18" t="s">
        <v>2655</v>
      </c>
      <c r="F685" s="18" t="s">
        <v>2487</v>
      </c>
      <c r="G685" s="18">
        <v>14.0</v>
      </c>
      <c r="H685" s="18" t="s">
        <v>56</v>
      </c>
      <c r="I685" s="19">
        <v>4666.0</v>
      </c>
      <c r="J685" s="19">
        <v>4700.0</v>
      </c>
      <c r="K685" s="19">
        <v>5650.0</v>
      </c>
      <c r="L685" s="18"/>
      <c r="M685" s="18"/>
      <c r="N685" s="18"/>
      <c r="O685" s="18" t="s">
        <v>41</v>
      </c>
      <c r="P685" s="18" t="s">
        <v>162</v>
      </c>
      <c r="Q685" s="10">
        <f t="shared" si="1"/>
        <v>0</v>
      </c>
    </row>
    <row r="686">
      <c r="A686" s="18" t="s">
        <v>158</v>
      </c>
      <c r="B686" s="18" t="s">
        <v>44</v>
      </c>
      <c r="C686" s="18" t="s">
        <v>113</v>
      </c>
      <c r="D686" s="18" t="s">
        <v>2656</v>
      </c>
      <c r="E686" s="18" t="s">
        <v>2657</v>
      </c>
      <c r="F686" s="18" t="s">
        <v>2487</v>
      </c>
      <c r="G686" s="18">
        <v>12.9</v>
      </c>
      <c r="H686" s="18" t="s">
        <v>56</v>
      </c>
      <c r="I686" s="19">
        <v>4242.0</v>
      </c>
      <c r="J686" s="19">
        <v>4250.0</v>
      </c>
      <c r="K686" s="19">
        <v>5100.0</v>
      </c>
      <c r="L686" s="18"/>
      <c r="M686" s="18"/>
      <c r="N686" s="18"/>
      <c r="O686" s="18" t="s">
        <v>161</v>
      </c>
      <c r="P686" s="18" t="s">
        <v>162</v>
      </c>
      <c r="Q686" s="10">
        <f t="shared" si="1"/>
        <v>0</v>
      </c>
    </row>
    <row r="687">
      <c r="A687" s="18" t="s">
        <v>158</v>
      </c>
      <c r="B687" s="18" t="s">
        <v>44</v>
      </c>
      <c r="C687" s="18" t="s">
        <v>133</v>
      </c>
      <c r="D687" s="18" t="s">
        <v>2658</v>
      </c>
      <c r="E687" s="18" t="s">
        <v>2659</v>
      </c>
      <c r="F687" s="18" t="s">
        <v>2487</v>
      </c>
      <c r="G687" s="18">
        <v>14.52</v>
      </c>
      <c r="H687" s="18" t="s">
        <v>56</v>
      </c>
      <c r="I687" s="19">
        <v>4666.0</v>
      </c>
      <c r="J687" s="19">
        <v>4700.0</v>
      </c>
      <c r="K687" s="19">
        <v>5650.0</v>
      </c>
      <c r="L687" s="18"/>
      <c r="M687" s="18"/>
      <c r="N687" s="18"/>
      <c r="O687" s="18" t="s">
        <v>41</v>
      </c>
      <c r="P687" s="18" t="s">
        <v>162</v>
      </c>
      <c r="Q687" s="10">
        <f t="shared" si="1"/>
        <v>0</v>
      </c>
    </row>
    <row r="688">
      <c r="A688" s="18" t="s">
        <v>225</v>
      </c>
      <c r="B688" s="18" t="s">
        <v>44</v>
      </c>
      <c r="C688" s="18" t="s">
        <v>133</v>
      </c>
      <c r="D688" s="18" t="s">
        <v>2660</v>
      </c>
      <c r="E688" s="18" t="s">
        <v>2661</v>
      </c>
      <c r="F688" s="18" t="s">
        <v>2487</v>
      </c>
      <c r="G688" s="18">
        <v>14.5</v>
      </c>
      <c r="H688" s="18" t="s">
        <v>56</v>
      </c>
      <c r="I688" s="19">
        <v>4650.0</v>
      </c>
      <c r="J688" s="19">
        <v>6050.0</v>
      </c>
      <c r="K688" s="19">
        <v>5400.0</v>
      </c>
      <c r="L688" s="18"/>
      <c r="M688" s="18"/>
      <c r="N688" s="18"/>
      <c r="O688" s="18" t="s">
        <v>161</v>
      </c>
      <c r="P688" s="18" t="s">
        <v>162</v>
      </c>
      <c r="Q688" s="10">
        <f t="shared" si="1"/>
        <v>0</v>
      </c>
    </row>
    <row r="689">
      <c r="A689" s="18" t="s">
        <v>158</v>
      </c>
      <c r="B689" s="18" t="s">
        <v>44</v>
      </c>
      <c r="C689" s="18" t="s">
        <v>64</v>
      </c>
      <c r="D689" s="18" t="s">
        <v>2662</v>
      </c>
      <c r="E689" s="18" t="s">
        <v>2663</v>
      </c>
      <c r="F689" s="18" t="s">
        <v>2487</v>
      </c>
      <c r="G689" s="18">
        <v>18.12</v>
      </c>
      <c r="H689" s="18" t="s">
        <v>120</v>
      </c>
      <c r="I689" s="19">
        <v>5516.0</v>
      </c>
      <c r="J689" s="19">
        <v>5550.0</v>
      </c>
      <c r="K689" s="19">
        <v>6700.0</v>
      </c>
      <c r="L689" s="18"/>
      <c r="M689" s="18"/>
      <c r="N689" s="18"/>
      <c r="O689" s="18" t="s">
        <v>161</v>
      </c>
      <c r="P689" s="18" t="s">
        <v>162</v>
      </c>
      <c r="Q689" s="10">
        <f t="shared" si="1"/>
        <v>0</v>
      </c>
    </row>
    <row r="690">
      <c r="A690" s="18" t="s">
        <v>158</v>
      </c>
      <c r="B690" s="18" t="s">
        <v>44</v>
      </c>
      <c r="C690" s="18" t="s">
        <v>64</v>
      </c>
      <c r="D690" s="18" t="s">
        <v>2664</v>
      </c>
      <c r="E690" s="18" t="s">
        <v>2665</v>
      </c>
      <c r="F690" s="18" t="s">
        <v>2487</v>
      </c>
      <c r="G690" s="18">
        <v>18.12</v>
      </c>
      <c r="H690" s="18" t="s">
        <v>120</v>
      </c>
      <c r="I690" s="19">
        <v>5516.0</v>
      </c>
      <c r="J690" s="19">
        <v>5550.0</v>
      </c>
      <c r="K690" s="19">
        <v>6700.0</v>
      </c>
      <c r="L690" s="18"/>
      <c r="M690" s="18"/>
      <c r="N690" s="18"/>
      <c r="O690" s="18" t="s">
        <v>161</v>
      </c>
      <c r="P690" s="18" t="s">
        <v>162</v>
      </c>
      <c r="Q690" s="10">
        <f t="shared" si="1"/>
        <v>0</v>
      </c>
    </row>
    <row r="691">
      <c r="A691" s="18" t="s">
        <v>158</v>
      </c>
      <c r="B691" s="18" t="s">
        <v>44</v>
      </c>
      <c r="C691" s="18" t="s">
        <v>133</v>
      </c>
      <c r="D691" s="18" t="s">
        <v>2666</v>
      </c>
      <c r="E691" s="18" t="s">
        <v>2667</v>
      </c>
      <c r="F691" s="18" t="s">
        <v>2487</v>
      </c>
      <c r="G691" s="18">
        <v>13.75</v>
      </c>
      <c r="H691" s="18" t="s">
        <v>56</v>
      </c>
      <c r="I691" s="19">
        <v>4242.0</v>
      </c>
      <c r="J691" s="19">
        <v>4250.0</v>
      </c>
      <c r="K691" s="19">
        <v>5100.0</v>
      </c>
      <c r="L691" s="18"/>
      <c r="M691" s="18"/>
      <c r="N691" s="18"/>
      <c r="O691" s="18" t="s">
        <v>161</v>
      </c>
      <c r="P691" s="18" t="s">
        <v>162</v>
      </c>
      <c r="Q691" s="10">
        <f t="shared" si="1"/>
        <v>0</v>
      </c>
    </row>
    <row r="692">
      <c r="A692" s="18" t="s">
        <v>132</v>
      </c>
      <c r="B692" s="18" t="s">
        <v>44</v>
      </c>
      <c r="C692" s="18" t="s">
        <v>53</v>
      </c>
      <c r="D692" s="18" t="s">
        <v>2668</v>
      </c>
      <c r="E692" s="18" t="s">
        <v>2669</v>
      </c>
      <c r="F692" s="18" t="s">
        <v>2487</v>
      </c>
      <c r="G692" s="18">
        <v>16.35</v>
      </c>
      <c r="H692" s="18" t="s">
        <v>62</v>
      </c>
      <c r="I692" s="19">
        <v>3888.56</v>
      </c>
      <c r="J692" s="19">
        <v>3150.0</v>
      </c>
      <c r="K692" s="19">
        <v>4800.0</v>
      </c>
      <c r="L692" s="18"/>
      <c r="M692" s="18"/>
      <c r="N692" s="18"/>
      <c r="O692" s="18" t="s">
        <v>57</v>
      </c>
      <c r="P692" s="18"/>
      <c r="Q692" s="10">
        <f t="shared" si="1"/>
        <v>0</v>
      </c>
    </row>
    <row r="693">
      <c r="A693" s="18" t="s">
        <v>132</v>
      </c>
      <c r="B693" s="18" t="s">
        <v>44</v>
      </c>
      <c r="C693" s="18" t="s">
        <v>53</v>
      </c>
      <c r="D693" s="18" t="s">
        <v>2670</v>
      </c>
      <c r="E693" s="18" t="s">
        <v>2671</v>
      </c>
      <c r="F693" s="18" t="s">
        <v>2487</v>
      </c>
      <c r="G693" s="18">
        <v>16.21</v>
      </c>
      <c r="H693" s="18" t="s">
        <v>62</v>
      </c>
      <c r="I693" s="19">
        <v>3888.56</v>
      </c>
      <c r="J693" s="19">
        <v>3150.0</v>
      </c>
      <c r="K693" s="19">
        <v>4500.0</v>
      </c>
      <c r="L693" s="18"/>
      <c r="M693" s="18"/>
      <c r="N693" s="18"/>
      <c r="O693" s="18" t="s">
        <v>57</v>
      </c>
      <c r="P693" s="18"/>
      <c r="Q693" s="10">
        <f t="shared" si="1"/>
        <v>0</v>
      </c>
    </row>
    <row r="694">
      <c r="A694" s="18" t="s">
        <v>132</v>
      </c>
      <c r="B694" s="18" t="s">
        <v>44</v>
      </c>
      <c r="C694" s="18" t="s">
        <v>133</v>
      </c>
      <c r="D694" s="18" t="s">
        <v>2672</v>
      </c>
      <c r="E694" s="18" t="s">
        <v>2673</v>
      </c>
      <c r="F694" s="18" t="s">
        <v>2487</v>
      </c>
      <c r="G694" s="18">
        <v>14.82</v>
      </c>
      <c r="H694" s="18" t="s">
        <v>62</v>
      </c>
      <c r="I694" s="19">
        <v>2975.44</v>
      </c>
      <c r="J694" s="19">
        <v>2400.0</v>
      </c>
      <c r="K694" s="19">
        <v>4800.0</v>
      </c>
      <c r="L694" s="18"/>
      <c r="M694" s="18"/>
      <c r="N694" s="18"/>
      <c r="O694" s="18" t="s">
        <v>57</v>
      </c>
      <c r="P694" s="18"/>
      <c r="Q694" s="10">
        <f t="shared" si="1"/>
        <v>0</v>
      </c>
    </row>
    <row r="695">
      <c r="A695" s="18" t="s">
        <v>132</v>
      </c>
      <c r="B695" s="18" t="s">
        <v>44</v>
      </c>
      <c r="C695" s="18" t="s">
        <v>76</v>
      </c>
      <c r="D695" s="18" t="s">
        <v>2674</v>
      </c>
      <c r="E695" s="18" t="s">
        <v>2675</v>
      </c>
      <c r="F695" s="18" t="s">
        <v>2487</v>
      </c>
      <c r="G695" s="18">
        <v>21.21</v>
      </c>
      <c r="H695" s="18" t="s">
        <v>67</v>
      </c>
      <c r="I695" s="19">
        <v>4118.4</v>
      </c>
      <c r="J695" s="19">
        <v>3300.0</v>
      </c>
      <c r="K695" s="19">
        <v>4800.0</v>
      </c>
      <c r="L695" s="18"/>
      <c r="M695" s="18"/>
      <c r="N695" s="18"/>
      <c r="O695" s="18" t="s">
        <v>57</v>
      </c>
      <c r="P695" s="18"/>
      <c r="Q695" s="10">
        <f t="shared" si="1"/>
        <v>0</v>
      </c>
    </row>
    <row r="696">
      <c r="A696" s="18" t="s">
        <v>132</v>
      </c>
      <c r="B696" s="18" t="s">
        <v>44</v>
      </c>
      <c r="C696" s="18" t="s">
        <v>180</v>
      </c>
      <c r="D696" s="18" t="s">
        <v>2676</v>
      </c>
      <c r="E696" s="18" t="s">
        <v>2677</v>
      </c>
      <c r="F696" s="18" t="s">
        <v>2487</v>
      </c>
      <c r="G696" s="18">
        <v>22.33</v>
      </c>
      <c r="H696" s="18" t="s">
        <v>574</v>
      </c>
      <c r="I696" s="19">
        <v>4348.5</v>
      </c>
      <c r="J696" s="19">
        <v>3500.0</v>
      </c>
      <c r="K696" s="19">
        <v>2200.0</v>
      </c>
      <c r="L696" s="18"/>
      <c r="M696" s="18"/>
      <c r="N696" s="18"/>
      <c r="O696" s="18" t="s">
        <v>57</v>
      </c>
      <c r="P696" s="18"/>
      <c r="Q696" s="10">
        <f t="shared" si="1"/>
        <v>0</v>
      </c>
    </row>
    <row r="697">
      <c r="A697" s="18" t="s">
        <v>132</v>
      </c>
      <c r="B697" s="18" t="s">
        <v>44</v>
      </c>
      <c r="C697" s="18" t="s">
        <v>53</v>
      </c>
      <c r="D697" s="18" t="s">
        <v>2678</v>
      </c>
      <c r="E697" s="18" t="s">
        <v>2679</v>
      </c>
      <c r="F697" s="18" t="s">
        <v>2487</v>
      </c>
      <c r="G697" s="18">
        <v>15.88</v>
      </c>
      <c r="H697" s="18" t="s">
        <v>62</v>
      </c>
      <c r="I697" s="19">
        <v>3888.56</v>
      </c>
      <c r="J697" s="19">
        <v>3150.0</v>
      </c>
      <c r="K697" s="19">
        <v>4800.0</v>
      </c>
      <c r="L697" s="18"/>
      <c r="M697" s="18"/>
      <c r="N697" s="18"/>
      <c r="O697" s="18" t="s">
        <v>41</v>
      </c>
      <c r="P697" s="18"/>
      <c r="Q697" s="10">
        <f t="shared" si="1"/>
        <v>0</v>
      </c>
    </row>
    <row r="698">
      <c r="A698" s="18" t="s">
        <v>2526</v>
      </c>
      <c r="B698" s="18" t="s">
        <v>44</v>
      </c>
      <c r="C698" s="18" t="s">
        <v>53</v>
      </c>
      <c r="D698" s="18" t="s">
        <v>2680</v>
      </c>
      <c r="E698" s="18" t="s">
        <v>2681</v>
      </c>
      <c r="F698" s="18" t="s">
        <v>2487</v>
      </c>
      <c r="G698" s="18">
        <v>15.04</v>
      </c>
      <c r="H698" s="18" t="s">
        <v>56</v>
      </c>
      <c r="I698" s="19">
        <v>7900.0</v>
      </c>
      <c r="J698" s="19">
        <v>8700.0</v>
      </c>
      <c r="K698" s="19"/>
      <c r="L698" s="18"/>
      <c r="M698" s="18"/>
      <c r="N698" s="18"/>
      <c r="O698" s="18" t="s">
        <v>2531</v>
      </c>
      <c r="P698" s="18" t="s">
        <v>42</v>
      </c>
      <c r="Q698" s="10">
        <f t="shared" si="1"/>
        <v>0</v>
      </c>
    </row>
    <row r="699">
      <c r="A699" s="18" t="s">
        <v>2526</v>
      </c>
      <c r="B699" s="18" t="s">
        <v>44</v>
      </c>
      <c r="C699" s="18" t="s">
        <v>64</v>
      </c>
      <c r="D699" s="18" t="s">
        <v>2682</v>
      </c>
      <c r="E699" s="18" t="s">
        <v>2683</v>
      </c>
      <c r="F699" s="18" t="s">
        <v>2487</v>
      </c>
      <c r="G699" s="18">
        <v>17.05</v>
      </c>
      <c r="H699" s="18" t="s">
        <v>120</v>
      </c>
      <c r="I699" s="19">
        <v>8400.0</v>
      </c>
      <c r="J699" s="19">
        <v>9250.0</v>
      </c>
      <c r="K699" s="19"/>
      <c r="L699" s="18"/>
      <c r="M699" s="18"/>
      <c r="N699" s="18"/>
      <c r="O699" s="18" t="s">
        <v>2531</v>
      </c>
      <c r="P699" s="18" t="s">
        <v>42</v>
      </c>
      <c r="Q699" s="10">
        <f t="shared" si="1"/>
        <v>0</v>
      </c>
    </row>
    <row r="700">
      <c r="A700" s="18" t="s">
        <v>2526</v>
      </c>
      <c r="B700" s="18" t="s">
        <v>44</v>
      </c>
      <c r="C700" s="18" t="s">
        <v>53</v>
      </c>
      <c r="D700" s="18" t="s">
        <v>2684</v>
      </c>
      <c r="E700" s="18" t="s">
        <v>2685</v>
      </c>
      <c r="F700" s="18" t="s">
        <v>2487</v>
      </c>
      <c r="G700" s="18">
        <v>15.01</v>
      </c>
      <c r="H700" s="18" t="s">
        <v>56</v>
      </c>
      <c r="I700" s="19">
        <v>7900.0</v>
      </c>
      <c r="J700" s="19">
        <v>8700.0</v>
      </c>
      <c r="K700" s="19"/>
      <c r="L700" s="18"/>
      <c r="M700" s="18"/>
      <c r="N700" s="18"/>
      <c r="O700" s="18" t="s">
        <v>2531</v>
      </c>
      <c r="P700" s="18" t="s">
        <v>42</v>
      </c>
      <c r="Q700" s="10">
        <f t="shared" si="1"/>
        <v>0</v>
      </c>
    </row>
    <row r="701">
      <c r="A701" s="18" t="s">
        <v>2526</v>
      </c>
      <c r="B701" s="18" t="s">
        <v>44</v>
      </c>
      <c r="C701" s="18" t="s">
        <v>64</v>
      </c>
      <c r="D701" s="18" t="s">
        <v>2686</v>
      </c>
      <c r="E701" s="18" t="s">
        <v>2687</v>
      </c>
      <c r="F701" s="18" t="s">
        <v>2487</v>
      </c>
      <c r="G701" s="18">
        <v>17.22</v>
      </c>
      <c r="H701" s="18" t="s">
        <v>120</v>
      </c>
      <c r="I701" s="19">
        <v>8400.0</v>
      </c>
      <c r="J701" s="19">
        <v>9250.0</v>
      </c>
      <c r="K701" s="19"/>
      <c r="L701" s="18"/>
      <c r="M701" s="18"/>
      <c r="N701" s="18"/>
      <c r="O701" s="18" t="s">
        <v>2688</v>
      </c>
      <c r="P701" s="18" t="s">
        <v>42</v>
      </c>
      <c r="Q701" s="10">
        <f t="shared" si="1"/>
        <v>0</v>
      </c>
    </row>
    <row r="702">
      <c r="A702" s="18" t="s">
        <v>2526</v>
      </c>
      <c r="B702" s="18" t="s">
        <v>44</v>
      </c>
      <c r="C702" s="18" t="s">
        <v>76</v>
      </c>
      <c r="D702" s="18" t="s">
        <v>2689</v>
      </c>
      <c r="E702" s="18" t="s">
        <v>2690</v>
      </c>
      <c r="F702" s="18" t="s">
        <v>2487</v>
      </c>
      <c r="G702" s="18">
        <v>19.71</v>
      </c>
      <c r="H702" s="18" t="s">
        <v>120</v>
      </c>
      <c r="I702" s="19">
        <v>9000.0</v>
      </c>
      <c r="J702" s="19">
        <v>9900.0</v>
      </c>
      <c r="K702" s="19"/>
      <c r="L702" s="18"/>
      <c r="M702" s="18"/>
      <c r="N702" s="18"/>
      <c r="O702" s="18" t="s">
        <v>2688</v>
      </c>
      <c r="P702" s="18" t="s">
        <v>42</v>
      </c>
      <c r="Q702" s="10">
        <f t="shared" si="1"/>
        <v>0</v>
      </c>
    </row>
    <row r="703">
      <c r="A703" s="18" t="s">
        <v>132</v>
      </c>
      <c r="B703" s="18" t="s">
        <v>44</v>
      </c>
      <c r="C703" s="18" t="s">
        <v>37</v>
      </c>
      <c r="D703" s="18" t="s">
        <v>2691</v>
      </c>
      <c r="E703" s="18" t="s">
        <v>2692</v>
      </c>
      <c r="F703" s="18" t="s">
        <v>2487</v>
      </c>
      <c r="G703" s="18">
        <v>60.33</v>
      </c>
      <c r="H703" s="18" t="s">
        <v>574</v>
      </c>
      <c r="I703" s="19">
        <v>5765.76</v>
      </c>
      <c r="J703" s="19">
        <v>4650.0</v>
      </c>
      <c r="K703" s="19"/>
      <c r="L703" s="18"/>
      <c r="M703" s="18"/>
      <c r="N703" s="18"/>
      <c r="O703" s="18" t="s">
        <v>57</v>
      </c>
      <c r="P703" s="18"/>
      <c r="Q703" s="10">
        <f t="shared" si="1"/>
        <v>0</v>
      </c>
    </row>
    <row r="704">
      <c r="A704" s="18" t="s">
        <v>2526</v>
      </c>
      <c r="B704" s="18" t="s">
        <v>44</v>
      </c>
      <c r="C704" s="18" t="s">
        <v>180</v>
      </c>
      <c r="D704" s="18" t="s">
        <v>2693</v>
      </c>
      <c r="E704" s="18" t="s">
        <v>2694</v>
      </c>
      <c r="F704" s="18" t="s">
        <v>2487</v>
      </c>
      <c r="G704" s="18">
        <v>22.08</v>
      </c>
      <c r="H704" s="18" t="s">
        <v>168</v>
      </c>
      <c r="I704" s="19">
        <v>9500.0</v>
      </c>
      <c r="J704" s="19">
        <v>10450.0</v>
      </c>
      <c r="K704" s="19"/>
      <c r="L704" s="18"/>
      <c r="M704" s="18"/>
      <c r="N704" s="18"/>
      <c r="O704" s="18" t="s">
        <v>2531</v>
      </c>
      <c r="P704" s="18" t="s">
        <v>42</v>
      </c>
      <c r="Q704" s="10">
        <f t="shared" si="1"/>
        <v>0</v>
      </c>
    </row>
    <row r="705">
      <c r="A705" s="18" t="s">
        <v>2526</v>
      </c>
      <c r="B705" s="18" t="s">
        <v>44</v>
      </c>
      <c r="C705" s="18" t="s">
        <v>53</v>
      </c>
      <c r="D705" s="18" t="s">
        <v>2695</v>
      </c>
      <c r="E705" s="18" t="s">
        <v>2696</v>
      </c>
      <c r="F705" s="18" t="s">
        <v>2487</v>
      </c>
      <c r="G705" s="18">
        <v>15.35</v>
      </c>
      <c r="H705" s="18" t="s">
        <v>56</v>
      </c>
      <c r="I705" s="19">
        <v>7900.0</v>
      </c>
      <c r="J705" s="19">
        <v>8700.0</v>
      </c>
      <c r="K705" s="19"/>
      <c r="L705" s="18"/>
      <c r="M705" s="18"/>
      <c r="N705" s="18"/>
      <c r="O705" s="18" t="s">
        <v>2688</v>
      </c>
      <c r="P705" s="18" t="s">
        <v>42</v>
      </c>
      <c r="Q705" s="10">
        <f t="shared" si="1"/>
        <v>0</v>
      </c>
    </row>
    <row r="706">
      <c r="A706" s="18" t="s">
        <v>2526</v>
      </c>
      <c r="B706" s="18" t="s">
        <v>44</v>
      </c>
      <c r="C706" s="18" t="s">
        <v>53</v>
      </c>
      <c r="D706" s="18" t="s">
        <v>2697</v>
      </c>
      <c r="E706" s="18" t="s">
        <v>2698</v>
      </c>
      <c r="F706" s="18" t="s">
        <v>2487</v>
      </c>
      <c r="G706" s="18">
        <v>15.01</v>
      </c>
      <c r="H706" s="18" t="s">
        <v>56</v>
      </c>
      <c r="I706" s="19">
        <v>7900.0</v>
      </c>
      <c r="J706" s="19">
        <v>8700.0</v>
      </c>
      <c r="K706" s="19"/>
      <c r="L706" s="18"/>
      <c r="M706" s="18"/>
      <c r="N706" s="18"/>
      <c r="O706" s="18" t="s">
        <v>2531</v>
      </c>
      <c r="P706" s="18" t="s">
        <v>42</v>
      </c>
      <c r="Q706" s="10">
        <f t="shared" si="1"/>
        <v>0</v>
      </c>
    </row>
    <row r="707">
      <c r="A707" s="18" t="s">
        <v>2526</v>
      </c>
      <c r="B707" s="18" t="s">
        <v>44</v>
      </c>
      <c r="C707" s="18" t="s">
        <v>76</v>
      </c>
      <c r="D707" s="18" t="s">
        <v>2699</v>
      </c>
      <c r="E707" s="18" t="s">
        <v>2700</v>
      </c>
      <c r="F707" s="18" t="s">
        <v>2487</v>
      </c>
      <c r="G707" s="18">
        <v>19.06</v>
      </c>
      <c r="H707" s="18" t="s">
        <v>120</v>
      </c>
      <c r="I707" s="19">
        <v>9000.0</v>
      </c>
      <c r="J707" s="19">
        <v>9900.0</v>
      </c>
      <c r="K707" s="19"/>
      <c r="L707" s="18"/>
      <c r="M707" s="18"/>
      <c r="N707" s="18"/>
      <c r="O707" s="18" t="s">
        <v>2531</v>
      </c>
      <c r="P707" s="18" t="s">
        <v>42</v>
      </c>
      <c r="Q707" s="10">
        <f t="shared" si="1"/>
        <v>0</v>
      </c>
    </row>
    <row r="708">
      <c r="A708" s="18" t="s">
        <v>1029</v>
      </c>
      <c r="B708" s="18" t="s">
        <v>44</v>
      </c>
      <c r="C708" s="18" t="s">
        <v>53</v>
      </c>
      <c r="D708" s="18" t="s">
        <v>2701</v>
      </c>
      <c r="E708" s="18" t="s">
        <v>2702</v>
      </c>
      <c r="F708" s="18" t="s">
        <v>2487</v>
      </c>
      <c r="G708" s="18">
        <v>15.66</v>
      </c>
      <c r="H708" s="18" t="s">
        <v>56</v>
      </c>
      <c r="I708" s="19">
        <v>450.0</v>
      </c>
      <c r="J708" s="19">
        <v>360.0</v>
      </c>
      <c r="K708" s="19"/>
      <c r="L708" s="18"/>
      <c r="M708" s="18"/>
      <c r="N708" s="18"/>
      <c r="O708" s="18" t="s">
        <v>57</v>
      </c>
      <c r="P708" s="18"/>
      <c r="Q708" s="10">
        <f t="shared" si="1"/>
        <v>0</v>
      </c>
    </row>
    <row r="709">
      <c r="A709" s="18" t="s">
        <v>1029</v>
      </c>
      <c r="B709" s="18" t="s">
        <v>44</v>
      </c>
      <c r="C709" s="18" t="s">
        <v>53</v>
      </c>
      <c r="D709" s="18" t="s">
        <v>2703</v>
      </c>
      <c r="E709" s="18" t="s">
        <v>2704</v>
      </c>
      <c r="F709" s="18" t="s">
        <v>2487</v>
      </c>
      <c r="G709" s="18">
        <v>15.88</v>
      </c>
      <c r="H709" s="18" t="s">
        <v>56</v>
      </c>
      <c r="I709" s="19">
        <v>450.0</v>
      </c>
      <c r="J709" s="19">
        <v>360.0</v>
      </c>
      <c r="K709" s="19"/>
      <c r="L709" s="18"/>
      <c r="M709" s="18"/>
      <c r="N709" s="18"/>
      <c r="O709" s="18" t="s">
        <v>57</v>
      </c>
      <c r="P709" s="18"/>
      <c r="Q709" s="10">
        <f t="shared" si="1"/>
        <v>0</v>
      </c>
    </row>
    <row r="710">
      <c r="A710" s="18" t="s">
        <v>2526</v>
      </c>
      <c r="B710" s="18" t="s">
        <v>44</v>
      </c>
      <c r="C710" s="18" t="s">
        <v>133</v>
      </c>
      <c r="D710" s="18" t="s">
        <v>2705</v>
      </c>
      <c r="E710" s="18" t="s">
        <v>2706</v>
      </c>
      <c r="F710" s="18" t="s">
        <v>2487</v>
      </c>
      <c r="G710" s="18">
        <v>14.78</v>
      </c>
      <c r="H710" s="18" t="s">
        <v>168</v>
      </c>
      <c r="I710" s="19">
        <v>7400.0</v>
      </c>
      <c r="J710" s="19">
        <v>8150.0</v>
      </c>
      <c r="K710" s="19"/>
      <c r="L710" s="18"/>
      <c r="M710" s="18"/>
      <c r="N710" s="18"/>
      <c r="O710" s="18" t="s">
        <v>2531</v>
      </c>
      <c r="P710" s="18" t="s">
        <v>42</v>
      </c>
      <c r="Q710" s="10">
        <f t="shared" si="1"/>
        <v>0</v>
      </c>
    </row>
    <row r="711">
      <c r="A711" s="18" t="s">
        <v>2526</v>
      </c>
      <c r="B711" s="18" t="s">
        <v>44</v>
      </c>
      <c r="C711" s="18" t="s">
        <v>53</v>
      </c>
      <c r="D711" s="18" t="s">
        <v>2707</v>
      </c>
      <c r="E711" s="18" t="s">
        <v>2708</v>
      </c>
      <c r="F711" s="18" t="s">
        <v>2487</v>
      </c>
      <c r="G711" s="18">
        <v>15.18</v>
      </c>
      <c r="H711" s="18" t="s">
        <v>168</v>
      </c>
      <c r="I711" s="19">
        <v>7900.0</v>
      </c>
      <c r="J711" s="19">
        <v>8700.0</v>
      </c>
      <c r="K711" s="19"/>
      <c r="L711" s="18"/>
      <c r="M711" s="18"/>
      <c r="N711" s="18"/>
      <c r="O711" s="18" t="s">
        <v>2531</v>
      </c>
      <c r="P711" s="18" t="s">
        <v>42</v>
      </c>
      <c r="Q711" s="10">
        <f t="shared" si="1"/>
        <v>0</v>
      </c>
    </row>
    <row r="712">
      <c r="A712" s="18" t="s">
        <v>165</v>
      </c>
      <c r="B712" s="18" t="s">
        <v>44</v>
      </c>
      <c r="C712" s="18" t="s">
        <v>53</v>
      </c>
      <c r="D712" s="18" t="s">
        <v>2709</v>
      </c>
      <c r="E712" s="18" t="s">
        <v>2710</v>
      </c>
      <c r="F712" s="18" t="s">
        <v>2487</v>
      </c>
      <c r="G712" s="18">
        <v>16.75</v>
      </c>
      <c r="H712" s="18" t="s">
        <v>56</v>
      </c>
      <c r="I712" s="19">
        <v>3563.0</v>
      </c>
      <c r="J712" s="19">
        <v>4300.0</v>
      </c>
      <c r="K712" s="19">
        <v>4350.0</v>
      </c>
      <c r="L712" s="18"/>
      <c r="M712" s="18"/>
      <c r="N712" s="18"/>
      <c r="O712" s="18" t="s">
        <v>117</v>
      </c>
      <c r="P712" s="18"/>
      <c r="Q712" s="10">
        <f t="shared" si="1"/>
        <v>0</v>
      </c>
    </row>
    <row r="713">
      <c r="A713" s="18" t="s">
        <v>165</v>
      </c>
      <c r="B713" s="18" t="s">
        <v>44</v>
      </c>
      <c r="C713" s="18" t="s">
        <v>64</v>
      </c>
      <c r="D713" s="18" t="s">
        <v>2711</v>
      </c>
      <c r="E713" s="18" t="s">
        <v>2712</v>
      </c>
      <c r="F713" s="18" t="s">
        <v>2487</v>
      </c>
      <c r="G713" s="18">
        <v>17.39</v>
      </c>
      <c r="H713" s="18" t="s">
        <v>120</v>
      </c>
      <c r="I713" s="19">
        <v>4039.0</v>
      </c>
      <c r="J713" s="19">
        <v>4850.0</v>
      </c>
      <c r="K713" s="19">
        <v>4900.0</v>
      </c>
      <c r="L713" s="18"/>
      <c r="M713" s="18"/>
      <c r="N713" s="18"/>
      <c r="O713" s="18" t="s">
        <v>117</v>
      </c>
      <c r="P713" s="18"/>
      <c r="Q713" s="10">
        <f t="shared" si="1"/>
        <v>0</v>
      </c>
    </row>
    <row r="714">
      <c r="A714" s="18" t="s">
        <v>165</v>
      </c>
      <c r="B714" s="18" t="s">
        <v>44</v>
      </c>
      <c r="C714" s="18" t="s">
        <v>53</v>
      </c>
      <c r="D714" s="18" t="s">
        <v>2713</v>
      </c>
      <c r="E714" s="18" t="s">
        <v>2714</v>
      </c>
      <c r="F714" s="18" t="s">
        <v>2487</v>
      </c>
      <c r="G714" s="18">
        <v>15.5</v>
      </c>
      <c r="H714" s="18" t="s">
        <v>56</v>
      </c>
      <c r="I714" s="19">
        <v>3563.0</v>
      </c>
      <c r="J714" s="19">
        <v>4300.0</v>
      </c>
      <c r="K714" s="19">
        <v>4350.0</v>
      </c>
      <c r="L714" s="18"/>
      <c r="M714" s="18"/>
      <c r="N714" s="18"/>
      <c r="O714" s="18" t="s">
        <v>117</v>
      </c>
      <c r="P714" s="18"/>
      <c r="Q714" s="10">
        <f t="shared" si="1"/>
        <v>0</v>
      </c>
    </row>
    <row r="715">
      <c r="A715" s="18" t="s">
        <v>1822</v>
      </c>
      <c r="B715" s="18" t="s">
        <v>44</v>
      </c>
      <c r="C715" s="18" t="s">
        <v>53</v>
      </c>
      <c r="D715" s="18" t="s">
        <v>2715</v>
      </c>
      <c r="E715" s="18" t="s">
        <v>2716</v>
      </c>
      <c r="F715" s="18" t="s">
        <v>2487</v>
      </c>
      <c r="G715" s="18">
        <v>15.01</v>
      </c>
      <c r="H715" s="18" t="s">
        <v>56</v>
      </c>
      <c r="I715" s="19">
        <v>3700.0</v>
      </c>
      <c r="J715" s="19">
        <v>4100.0</v>
      </c>
      <c r="K715" s="19"/>
      <c r="L715" s="18"/>
      <c r="M715" s="18"/>
      <c r="N715" s="18"/>
      <c r="O715" s="18" t="s">
        <v>57</v>
      </c>
      <c r="P715" s="18"/>
      <c r="Q715" s="10">
        <f t="shared" si="1"/>
        <v>0</v>
      </c>
    </row>
    <row r="716">
      <c r="A716" s="18" t="s">
        <v>165</v>
      </c>
      <c r="B716" s="18" t="s">
        <v>44</v>
      </c>
      <c r="C716" s="18" t="s">
        <v>64</v>
      </c>
      <c r="D716" s="18" t="s">
        <v>2717</v>
      </c>
      <c r="E716" s="18" t="s">
        <v>2718</v>
      </c>
      <c r="F716" s="18" t="s">
        <v>2487</v>
      </c>
      <c r="G716" s="18">
        <v>17.39</v>
      </c>
      <c r="H716" s="18" t="s">
        <v>120</v>
      </c>
      <c r="I716" s="19">
        <v>4039.0</v>
      </c>
      <c r="J716" s="19">
        <v>4850.0</v>
      </c>
      <c r="K716" s="19">
        <v>4900.0</v>
      </c>
      <c r="L716" s="18"/>
      <c r="M716" s="18"/>
      <c r="N716" s="18"/>
      <c r="O716" s="18" t="s">
        <v>117</v>
      </c>
      <c r="P716" s="18"/>
      <c r="Q716" s="10">
        <f t="shared" si="1"/>
        <v>0</v>
      </c>
    </row>
    <row r="717">
      <c r="A717" s="18" t="s">
        <v>165</v>
      </c>
      <c r="B717" s="18" t="s">
        <v>44</v>
      </c>
      <c r="C717" s="18" t="s">
        <v>64</v>
      </c>
      <c r="D717" s="18" t="s">
        <v>2719</v>
      </c>
      <c r="E717" s="18" t="s">
        <v>2720</v>
      </c>
      <c r="F717" s="18" t="s">
        <v>2487</v>
      </c>
      <c r="G717" s="18">
        <v>17.39</v>
      </c>
      <c r="H717" s="18" t="s">
        <v>120</v>
      </c>
      <c r="I717" s="19">
        <v>4039.0</v>
      </c>
      <c r="J717" s="19">
        <v>4850.0</v>
      </c>
      <c r="K717" s="19">
        <v>4900.0</v>
      </c>
      <c r="L717" s="18"/>
      <c r="M717" s="18"/>
      <c r="N717" s="18"/>
      <c r="O717" s="18" t="s">
        <v>117</v>
      </c>
      <c r="P717" s="18"/>
      <c r="Q717" s="10">
        <f t="shared" si="1"/>
        <v>0</v>
      </c>
    </row>
    <row r="718">
      <c r="A718" s="18" t="s">
        <v>165</v>
      </c>
      <c r="B718" s="18" t="s">
        <v>44</v>
      </c>
      <c r="C718" s="18" t="s">
        <v>76</v>
      </c>
      <c r="D718" s="18" t="s">
        <v>2721</v>
      </c>
      <c r="E718" s="18" t="s">
        <v>2722</v>
      </c>
      <c r="F718" s="18" t="s">
        <v>2487</v>
      </c>
      <c r="G718" s="18">
        <v>20.78</v>
      </c>
      <c r="H718" s="18" t="s">
        <v>120</v>
      </c>
      <c r="I718" s="19">
        <v>4275.0</v>
      </c>
      <c r="J718" s="19">
        <v>5150.0</v>
      </c>
      <c r="K718" s="19">
        <v>5200.0</v>
      </c>
      <c r="L718" s="18"/>
      <c r="M718" s="18"/>
      <c r="N718" s="18"/>
      <c r="O718" s="18" t="s">
        <v>117</v>
      </c>
      <c r="P718" s="18"/>
      <c r="Q718" s="10">
        <f t="shared" si="1"/>
        <v>0</v>
      </c>
    </row>
    <row r="719">
      <c r="A719" s="18" t="s">
        <v>1822</v>
      </c>
      <c r="B719" s="18" t="s">
        <v>44</v>
      </c>
      <c r="C719" s="18" t="s">
        <v>76</v>
      </c>
      <c r="D719" s="18" t="s">
        <v>2723</v>
      </c>
      <c r="E719" s="18" t="s">
        <v>2724</v>
      </c>
      <c r="F719" s="18" t="s">
        <v>2487</v>
      </c>
      <c r="G719" s="18">
        <v>21.06</v>
      </c>
      <c r="H719" s="18" t="s">
        <v>120</v>
      </c>
      <c r="I719" s="19">
        <v>4200.0</v>
      </c>
      <c r="J719" s="19">
        <v>4650.0</v>
      </c>
      <c r="K719" s="19"/>
      <c r="L719" s="18"/>
      <c r="M719" s="18"/>
      <c r="N719" s="18"/>
      <c r="O719" s="18" t="s">
        <v>57</v>
      </c>
      <c r="P719" s="18"/>
      <c r="Q719" s="10">
        <f t="shared" si="1"/>
        <v>0</v>
      </c>
    </row>
    <row r="720">
      <c r="A720" s="18" t="s">
        <v>1822</v>
      </c>
      <c r="B720" s="18" t="s">
        <v>44</v>
      </c>
      <c r="C720" s="18" t="s">
        <v>64</v>
      </c>
      <c r="D720" s="18" t="s">
        <v>2725</v>
      </c>
      <c r="E720" s="18" t="s">
        <v>2726</v>
      </c>
      <c r="F720" s="18" t="s">
        <v>2487</v>
      </c>
      <c r="G720" s="18">
        <v>17.06</v>
      </c>
      <c r="H720" s="18" t="s">
        <v>120</v>
      </c>
      <c r="I720" s="19">
        <v>4000.0</v>
      </c>
      <c r="J720" s="19">
        <v>4400.0</v>
      </c>
      <c r="K720" s="19"/>
      <c r="L720" s="18"/>
      <c r="M720" s="18"/>
      <c r="N720" s="18"/>
      <c r="O720" s="18" t="s">
        <v>57</v>
      </c>
      <c r="P720" s="18"/>
      <c r="Q720" s="10">
        <f t="shared" si="1"/>
        <v>0</v>
      </c>
    </row>
    <row r="721">
      <c r="A721" s="18" t="s">
        <v>1822</v>
      </c>
      <c r="B721" s="18" t="s">
        <v>44</v>
      </c>
      <c r="C721" s="18" t="s">
        <v>64</v>
      </c>
      <c r="D721" s="18" t="s">
        <v>2727</v>
      </c>
      <c r="E721" s="18" t="s">
        <v>2728</v>
      </c>
      <c r="F721" s="18" t="s">
        <v>2487</v>
      </c>
      <c r="G721" s="18">
        <v>17.06</v>
      </c>
      <c r="H721" s="18" t="s">
        <v>120</v>
      </c>
      <c r="I721" s="19">
        <v>4000.0</v>
      </c>
      <c r="J721" s="19">
        <v>4400.0</v>
      </c>
      <c r="K721" s="19"/>
      <c r="L721" s="18"/>
      <c r="M721" s="18"/>
      <c r="N721" s="18"/>
      <c r="O721" s="18" t="s">
        <v>57</v>
      </c>
      <c r="P721" s="18"/>
      <c r="Q721" s="10">
        <f t="shared" si="1"/>
        <v>0</v>
      </c>
    </row>
    <row r="722">
      <c r="A722" s="18" t="s">
        <v>1822</v>
      </c>
      <c r="B722" s="18" t="s">
        <v>44</v>
      </c>
      <c r="C722" s="18" t="s">
        <v>76</v>
      </c>
      <c r="D722" s="18" t="s">
        <v>2729</v>
      </c>
      <c r="E722" s="18" t="s">
        <v>2730</v>
      </c>
      <c r="F722" s="18" t="s">
        <v>2487</v>
      </c>
      <c r="G722" s="18">
        <v>21.52</v>
      </c>
      <c r="H722" s="18" t="s">
        <v>120</v>
      </c>
      <c r="I722" s="19">
        <v>4200.0</v>
      </c>
      <c r="J722" s="19">
        <v>4650.0</v>
      </c>
      <c r="K722" s="19"/>
      <c r="L722" s="18"/>
      <c r="M722" s="18"/>
      <c r="N722" s="18"/>
      <c r="O722" s="18" t="s">
        <v>57</v>
      </c>
      <c r="P722" s="18"/>
      <c r="Q722" s="10">
        <f t="shared" si="1"/>
        <v>0</v>
      </c>
    </row>
    <row r="723">
      <c r="A723" s="18" t="s">
        <v>1822</v>
      </c>
      <c r="B723" s="18" t="s">
        <v>44</v>
      </c>
      <c r="C723" s="18" t="s">
        <v>64</v>
      </c>
      <c r="D723" s="18" t="s">
        <v>2731</v>
      </c>
      <c r="E723" s="18" t="s">
        <v>2732</v>
      </c>
      <c r="F723" s="18" t="s">
        <v>2487</v>
      </c>
      <c r="G723" s="18">
        <v>17.19</v>
      </c>
      <c r="H723" s="18" t="s">
        <v>120</v>
      </c>
      <c r="I723" s="19">
        <v>4000.0</v>
      </c>
      <c r="J723" s="19">
        <v>4400.0</v>
      </c>
      <c r="K723" s="19"/>
      <c r="L723" s="18"/>
      <c r="M723" s="18"/>
      <c r="N723" s="18"/>
      <c r="O723" s="18" t="s">
        <v>57</v>
      </c>
      <c r="P723" s="18"/>
      <c r="Q723" s="10">
        <f t="shared" si="1"/>
        <v>0</v>
      </c>
    </row>
    <row r="724">
      <c r="A724" s="18" t="s">
        <v>138</v>
      </c>
      <c r="B724" s="18" t="s">
        <v>45</v>
      </c>
      <c r="C724" s="18" t="s">
        <v>45</v>
      </c>
      <c r="D724" s="18" t="s">
        <v>2733</v>
      </c>
      <c r="E724" s="18" t="s">
        <v>2734</v>
      </c>
      <c r="F724" s="18" t="s">
        <v>2487</v>
      </c>
      <c r="G724" s="18">
        <v>9.99</v>
      </c>
      <c r="H724" s="18" t="s">
        <v>45</v>
      </c>
      <c r="I724" s="19">
        <v>1652.0</v>
      </c>
      <c r="J724" s="19">
        <v>2400.0</v>
      </c>
      <c r="K724" s="19">
        <v>2050.0</v>
      </c>
      <c r="L724" s="18"/>
      <c r="M724" s="18"/>
      <c r="N724" s="18"/>
      <c r="O724" s="18" t="s">
        <v>83</v>
      </c>
      <c r="P724" s="18" t="s">
        <v>144</v>
      </c>
      <c r="Q724" s="10">
        <f t="shared" si="1"/>
        <v>0</v>
      </c>
    </row>
    <row r="725">
      <c r="A725" s="18" t="s">
        <v>2735</v>
      </c>
      <c r="B725" s="18" t="s">
        <v>44</v>
      </c>
      <c r="C725" s="18" t="s">
        <v>76</v>
      </c>
      <c r="D725" s="18" t="s">
        <v>2736</v>
      </c>
      <c r="E725" s="18" t="s">
        <v>2737</v>
      </c>
      <c r="F725" s="18" t="s">
        <v>2487</v>
      </c>
      <c r="G725" s="18">
        <v>19.3</v>
      </c>
      <c r="H725" s="18" t="s">
        <v>120</v>
      </c>
      <c r="I725" s="19">
        <v>4700.0</v>
      </c>
      <c r="J725" s="19"/>
      <c r="K725" s="19"/>
      <c r="L725" s="18"/>
      <c r="M725" s="18"/>
      <c r="N725" s="18"/>
      <c r="O725" s="18" t="s">
        <v>57</v>
      </c>
      <c r="P725" s="18"/>
      <c r="Q725" s="10">
        <f t="shared" si="1"/>
        <v>0</v>
      </c>
    </row>
    <row r="726">
      <c r="A726" s="18" t="s">
        <v>2735</v>
      </c>
      <c r="B726" s="18" t="s">
        <v>44</v>
      </c>
      <c r="C726" s="18" t="s">
        <v>133</v>
      </c>
      <c r="D726" s="18" t="s">
        <v>2738</v>
      </c>
      <c r="E726" s="18" t="s">
        <v>2739</v>
      </c>
      <c r="F726" s="18" t="s">
        <v>2487</v>
      </c>
      <c r="G726" s="18">
        <v>13.32</v>
      </c>
      <c r="H726" s="18" t="s">
        <v>56</v>
      </c>
      <c r="I726" s="19">
        <v>3900.0</v>
      </c>
      <c r="J726" s="19"/>
      <c r="K726" s="19"/>
      <c r="L726" s="18"/>
      <c r="M726" s="18"/>
      <c r="N726" s="18"/>
      <c r="O726" s="18" t="s">
        <v>57</v>
      </c>
      <c r="P726" s="18"/>
      <c r="Q726" s="10">
        <f t="shared" si="1"/>
        <v>0</v>
      </c>
    </row>
    <row r="727">
      <c r="A727" s="18" t="s">
        <v>138</v>
      </c>
      <c r="B727" s="18" t="s">
        <v>44</v>
      </c>
      <c r="C727" s="18" t="s">
        <v>76</v>
      </c>
      <c r="D727" s="18" t="s">
        <v>2740</v>
      </c>
      <c r="E727" s="18" t="s">
        <v>2741</v>
      </c>
      <c r="F727" s="18" t="s">
        <v>2487</v>
      </c>
      <c r="G727" s="18">
        <v>21.51</v>
      </c>
      <c r="H727" s="18" t="s">
        <v>168</v>
      </c>
      <c r="I727" s="19">
        <v>4359.0</v>
      </c>
      <c r="J727" s="19">
        <v>6350.0</v>
      </c>
      <c r="K727" s="19">
        <v>5300.0</v>
      </c>
      <c r="L727" s="18"/>
      <c r="M727" s="18"/>
      <c r="N727" s="18"/>
      <c r="O727" s="18" t="s">
        <v>57</v>
      </c>
      <c r="P727" s="18" t="s">
        <v>144</v>
      </c>
      <c r="Q727" s="10">
        <f t="shared" si="1"/>
        <v>0</v>
      </c>
    </row>
    <row r="728">
      <c r="A728" s="18" t="s">
        <v>2735</v>
      </c>
      <c r="B728" s="18" t="s">
        <v>44</v>
      </c>
      <c r="C728" s="18" t="s">
        <v>76</v>
      </c>
      <c r="D728" s="18" t="s">
        <v>2742</v>
      </c>
      <c r="E728" s="18" t="s">
        <v>2743</v>
      </c>
      <c r="F728" s="18" t="s">
        <v>2487</v>
      </c>
      <c r="G728" s="18">
        <v>19.16</v>
      </c>
      <c r="H728" s="18" t="s">
        <v>120</v>
      </c>
      <c r="I728" s="19">
        <v>4700.0</v>
      </c>
      <c r="J728" s="19"/>
      <c r="K728" s="19"/>
      <c r="L728" s="18"/>
      <c r="M728" s="18"/>
      <c r="N728" s="18"/>
      <c r="O728" s="18" t="s">
        <v>41</v>
      </c>
      <c r="P728" s="18"/>
      <c r="Q728" s="10">
        <f t="shared" si="1"/>
        <v>0</v>
      </c>
    </row>
    <row r="729">
      <c r="A729" s="18" t="s">
        <v>2735</v>
      </c>
      <c r="B729" s="18" t="s">
        <v>44</v>
      </c>
      <c r="C729" s="18" t="s">
        <v>133</v>
      </c>
      <c r="D729" s="18" t="s">
        <v>2744</v>
      </c>
      <c r="E729" s="18" t="s">
        <v>2745</v>
      </c>
      <c r="F729" s="18" t="s">
        <v>2487</v>
      </c>
      <c r="G729" s="18">
        <v>14.19</v>
      </c>
      <c r="H729" s="18" t="s">
        <v>56</v>
      </c>
      <c r="I729" s="19">
        <v>3900.0</v>
      </c>
      <c r="J729" s="19"/>
      <c r="K729" s="19"/>
      <c r="L729" s="18"/>
      <c r="M729" s="18"/>
      <c r="N729" s="18"/>
      <c r="O729" s="18" t="s">
        <v>57</v>
      </c>
      <c r="P729" s="18"/>
      <c r="Q729" s="10">
        <f t="shared" si="1"/>
        <v>0</v>
      </c>
    </row>
    <row r="730">
      <c r="A730" s="18" t="s">
        <v>154</v>
      </c>
      <c r="B730" s="18" t="s">
        <v>45</v>
      </c>
      <c r="C730" s="18" t="s">
        <v>45</v>
      </c>
      <c r="D730" s="18" t="s">
        <v>2746</v>
      </c>
      <c r="E730" s="18" t="s">
        <v>2747</v>
      </c>
      <c r="F730" s="18" t="s">
        <v>2487</v>
      </c>
      <c r="G730" s="18">
        <v>13.15</v>
      </c>
      <c r="H730" s="18" t="s">
        <v>45</v>
      </c>
      <c r="I730" s="19">
        <v>3580.0</v>
      </c>
      <c r="J730" s="19">
        <v>5050.0</v>
      </c>
      <c r="K730" s="19">
        <v>4350.0</v>
      </c>
      <c r="L730" s="18"/>
      <c r="M730" s="18"/>
      <c r="N730" s="18"/>
      <c r="O730" s="18" t="s">
        <v>151</v>
      </c>
      <c r="P730" s="18" t="s">
        <v>157</v>
      </c>
      <c r="Q730" s="10">
        <f t="shared" si="1"/>
        <v>0</v>
      </c>
    </row>
    <row r="731">
      <c r="A731" s="18" t="s">
        <v>2735</v>
      </c>
      <c r="B731" s="18" t="s">
        <v>44</v>
      </c>
      <c r="C731" s="18" t="s">
        <v>180</v>
      </c>
      <c r="D731" s="18" t="s">
        <v>2748</v>
      </c>
      <c r="E731" s="18" t="s">
        <v>2749</v>
      </c>
      <c r="F731" s="18" t="s">
        <v>2487</v>
      </c>
      <c r="G731" s="18">
        <v>22.68</v>
      </c>
      <c r="H731" s="18" t="s">
        <v>168</v>
      </c>
      <c r="I731" s="19">
        <v>5000.0</v>
      </c>
      <c r="J731" s="19"/>
      <c r="K731" s="19"/>
      <c r="L731" s="18"/>
      <c r="M731" s="18"/>
      <c r="N731" s="18"/>
      <c r="O731" s="18" t="s">
        <v>41</v>
      </c>
      <c r="P731" s="18"/>
      <c r="Q731" s="10">
        <f t="shared" si="1"/>
        <v>0</v>
      </c>
    </row>
    <row r="732">
      <c r="A732" s="18" t="s">
        <v>2735</v>
      </c>
      <c r="B732" s="18" t="s">
        <v>44</v>
      </c>
      <c r="C732" s="18" t="s">
        <v>76</v>
      </c>
      <c r="D732" s="18" t="s">
        <v>2750</v>
      </c>
      <c r="E732" s="18" t="s">
        <v>2751</v>
      </c>
      <c r="F732" s="18" t="s">
        <v>2487</v>
      </c>
      <c r="G732" s="18">
        <v>20.1</v>
      </c>
      <c r="H732" s="18" t="s">
        <v>120</v>
      </c>
      <c r="I732" s="19">
        <v>4700.0</v>
      </c>
      <c r="J732" s="19"/>
      <c r="K732" s="19"/>
      <c r="L732" s="18"/>
      <c r="M732" s="18"/>
      <c r="N732" s="18"/>
      <c r="O732" s="18" t="s">
        <v>41</v>
      </c>
      <c r="P732" s="18"/>
      <c r="Q732" s="10">
        <f t="shared" si="1"/>
        <v>0</v>
      </c>
    </row>
    <row r="733">
      <c r="A733" s="18" t="s">
        <v>2735</v>
      </c>
      <c r="B733" s="18" t="s">
        <v>44</v>
      </c>
      <c r="C733" s="18" t="s">
        <v>53</v>
      </c>
      <c r="D733" s="18" t="s">
        <v>2752</v>
      </c>
      <c r="E733" s="18" t="s">
        <v>2753</v>
      </c>
      <c r="F733" s="18" t="s">
        <v>2487</v>
      </c>
      <c r="G733" s="18">
        <v>15.13</v>
      </c>
      <c r="H733" s="18" t="s">
        <v>56</v>
      </c>
      <c r="I733" s="19">
        <v>4200.0</v>
      </c>
      <c r="J733" s="19"/>
      <c r="K733" s="19"/>
      <c r="L733" s="18"/>
      <c r="M733" s="18"/>
      <c r="N733" s="18"/>
      <c r="O733" s="18" t="s">
        <v>41</v>
      </c>
      <c r="P733" s="18"/>
      <c r="Q733" s="10">
        <f t="shared" si="1"/>
        <v>0</v>
      </c>
    </row>
    <row r="734">
      <c r="A734" s="18" t="s">
        <v>2735</v>
      </c>
      <c r="B734" s="18" t="s">
        <v>44</v>
      </c>
      <c r="C734" s="18" t="s">
        <v>76</v>
      </c>
      <c r="D734" s="18" t="s">
        <v>2754</v>
      </c>
      <c r="E734" s="18" t="s">
        <v>2755</v>
      </c>
      <c r="F734" s="18" t="s">
        <v>2487</v>
      </c>
      <c r="G734" s="18">
        <v>19.87</v>
      </c>
      <c r="H734" s="18" t="s">
        <v>120</v>
      </c>
      <c r="I734" s="19">
        <v>4700.0</v>
      </c>
      <c r="J734" s="19"/>
      <c r="K734" s="19"/>
      <c r="L734" s="18"/>
      <c r="M734" s="18"/>
      <c r="N734" s="18"/>
      <c r="O734" s="18" t="s">
        <v>41</v>
      </c>
      <c r="P734" s="18"/>
      <c r="Q734" s="10">
        <f t="shared" si="1"/>
        <v>0</v>
      </c>
    </row>
    <row r="735">
      <c r="A735" s="18" t="s">
        <v>2735</v>
      </c>
      <c r="B735" s="18" t="s">
        <v>44</v>
      </c>
      <c r="C735" s="18" t="s">
        <v>76</v>
      </c>
      <c r="D735" s="18" t="s">
        <v>2756</v>
      </c>
      <c r="E735" s="18" t="s">
        <v>2757</v>
      </c>
      <c r="F735" s="18" t="s">
        <v>2487</v>
      </c>
      <c r="G735" s="18">
        <v>20.41</v>
      </c>
      <c r="H735" s="18" t="s">
        <v>120</v>
      </c>
      <c r="I735" s="19">
        <v>4700.0</v>
      </c>
      <c r="J735" s="19"/>
      <c r="K735" s="19"/>
      <c r="L735" s="18"/>
      <c r="M735" s="18"/>
      <c r="N735" s="18"/>
      <c r="O735" s="18" t="s">
        <v>41</v>
      </c>
      <c r="P735" s="18"/>
      <c r="Q735" s="10">
        <f t="shared" si="1"/>
        <v>0</v>
      </c>
    </row>
    <row r="736">
      <c r="A736" s="18" t="s">
        <v>2735</v>
      </c>
      <c r="B736" s="18" t="s">
        <v>44</v>
      </c>
      <c r="C736" s="18" t="s">
        <v>64</v>
      </c>
      <c r="D736" s="18" t="s">
        <v>2758</v>
      </c>
      <c r="E736" s="18" t="s">
        <v>2759</v>
      </c>
      <c r="F736" s="18" t="s">
        <v>2487</v>
      </c>
      <c r="G736" s="18">
        <v>17.02</v>
      </c>
      <c r="H736" s="18" t="s">
        <v>120</v>
      </c>
      <c r="I736" s="19">
        <v>4400.0</v>
      </c>
      <c r="J736" s="19"/>
      <c r="K736" s="19"/>
      <c r="L736" s="18"/>
      <c r="M736" s="18"/>
      <c r="N736" s="18"/>
      <c r="O736" s="18" t="s">
        <v>41</v>
      </c>
      <c r="P736" s="18"/>
      <c r="Q736" s="10">
        <f t="shared" si="1"/>
        <v>0</v>
      </c>
    </row>
    <row r="737">
      <c r="A737" s="18" t="s">
        <v>2735</v>
      </c>
      <c r="B737" s="18" t="s">
        <v>44</v>
      </c>
      <c r="C737" s="18" t="s">
        <v>76</v>
      </c>
      <c r="D737" s="18" t="s">
        <v>2760</v>
      </c>
      <c r="E737" s="18" t="s">
        <v>2761</v>
      </c>
      <c r="F737" s="18" t="s">
        <v>2487</v>
      </c>
      <c r="G737" s="18">
        <v>19.42</v>
      </c>
      <c r="H737" s="18" t="s">
        <v>120</v>
      </c>
      <c r="I737" s="19">
        <v>4700.0</v>
      </c>
      <c r="J737" s="19"/>
      <c r="K737" s="19"/>
      <c r="L737" s="18"/>
      <c r="M737" s="18"/>
      <c r="N737" s="18"/>
      <c r="O737" s="18" t="s">
        <v>57</v>
      </c>
      <c r="P737" s="18"/>
      <c r="Q737" s="10">
        <f t="shared" si="1"/>
        <v>0</v>
      </c>
    </row>
    <row r="738">
      <c r="A738" s="18" t="s">
        <v>2735</v>
      </c>
      <c r="B738" s="18" t="s">
        <v>44</v>
      </c>
      <c r="C738" s="18" t="s">
        <v>76</v>
      </c>
      <c r="D738" s="18" t="s">
        <v>2762</v>
      </c>
      <c r="E738" s="18" t="s">
        <v>2763</v>
      </c>
      <c r="F738" s="18" t="s">
        <v>2487</v>
      </c>
      <c r="G738" s="18">
        <v>19.84</v>
      </c>
      <c r="H738" s="18" t="s">
        <v>120</v>
      </c>
      <c r="I738" s="19">
        <v>4700.0</v>
      </c>
      <c r="J738" s="19"/>
      <c r="K738" s="19"/>
      <c r="L738" s="18"/>
      <c r="M738" s="18"/>
      <c r="N738" s="18"/>
      <c r="O738" s="18" t="s">
        <v>57</v>
      </c>
      <c r="P738" s="18"/>
      <c r="Q738" s="10">
        <f t="shared" si="1"/>
        <v>0</v>
      </c>
    </row>
    <row r="739">
      <c r="A739" s="18" t="s">
        <v>2735</v>
      </c>
      <c r="B739" s="18" t="s">
        <v>44</v>
      </c>
      <c r="C739" s="18" t="s">
        <v>76</v>
      </c>
      <c r="D739" s="18" t="s">
        <v>2764</v>
      </c>
      <c r="E739" s="18" t="s">
        <v>2765</v>
      </c>
      <c r="F739" s="18" t="s">
        <v>2487</v>
      </c>
      <c r="G739" s="18">
        <v>20.24</v>
      </c>
      <c r="H739" s="18" t="s">
        <v>120</v>
      </c>
      <c r="I739" s="19">
        <v>4700.0</v>
      </c>
      <c r="J739" s="19"/>
      <c r="K739" s="19"/>
      <c r="L739" s="18"/>
      <c r="M739" s="18"/>
      <c r="N739" s="18"/>
      <c r="O739" s="18" t="s">
        <v>57</v>
      </c>
      <c r="P739" s="18"/>
      <c r="Q739" s="10">
        <f t="shared" si="1"/>
        <v>0</v>
      </c>
    </row>
    <row r="740">
      <c r="A740" s="18" t="s">
        <v>2735</v>
      </c>
      <c r="B740" s="18" t="s">
        <v>44</v>
      </c>
      <c r="C740" s="18" t="s">
        <v>151</v>
      </c>
      <c r="D740" s="18" t="s">
        <v>2766</v>
      </c>
      <c r="E740" s="18" t="s">
        <v>2767</v>
      </c>
      <c r="F740" s="18" t="s">
        <v>2487</v>
      </c>
      <c r="G740" s="18">
        <v>26.0</v>
      </c>
      <c r="H740" s="18" t="s">
        <v>168</v>
      </c>
      <c r="I740" s="19">
        <v>5300.0</v>
      </c>
      <c r="J740" s="19"/>
      <c r="K740" s="19"/>
      <c r="L740" s="18"/>
      <c r="M740" s="18"/>
      <c r="N740" s="18"/>
      <c r="O740" s="18" t="s">
        <v>57</v>
      </c>
      <c r="P740" s="18"/>
      <c r="Q740" s="10">
        <f t="shared" si="1"/>
        <v>0</v>
      </c>
    </row>
    <row r="741">
      <c r="A741" s="18" t="s">
        <v>2735</v>
      </c>
      <c r="B741" s="18" t="s">
        <v>44</v>
      </c>
      <c r="C741" s="18" t="s">
        <v>76</v>
      </c>
      <c r="D741" s="18" t="s">
        <v>2768</v>
      </c>
      <c r="E741" s="18" t="s">
        <v>2769</v>
      </c>
      <c r="F741" s="18" t="s">
        <v>2487</v>
      </c>
      <c r="G741" s="18">
        <v>20.16</v>
      </c>
      <c r="H741" s="18" t="s">
        <v>120</v>
      </c>
      <c r="I741" s="19">
        <v>4700.0</v>
      </c>
      <c r="J741" s="19"/>
      <c r="K741" s="19"/>
      <c r="L741" s="18"/>
      <c r="M741" s="18"/>
      <c r="N741" s="18"/>
      <c r="O741" s="18" t="s">
        <v>57</v>
      </c>
      <c r="P741" s="18"/>
      <c r="Q741" s="10">
        <f t="shared" si="1"/>
        <v>0</v>
      </c>
    </row>
    <row r="742">
      <c r="A742" s="18" t="s">
        <v>2735</v>
      </c>
      <c r="B742" s="18" t="s">
        <v>44</v>
      </c>
      <c r="C742" s="18" t="s">
        <v>133</v>
      </c>
      <c r="D742" s="18" t="s">
        <v>2770</v>
      </c>
      <c r="E742" s="18" t="s">
        <v>2771</v>
      </c>
      <c r="F742" s="18" t="s">
        <v>2487</v>
      </c>
      <c r="G742" s="18">
        <v>14.92</v>
      </c>
      <c r="H742" s="18" t="s">
        <v>56</v>
      </c>
      <c r="I742" s="19">
        <v>3900.0</v>
      </c>
      <c r="J742" s="19"/>
      <c r="K742" s="19"/>
      <c r="L742" s="18"/>
      <c r="M742" s="18"/>
      <c r="N742" s="18"/>
      <c r="O742" s="18" t="s">
        <v>57</v>
      </c>
      <c r="P742" s="18"/>
      <c r="Q742" s="10">
        <f t="shared" si="1"/>
        <v>0</v>
      </c>
    </row>
    <row r="743">
      <c r="A743" s="18" t="s">
        <v>2735</v>
      </c>
      <c r="B743" s="18" t="s">
        <v>44</v>
      </c>
      <c r="C743" s="18" t="s">
        <v>133</v>
      </c>
      <c r="D743" s="18" t="s">
        <v>2772</v>
      </c>
      <c r="E743" s="18" t="s">
        <v>2773</v>
      </c>
      <c r="F743" s="18" t="s">
        <v>2487</v>
      </c>
      <c r="G743" s="18">
        <v>13.8</v>
      </c>
      <c r="H743" s="18" t="s">
        <v>56</v>
      </c>
      <c r="I743" s="19">
        <v>3900.0</v>
      </c>
      <c r="J743" s="19"/>
      <c r="K743" s="19"/>
      <c r="L743" s="18"/>
      <c r="M743" s="18"/>
      <c r="N743" s="18"/>
      <c r="O743" s="18" t="s">
        <v>57</v>
      </c>
      <c r="P743" s="18"/>
      <c r="Q743" s="10">
        <f t="shared" si="1"/>
        <v>0</v>
      </c>
    </row>
    <row r="744">
      <c r="A744" s="18" t="s">
        <v>2735</v>
      </c>
      <c r="B744" s="18" t="s">
        <v>44</v>
      </c>
      <c r="C744" s="18" t="s">
        <v>180</v>
      </c>
      <c r="D744" s="18" t="s">
        <v>2774</v>
      </c>
      <c r="E744" s="18" t="s">
        <v>2775</v>
      </c>
      <c r="F744" s="18" t="s">
        <v>2487</v>
      </c>
      <c r="G744" s="18">
        <v>22.28</v>
      </c>
      <c r="H744" s="18" t="s">
        <v>168</v>
      </c>
      <c r="I744" s="19">
        <v>5000.0</v>
      </c>
      <c r="J744" s="19"/>
      <c r="K744" s="19"/>
      <c r="L744" s="18"/>
      <c r="M744" s="18"/>
      <c r="N744" s="18"/>
      <c r="O744" s="18" t="s">
        <v>57</v>
      </c>
      <c r="P744" s="18"/>
      <c r="Q744" s="10">
        <f t="shared" si="1"/>
        <v>0</v>
      </c>
    </row>
    <row r="745">
      <c r="A745" s="18" t="s">
        <v>2735</v>
      </c>
      <c r="B745" s="18" t="s">
        <v>44</v>
      </c>
      <c r="C745" s="18" t="s">
        <v>180</v>
      </c>
      <c r="D745" s="18" t="s">
        <v>2776</v>
      </c>
      <c r="E745" s="18" t="s">
        <v>2777</v>
      </c>
      <c r="F745" s="18" t="s">
        <v>2487</v>
      </c>
      <c r="G745" s="18">
        <v>22.13</v>
      </c>
      <c r="H745" s="18" t="s">
        <v>168</v>
      </c>
      <c r="I745" s="19">
        <v>5000.0</v>
      </c>
      <c r="J745" s="19"/>
      <c r="K745" s="19"/>
      <c r="L745" s="18"/>
      <c r="M745" s="18"/>
      <c r="N745" s="18"/>
      <c r="O745" s="18" t="s">
        <v>41</v>
      </c>
      <c r="P745" s="18"/>
      <c r="Q745" s="10">
        <f t="shared" si="1"/>
        <v>0</v>
      </c>
    </row>
    <row r="746">
      <c r="A746" s="18" t="s">
        <v>138</v>
      </c>
      <c r="B746" s="18" t="s">
        <v>44</v>
      </c>
      <c r="C746" s="18" t="s">
        <v>113</v>
      </c>
      <c r="D746" s="18" t="s">
        <v>2778</v>
      </c>
      <c r="E746" s="18" t="s">
        <v>2779</v>
      </c>
      <c r="F746" s="18" t="s">
        <v>2487</v>
      </c>
      <c r="G746" s="18">
        <v>14.22</v>
      </c>
      <c r="H746" s="18" t="s">
        <v>116</v>
      </c>
      <c r="I746" s="19">
        <v>2482.0</v>
      </c>
      <c r="J746" s="19">
        <v>3600.0</v>
      </c>
      <c r="K746" s="19">
        <v>3000.0</v>
      </c>
      <c r="L746" s="18"/>
      <c r="M746" s="18"/>
      <c r="N746" s="18"/>
      <c r="O746" s="18" t="s">
        <v>41</v>
      </c>
      <c r="P746" s="18" t="s">
        <v>144</v>
      </c>
      <c r="Q746" s="10">
        <f t="shared" si="1"/>
        <v>0</v>
      </c>
    </row>
    <row r="747">
      <c r="A747" s="18" t="s">
        <v>2780</v>
      </c>
      <c r="B747" s="18" t="s">
        <v>36</v>
      </c>
      <c r="C747" s="18" t="s">
        <v>37</v>
      </c>
      <c r="D747" s="18" t="s">
        <v>2781</v>
      </c>
      <c r="E747" s="18" t="s">
        <v>2782</v>
      </c>
      <c r="F747" s="18" t="s">
        <v>2487</v>
      </c>
      <c r="G747" s="18">
        <v>52.93</v>
      </c>
      <c r="H747" s="18" t="s">
        <v>168</v>
      </c>
      <c r="I747" s="19">
        <v>4760.0</v>
      </c>
      <c r="J747" s="19">
        <v>5750.0</v>
      </c>
      <c r="K747" s="19"/>
      <c r="L747" s="18"/>
      <c r="M747" s="18"/>
      <c r="N747" s="18"/>
      <c r="O747" s="18"/>
      <c r="P747" s="18" t="s">
        <v>144</v>
      </c>
      <c r="Q747" s="10">
        <f t="shared" si="1"/>
        <v>0</v>
      </c>
    </row>
    <row r="748">
      <c r="A748" s="18" t="s">
        <v>2780</v>
      </c>
      <c r="B748" s="18" t="s">
        <v>36</v>
      </c>
      <c r="C748" s="18" t="s">
        <v>37</v>
      </c>
      <c r="D748" s="18" t="s">
        <v>2783</v>
      </c>
      <c r="E748" s="18" t="s">
        <v>2784</v>
      </c>
      <c r="F748" s="18" t="s">
        <v>2487</v>
      </c>
      <c r="G748" s="18">
        <v>49.94</v>
      </c>
      <c r="H748" s="18" t="s">
        <v>168</v>
      </c>
      <c r="I748" s="19">
        <v>4760.0</v>
      </c>
      <c r="J748" s="19">
        <v>5750.0</v>
      </c>
      <c r="K748" s="19"/>
      <c r="L748" s="18"/>
      <c r="M748" s="18"/>
      <c r="N748" s="18"/>
      <c r="O748" s="18"/>
      <c r="P748" s="18" t="s">
        <v>144</v>
      </c>
      <c r="Q748" s="10">
        <f t="shared" si="1"/>
        <v>0</v>
      </c>
    </row>
    <row r="749">
      <c r="A749" s="18" t="s">
        <v>2780</v>
      </c>
      <c r="B749" s="18" t="s">
        <v>36</v>
      </c>
      <c r="C749" s="18" t="s">
        <v>37</v>
      </c>
      <c r="D749" s="18" t="s">
        <v>2785</v>
      </c>
      <c r="E749" s="18" t="s">
        <v>2786</v>
      </c>
      <c r="F749" s="18" t="s">
        <v>2487</v>
      </c>
      <c r="G749" s="18">
        <v>49.77</v>
      </c>
      <c r="H749" s="18" t="s">
        <v>168</v>
      </c>
      <c r="I749" s="19">
        <v>4760.0</v>
      </c>
      <c r="J749" s="19">
        <v>5750.0</v>
      </c>
      <c r="K749" s="19"/>
      <c r="L749" s="18"/>
      <c r="M749" s="18"/>
      <c r="N749" s="18"/>
      <c r="O749" s="18"/>
      <c r="P749" s="18" t="s">
        <v>144</v>
      </c>
      <c r="Q749" s="10">
        <f t="shared" si="1"/>
        <v>0</v>
      </c>
    </row>
    <row r="750">
      <c r="A750" s="18" t="s">
        <v>2780</v>
      </c>
      <c r="B750" s="18" t="s">
        <v>36</v>
      </c>
      <c r="C750" s="18" t="s">
        <v>37</v>
      </c>
      <c r="D750" s="18" t="s">
        <v>2787</v>
      </c>
      <c r="E750" s="18" t="s">
        <v>2788</v>
      </c>
      <c r="F750" s="18" t="s">
        <v>2487</v>
      </c>
      <c r="G750" s="18">
        <v>52.88</v>
      </c>
      <c r="H750" s="18" t="s">
        <v>168</v>
      </c>
      <c r="I750" s="19">
        <v>4760.0</v>
      </c>
      <c r="J750" s="19">
        <v>5750.0</v>
      </c>
      <c r="K750" s="19"/>
      <c r="L750" s="18"/>
      <c r="M750" s="18"/>
      <c r="N750" s="18"/>
      <c r="O750" s="18"/>
      <c r="P750" s="18" t="s">
        <v>144</v>
      </c>
      <c r="Q750" s="10">
        <f t="shared" si="1"/>
        <v>0</v>
      </c>
    </row>
    <row r="751">
      <c r="A751" s="18" t="s">
        <v>2780</v>
      </c>
      <c r="B751" s="18" t="s">
        <v>36</v>
      </c>
      <c r="C751" s="18" t="s">
        <v>37</v>
      </c>
      <c r="D751" s="18" t="s">
        <v>2789</v>
      </c>
      <c r="E751" s="18" t="s">
        <v>2790</v>
      </c>
      <c r="F751" s="18" t="s">
        <v>2487</v>
      </c>
      <c r="G751" s="18">
        <v>52.68</v>
      </c>
      <c r="H751" s="18" t="s">
        <v>168</v>
      </c>
      <c r="I751" s="19">
        <v>4760.0</v>
      </c>
      <c r="J751" s="19">
        <v>5750.0</v>
      </c>
      <c r="K751" s="19"/>
      <c r="L751" s="18"/>
      <c r="M751" s="18"/>
      <c r="N751" s="18"/>
      <c r="O751" s="18"/>
      <c r="P751" s="18" t="s">
        <v>144</v>
      </c>
      <c r="Q751" s="10">
        <f t="shared" si="1"/>
        <v>0</v>
      </c>
    </row>
    <row r="752">
      <c r="A752" s="18" t="s">
        <v>2780</v>
      </c>
      <c r="B752" s="18" t="s">
        <v>36</v>
      </c>
      <c r="C752" s="18" t="s">
        <v>37</v>
      </c>
      <c r="D752" s="18" t="s">
        <v>2791</v>
      </c>
      <c r="E752" s="18" t="s">
        <v>2792</v>
      </c>
      <c r="F752" s="18" t="s">
        <v>2487</v>
      </c>
      <c r="G752" s="18">
        <v>51.32</v>
      </c>
      <c r="H752" s="18" t="s">
        <v>168</v>
      </c>
      <c r="I752" s="19">
        <v>4760.0</v>
      </c>
      <c r="J752" s="19">
        <v>5750.0</v>
      </c>
      <c r="K752" s="19"/>
      <c r="L752" s="18"/>
      <c r="M752" s="18"/>
      <c r="N752" s="18"/>
      <c r="O752" s="18"/>
      <c r="P752" s="18" t="s">
        <v>144</v>
      </c>
      <c r="Q752" s="10">
        <f t="shared" si="1"/>
        <v>0</v>
      </c>
    </row>
    <row r="753">
      <c r="A753" s="18" t="s">
        <v>2780</v>
      </c>
      <c r="B753" s="18" t="s">
        <v>36</v>
      </c>
      <c r="C753" s="18" t="s">
        <v>37</v>
      </c>
      <c r="D753" s="18" t="s">
        <v>2793</v>
      </c>
      <c r="E753" s="18" t="s">
        <v>2794</v>
      </c>
      <c r="F753" s="18" t="s">
        <v>2487</v>
      </c>
      <c r="G753" s="18">
        <v>51.56</v>
      </c>
      <c r="H753" s="18" t="s">
        <v>168</v>
      </c>
      <c r="I753" s="19">
        <v>4760.0</v>
      </c>
      <c r="J753" s="19">
        <v>5750.0</v>
      </c>
      <c r="K753" s="19"/>
      <c r="L753" s="18"/>
      <c r="M753" s="18"/>
      <c r="N753" s="18"/>
      <c r="O753" s="18"/>
      <c r="P753" s="18" t="s">
        <v>144</v>
      </c>
      <c r="Q753" s="10">
        <f t="shared" si="1"/>
        <v>0</v>
      </c>
    </row>
    <row r="754">
      <c r="A754" s="18" t="s">
        <v>2780</v>
      </c>
      <c r="B754" s="18" t="s">
        <v>36</v>
      </c>
      <c r="C754" s="18" t="s">
        <v>37</v>
      </c>
      <c r="D754" s="18" t="s">
        <v>2795</v>
      </c>
      <c r="E754" s="18" t="s">
        <v>2796</v>
      </c>
      <c r="F754" s="18" t="s">
        <v>2487</v>
      </c>
      <c r="G754" s="18">
        <v>52.68</v>
      </c>
      <c r="H754" s="18" t="s">
        <v>168</v>
      </c>
      <c r="I754" s="19">
        <v>4760.0</v>
      </c>
      <c r="J754" s="19">
        <v>5750.0</v>
      </c>
      <c r="K754" s="19"/>
      <c r="L754" s="18"/>
      <c r="M754" s="18"/>
      <c r="N754" s="18"/>
      <c r="O754" s="18"/>
      <c r="P754" s="18" t="s">
        <v>144</v>
      </c>
      <c r="Q754" s="10">
        <f t="shared" si="1"/>
        <v>0</v>
      </c>
    </row>
    <row r="755">
      <c r="A755" s="18" t="s">
        <v>2780</v>
      </c>
      <c r="B755" s="18" t="s">
        <v>36</v>
      </c>
      <c r="C755" s="18" t="s">
        <v>37</v>
      </c>
      <c r="D755" s="18" t="s">
        <v>2797</v>
      </c>
      <c r="E755" s="18" t="s">
        <v>2798</v>
      </c>
      <c r="F755" s="18" t="s">
        <v>2487</v>
      </c>
      <c r="G755" s="18">
        <v>52.68</v>
      </c>
      <c r="H755" s="18" t="s">
        <v>168</v>
      </c>
      <c r="I755" s="19">
        <v>4760.0</v>
      </c>
      <c r="J755" s="19">
        <v>5750.0</v>
      </c>
      <c r="K755" s="19"/>
      <c r="L755" s="18"/>
      <c r="M755" s="18"/>
      <c r="N755" s="18"/>
      <c r="O755" s="18"/>
      <c r="P755" s="18" t="s">
        <v>144</v>
      </c>
      <c r="Q755" s="10">
        <f t="shared" si="1"/>
        <v>0</v>
      </c>
    </row>
    <row r="756">
      <c r="A756" s="18" t="s">
        <v>2780</v>
      </c>
      <c r="B756" s="18" t="s">
        <v>36</v>
      </c>
      <c r="C756" s="18" t="s">
        <v>37</v>
      </c>
      <c r="D756" s="18" t="s">
        <v>2799</v>
      </c>
      <c r="E756" s="18" t="s">
        <v>2800</v>
      </c>
      <c r="F756" s="18" t="s">
        <v>2487</v>
      </c>
      <c r="G756" s="18">
        <v>49.81</v>
      </c>
      <c r="H756" s="18" t="s">
        <v>168</v>
      </c>
      <c r="I756" s="19">
        <v>4760.0</v>
      </c>
      <c r="J756" s="19">
        <v>5750.0</v>
      </c>
      <c r="K756" s="19"/>
      <c r="L756" s="18"/>
      <c r="M756" s="18"/>
      <c r="N756" s="18"/>
      <c r="O756" s="18"/>
      <c r="P756" s="18" t="s">
        <v>144</v>
      </c>
      <c r="Q756" s="10">
        <f t="shared" si="1"/>
        <v>0</v>
      </c>
    </row>
    <row r="757">
      <c r="A757" s="18" t="s">
        <v>2780</v>
      </c>
      <c r="B757" s="18" t="s">
        <v>36</v>
      </c>
      <c r="C757" s="18" t="s">
        <v>37</v>
      </c>
      <c r="D757" s="18" t="s">
        <v>2801</v>
      </c>
      <c r="E757" s="18" t="s">
        <v>2802</v>
      </c>
      <c r="F757" s="18" t="s">
        <v>2487</v>
      </c>
      <c r="G757" s="18">
        <v>49.75</v>
      </c>
      <c r="H757" s="18" t="s">
        <v>168</v>
      </c>
      <c r="I757" s="19">
        <v>4760.0</v>
      </c>
      <c r="J757" s="19">
        <v>5750.0</v>
      </c>
      <c r="K757" s="19"/>
      <c r="L757" s="18"/>
      <c r="M757" s="18"/>
      <c r="N757" s="18"/>
      <c r="O757" s="18"/>
      <c r="P757" s="18" t="s">
        <v>144</v>
      </c>
      <c r="Q757" s="10">
        <f t="shared" si="1"/>
        <v>0</v>
      </c>
    </row>
    <row r="758">
      <c r="A758" s="18" t="s">
        <v>2780</v>
      </c>
      <c r="B758" s="18" t="s">
        <v>36</v>
      </c>
      <c r="C758" s="18" t="s">
        <v>37</v>
      </c>
      <c r="D758" s="18" t="s">
        <v>2803</v>
      </c>
      <c r="E758" s="18" t="s">
        <v>2804</v>
      </c>
      <c r="F758" s="18" t="s">
        <v>2487</v>
      </c>
      <c r="G758" s="18">
        <v>51.29</v>
      </c>
      <c r="H758" s="18" t="s">
        <v>168</v>
      </c>
      <c r="I758" s="19">
        <v>4760.0</v>
      </c>
      <c r="J758" s="19">
        <v>5750.0</v>
      </c>
      <c r="K758" s="19"/>
      <c r="L758" s="18"/>
      <c r="M758" s="18"/>
      <c r="N758" s="18"/>
      <c r="O758" s="18"/>
      <c r="P758" s="18" t="s">
        <v>144</v>
      </c>
      <c r="Q758" s="10">
        <f t="shared" si="1"/>
        <v>0</v>
      </c>
    </row>
    <row r="759">
      <c r="A759" s="18" t="s">
        <v>49</v>
      </c>
      <c r="B759" s="18" t="s">
        <v>44</v>
      </c>
      <c r="C759" s="18" t="s">
        <v>76</v>
      </c>
      <c r="D759" s="18" t="s">
        <v>2805</v>
      </c>
      <c r="E759" s="18" t="s">
        <v>2806</v>
      </c>
      <c r="F759" s="18" t="s">
        <v>2487</v>
      </c>
      <c r="G759" s="18">
        <v>19.11</v>
      </c>
      <c r="H759" s="18" t="s">
        <v>120</v>
      </c>
      <c r="I759" s="19">
        <v>7320.0</v>
      </c>
      <c r="J759" s="19">
        <v>8450.0</v>
      </c>
      <c r="K759" s="19">
        <v>8850.0</v>
      </c>
      <c r="L759" s="18"/>
      <c r="M759" s="18"/>
      <c r="N759" s="18"/>
      <c r="O759" s="18" t="s">
        <v>57</v>
      </c>
      <c r="P759" s="18" t="s">
        <v>48</v>
      </c>
      <c r="Q759" s="10">
        <f t="shared" si="1"/>
        <v>0</v>
      </c>
    </row>
    <row r="760">
      <c r="A760" s="18" t="s">
        <v>49</v>
      </c>
      <c r="B760" s="18" t="s">
        <v>45</v>
      </c>
      <c r="C760" s="18" t="s">
        <v>50</v>
      </c>
      <c r="D760" s="18" t="s">
        <v>2807</v>
      </c>
      <c r="E760" s="18" t="s">
        <v>2808</v>
      </c>
      <c r="F760" s="18" t="s">
        <v>2487</v>
      </c>
      <c r="G760" s="18">
        <v>10.67</v>
      </c>
      <c r="H760" s="18" t="s">
        <v>40</v>
      </c>
      <c r="I760" s="19">
        <v>3551.0</v>
      </c>
      <c r="J760" s="19">
        <v>4100.0</v>
      </c>
      <c r="K760" s="19">
        <v>4350.0</v>
      </c>
      <c r="L760" s="18"/>
      <c r="M760" s="18"/>
      <c r="N760" s="18"/>
      <c r="O760" s="18" t="s">
        <v>57</v>
      </c>
      <c r="P760" s="18" t="s">
        <v>48</v>
      </c>
      <c r="Q760" s="10">
        <f t="shared" si="1"/>
        <v>0</v>
      </c>
    </row>
    <row r="761">
      <c r="A761" s="18" t="s">
        <v>49</v>
      </c>
      <c r="B761" s="18" t="s">
        <v>45</v>
      </c>
      <c r="C761" s="18" t="s">
        <v>50</v>
      </c>
      <c r="D761" s="18" t="s">
        <v>2809</v>
      </c>
      <c r="E761" s="18" t="s">
        <v>2810</v>
      </c>
      <c r="F761" s="18" t="s">
        <v>2487</v>
      </c>
      <c r="G761" s="18">
        <v>8.7</v>
      </c>
      <c r="H761" s="18" t="s">
        <v>40</v>
      </c>
      <c r="I761" s="19">
        <v>3551.0</v>
      </c>
      <c r="J761" s="19">
        <v>4100.0</v>
      </c>
      <c r="K761" s="19">
        <v>4350.0</v>
      </c>
      <c r="L761" s="18"/>
      <c r="M761" s="18"/>
      <c r="N761" s="18"/>
      <c r="O761" s="18" t="s">
        <v>57</v>
      </c>
      <c r="P761" s="18" t="s">
        <v>48</v>
      </c>
      <c r="Q761" s="10">
        <f t="shared" si="1"/>
        <v>0</v>
      </c>
    </row>
    <row r="762">
      <c r="A762" s="18" t="s">
        <v>49</v>
      </c>
      <c r="B762" s="18" t="s">
        <v>44</v>
      </c>
      <c r="C762" s="18" t="s">
        <v>76</v>
      </c>
      <c r="D762" s="18" t="s">
        <v>2811</v>
      </c>
      <c r="E762" s="18" t="s">
        <v>2812</v>
      </c>
      <c r="F762" s="18" t="s">
        <v>2487</v>
      </c>
      <c r="G762" s="18">
        <v>21.13</v>
      </c>
      <c r="H762" s="18" t="s">
        <v>120</v>
      </c>
      <c r="I762" s="19">
        <v>7320.0</v>
      </c>
      <c r="J762" s="19">
        <v>8450.0</v>
      </c>
      <c r="K762" s="19">
        <v>8850.0</v>
      </c>
      <c r="L762" s="18"/>
      <c r="M762" s="18"/>
      <c r="N762" s="18"/>
      <c r="O762" s="18" t="s">
        <v>57</v>
      </c>
      <c r="P762" s="18" t="s">
        <v>48</v>
      </c>
      <c r="Q762" s="10">
        <f t="shared" si="1"/>
        <v>0</v>
      </c>
    </row>
    <row r="763">
      <c r="A763" s="18" t="s">
        <v>171</v>
      </c>
      <c r="B763" s="18" t="s">
        <v>44</v>
      </c>
      <c r="C763" s="18" t="s">
        <v>53</v>
      </c>
      <c r="D763" s="18" t="s">
        <v>2813</v>
      </c>
      <c r="E763" s="18" t="s">
        <v>2814</v>
      </c>
      <c r="F763" s="18" t="s">
        <v>2487</v>
      </c>
      <c r="G763" s="18">
        <v>15.13</v>
      </c>
      <c r="H763" s="18" t="s">
        <v>56</v>
      </c>
      <c r="I763" s="19">
        <v>4250.0</v>
      </c>
      <c r="J763" s="19">
        <v>4900.0</v>
      </c>
      <c r="K763" s="19">
        <v>5100.0</v>
      </c>
      <c r="L763" s="18"/>
      <c r="M763" s="18"/>
      <c r="N763" s="18"/>
      <c r="O763" s="18" t="s">
        <v>117</v>
      </c>
      <c r="P763" s="18"/>
      <c r="Q763" s="10">
        <f t="shared" si="1"/>
        <v>0</v>
      </c>
    </row>
    <row r="764">
      <c r="A764" s="18" t="s">
        <v>171</v>
      </c>
      <c r="B764" s="18" t="s">
        <v>44</v>
      </c>
      <c r="C764" s="18" t="s">
        <v>53</v>
      </c>
      <c r="D764" s="18" t="s">
        <v>2815</v>
      </c>
      <c r="E764" s="18" t="s">
        <v>2816</v>
      </c>
      <c r="F764" s="18" t="s">
        <v>2487</v>
      </c>
      <c r="G764" s="18">
        <v>15.04</v>
      </c>
      <c r="H764" s="18" t="s">
        <v>56</v>
      </c>
      <c r="I764" s="19">
        <v>4250.0</v>
      </c>
      <c r="J764" s="19">
        <v>4900.0</v>
      </c>
      <c r="K764" s="19">
        <v>5100.0</v>
      </c>
      <c r="L764" s="18"/>
      <c r="M764" s="18"/>
      <c r="N764" s="18"/>
      <c r="O764" s="18" t="s">
        <v>117</v>
      </c>
      <c r="P764" s="18"/>
      <c r="Q764" s="10">
        <f t="shared" si="1"/>
        <v>0</v>
      </c>
    </row>
    <row r="765">
      <c r="A765" s="18" t="s">
        <v>171</v>
      </c>
      <c r="B765" s="18" t="s">
        <v>44</v>
      </c>
      <c r="C765" s="18" t="s">
        <v>113</v>
      </c>
      <c r="D765" s="18" t="s">
        <v>2817</v>
      </c>
      <c r="E765" s="18" t="s">
        <v>2818</v>
      </c>
      <c r="F765" s="18" t="s">
        <v>2487</v>
      </c>
      <c r="G765" s="18">
        <v>8.99</v>
      </c>
      <c r="H765" s="18" t="s">
        <v>116</v>
      </c>
      <c r="I765" s="19">
        <v>2990.0</v>
      </c>
      <c r="J765" s="19">
        <v>3450.0</v>
      </c>
      <c r="K765" s="19">
        <v>3600.0</v>
      </c>
      <c r="L765" s="18"/>
      <c r="M765" s="18"/>
      <c r="N765" s="18"/>
      <c r="O765" s="18" t="s">
        <v>117</v>
      </c>
      <c r="P765" s="18"/>
      <c r="Q765" s="10">
        <f t="shared" si="1"/>
        <v>0</v>
      </c>
    </row>
    <row r="766">
      <c r="A766" s="18" t="s">
        <v>171</v>
      </c>
      <c r="B766" s="18" t="s">
        <v>44</v>
      </c>
      <c r="C766" s="18" t="s">
        <v>180</v>
      </c>
      <c r="D766" s="18" t="s">
        <v>2819</v>
      </c>
      <c r="E766" s="18" t="s">
        <v>2820</v>
      </c>
      <c r="F766" s="18" t="s">
        <v>2487</v>
      </c>
      <c r="G766" s="18">
        <v>23.41</v>
      </c>
      <c r="H766" s="18" t="s">
        <v>120</v>
      </c>
      <c r="I766" s="19">
        <v>5490.0</v>
      </c>
      <c r="J766" s="19">
        <v>6350.0</v>
      </c>
      <c r="K766" s="19">
        <v>6600.0</v>
      </c>
      <c r="L766" s="18"/>
      <c r="M766" s="18"/>
      <c r="N766" s="18"/>
      <c r="O766" s="18" t="s">
        <v>117</v>
      </c>
      <c r="P766" s="18"/>
      <c r="Q766" s="10">
        <f t="shared" si="1"/>
        <v>0</v>
      </c>
    </row>
    <row r="767">
      <c r="A767" s="18" t="s">
        <v>171</v>
      </c>
      <c r="B767" s="18" t="s">
        <v>44</v>
      </c>
      <c r="C767" s="18" t="s">
        <v>53</v>
      </c>
      <c r="D767" s="18" t="s">
        <v>2821</v>
      </c>
      <c r="E767" s="18" t="s">
        <v>2822</v>
      </c>
      <c r="F767" s="18" t="s">
        <v>2487</v>
      </c>
      <c r="G767" s="18">
        <v>14.99</v>
      </c>
      <c r="H767" s="18" t="s">
        <v>56</v>
      </c>
      <c r="I767" s="19">
        <v>4250.0</v>
      </c>
      <c r="J767" s="19">
        <v>4900.0</v>
      </c>
      <c r="K767" s="19">
        <v>5100.0</v>
      </c>
      <c r="L767" s="18"/>
      <c r="M767" s="18"/>
      <c r="N767" s="18"/>
      <c r="O767" s="18" t="s">
        <v>117</v>
      </c>
      <c r="P767" s="18"/>
      <c r="Q767" s="10">
        <f t="shared" si="1"/>
        <v>0</v>
      </c>
    </row>
    <row r="768">
      <c r="A768" s="18" t="s">
        <v>171</v>
      </c>
      <c r="B768" s="18" t="s">
        <v>44</v>
      </c>
      <c r="C768" s="18" t="s">
        <v>53</v>
      </c>
      <c r="D768" s="18" t="s">
        <v>2823</v>
      </c>
      <c r="E768" s="18" t="s">
        <v>2824</v>
      </c>
      <c r="F768" s="18" t="s">
        <v>2487</v>
      </c>
      <c r="G768" s="18">
        <v>16.13</v>
      </c>
      <c r="H768" s="18" t="s">
        <v>56</v>
      </c>
      <c r="I768" s="19">
        <v>4250.0</v>
      </c>
      <c r="J768" s="19">
        <v>4900.0</v>
      </c>
      <c r="K768" s="19">
        <v>5100.0</v>
      </c>
      <c r="L768" s="18"/>
      <c r="M768" s="18"/>
      <c r="N768" s="18"/>
      <c r="O768" s="18" t="s">
        <v>117</v>
      </c>
      <c r="P768" s="18"/>
      <c r="Q768" s="10">
        <f t="shared" si="1"/>
        <v>0</v>
      </c>
    </row>
    <row r="769">
      <c r="A769" s="18" t="s">
        <v>171</v>
      </c>
      <c r="B769" s="18" t="s">
        <v>44</v>
      </c>
      <c r="C769" s="18" t="s">
        <v>53</v>
      </c>
      <c r="D769" s="18" t="s">
        <v>2825</v>
      </c>
      <c r="E769" s="18" t="s">
        <v>2826</v>
      </c>
      <c r="F769" s="18" t="s">
        <v>2487</v>
      </c>
      <c r="G769" s="18">
        <v>15.04</v>
      </c>
      <c r="H769" s="18" t="s">
        <v>56</v>
      </c>
      <c r="I769" s="19">
        <v>4250.0</v>
      </c>
      <c r="J769" s="19">
        <v>4900.0</v>
      </c>
      <c r="K769" s="19">
        <v>5100.0</v>
      </c>
      <c r="L769" s="18"/>
      <c r="M769" s="18"/>
      <c r="N769" s="18"/>
      <c r="O769" s="18" t="s">
        <v>41</v>
      </c>
      <c r="P769" s="18"/>
      <c r="Q769" s="10">
        <f t="shared" si="1"/>
        <v>0</v>
      </c>
    </row>
    <row r="770">
      <c r="A770" s="18" t="s">
        <v>171</v>
      </c>
      <c r="B770" s="18" t="s">
        <v>44</v>
      </c>
      <c r="C770" s="18" t="s">
        <v>53</v>
      </c>
      <c r="D770" s="18" t="s">
        <v>2827</v>
      </c>
      <c r="E770" s="18" t="s">
        <v>2828</v>
      </c>
      <c r="F770" s="18" t="s">
        <v>2487</v>
      </c>
      <c r="G770" s="18">
        <v>15.13</v>
      </c>
      <c r="H770" s="18" t="s">
        <v>56</v>
      </c>
      <c r="I770" s="19">
        <v>4250.0</v>
      </c>
      <c r="J770" s="19">
        <v>4900.0</v>
      </c>
      <c r="K770" s="19">
        <v>5100.0</v>
      </c>
      <c r="L770" s="18"/>
      <c r="M770" s="18"/>
      <c r="N770" s="18"/>
      <c r="O770" s="18" t="s">
        <v>41</v>
      </c>
      <c r="P770" s="18"/>
      <c r="Q770" s="10">
        <f t="shared" si="1"/>
        <v>0</v>
      </c>
    </row>
    <row r="771">
      <c r="A771" s="18" t="s">
        <v>171</v>
      </c>
      <c r="B771" s="18" t="s">
        <v>44</v>
      </c>
      <c r="C771" s="18" t="s">
        <v>53</v>
      </c>
      <c r="D771" s="18" t="s">
        <v>2829</v>
      </c>
      <c r="E771" s="18" t="s">
        <v>2830</v>
      </c>
      <c r="F771" s="18" t="s">
        <v>2487</v>
      </c>
      <c r="G771" s="18">
        <v>15.34</v>
      </c>
      <c r="H771" s="18" t="s">
        <v>56</v>
      </c>
      <c r="I771" s="19">
        <v>4250.0</v>
      </c>
      <c r="J771" s="19">
        <v>4900.0</v>
      </c>
      <c r="K771" s="19">
        <v>5100.0</v>
      </c>
      <c r="L771" s="18"/>
      <c r="M771" s="18"/>
      <c r="N771" s="18"/>
      <c r="O771" s="18" t="s">
        <v>41</v>
      </c>
      <c r="P771" s="18"/>
      <c r="Q771" s="10">
        <f t="shared" si="1"/>
        <v>0</v>
      </c>
    </row>
    <row r="772">
      <c r="A772" s="18" t="s">
        <v>171</v>
      </c>
      <c r="B772" s="18" t="s">
        <v>44</v>
      </c>
      <c r="C772" s="18" t="s">
        <v>53</v>
      </c>
      <c r="D772" s="18" t="s">
        <v>2831</v>
      </c>
      <c r="E772" s="18" t="s">
        <v>2832</v>
      </c>
      <c r="F772" s="18" t="s">
        <v>2487</v>
      </c>
      <c r="G772" s="18">
        <v>15.0</v>
      </c>
      <c r="H772" s="18" t="s">
        <v>56</v>
      </c>
      <c r="I772" s="19">
        <v>4250.0</v>
      </c>
      <c r="J772" s="19">
        <v>4900.0</v>
      </c>
      <c r="K772" s="19">
        <v>5100.0</v>
      </c>
      <c r="L772" s="18"/>
      <c r="M772" s="18"/>
      <c r="N772" s="18"/>
      <c r="O772" s="18" t="s">
        <v>41</v>
      </c>
      <c r="P772" s="18"/>
      <c r="Q772" s="10">
        <f t="shared" si="1"/>
        <v>0</v>
      </c>
    </row>
    <row r="773">
      <c r="A773" s="18" t="s">
        <v>912</v>
      </c>
      <c r="B773" s="18" t="s">
        <v>44</v>
      </c>
      <c r="C773" s="18" t="s">
        <v>133</v>
      </c>
      <c r="D773" s="18" t="s">
        <v>2833</v>
      </c>
      <c r="E773" s="18" t="s">
        <v>2834</v>
      </c>
      <c r="F773" s="18" t="s">
        <v>2487</v>
      </c>
      <c r="G773" s="18">
        <v>14.33</v>
      </c>
      <c r="H773" s="18" t="s">
        <v>56</v>
      </c>
      <c r="I773" s="19">
        <v>4650.0</v>
      </c>
      <c r="J773" s="19">
        <v>5850.0</v>
      </c>
      <c r="K773" s="19">
        <v>5400.0</v>
      </c>
      <c r="L773" s="18"/>
      <c r="M773" s="18"/>
      <c r="N773" s="18"/>
      <c r="O773" s="18" t="s">
        <v>41</v>
      </c>
      <c r="P773" s="18" t="s">
        <v>917</v>
      </c>
      <c r="Q773" s="10">
        <f t="shared" si="1"/>
        <v>0</v>
      </c>
    </row>
    <row r="774">
      <c r="A774" s="18" t="s">
        <v>912</v>
      </c>
      <c r="B774" s="18" t="s">
        <v>44</v>
      </c>
      <c r="C774" s="18" t="s">
        <v>133</v>
      </c>
      <c r="D774" s="18" t="s">
        <v>2835</v>
      </c>
      <c r="E774" s="18" t="s">
        <v>2836</v>
      </c>
      <c r="F774" s="18" t="s">
        <v>2487</v>
      </c>
      <c r="G774" s="18">
        <v>13.83</v>
      </c>
      <c r="H774" s="18" t="s">
        <v>56</v>
      </c>
      <c r="I774" s="19">
        <v>4650.0</v>
      </c>
      <c r="J774" s="19">
        <v>5850.0</v>
      </c>
      <c r="K774" s="19">
        <v>5400.0</v>
      </c>
      <c r="L774" s="18"/>
      <c r="M774" s="18"/>
      <c r="N774" s="18"/>
      <c r="O774" s="18" t="s">
        <v>41</v>
      </c>
      <c r="P774" s="18" t="s">
        <v>917</v>
      </c>
      <c r="Q774" s="10">
        <f t="shared" si="1"/>
        <v>0</v>
      </c>
    </row>
    <row r="775">
      <c r="A775" s="18" t="s">
        <v>912</v>
      </c>
      <c r="B775" s="18" t="s">
        <v>44</v>
      </c>
      <c r="C775" s="18" t="s">
        <v>180</v>
      </c>
      <c r="D775" s="18" t="s">
        <v>2837</v>
      </c>
      <c r="E775" s="18" t="s">
        <v>2838</v>
      </c>
      <c r="F775" s="18" t="s">
        <v>2487</v>
      </c>
      <c r="G775" s="18">
        <v>19.74</v>
      </c>
      <c r="H775" s="18" t="s">
        <v>168</v>
      </c>
      <c r="I775" s="19">
        <v>5700.0</v>
      </c>
      <c r="J775" s="19">
        <v>7150.0</v>
      </c>
      <c r="K775" s="19">
        <v>6600.0</v>
      </c>
      <c r="L775" s="18"/>
      <c r="M775" s="18"/>
      <c r="N775" s="18"/>
      <c r="O775" s="18" t="s">
        <v>57</v>
      </c>
      <c r="P775" s="18" t="s">
        <v>917</v>
      </c>
      <c r="Q775" s="10">
        <f t="shared" si="1"/>
        <v>0</v>
      </c>
    </row>
    <row r="776">
      <c r="A776" s="18" t="s">
        <v>154</v>
      </c>
      <c r="B776" s="18" t="s">
        <v>44</v>
      </c>
      <c r="C776" s="18" t="s">
        <v>180</v>
      </c>
      <c r="D776" s="18" t="s">
        <v>2839</v>
      </c>
      <c r="E776" s="18" t="s">
        <v>2840</v>
      </c>
      <c r="F776" s="18" t="s">
        <v>2487</v>
      </c>
      <c r="G776" s="18">
        <v>22.0</v>
      </c>
      <c r="H776" s="18" t="s">
        <v>56</v>
      </c>
      <c r="I776" s="19">
        <v>6090.0</v>
      </c>
      <c r="J776" s="19">
        <v>8550.0</v>
      </c>
      <c r="K776" s="19">
        <v>7350.0</v>
      </c>
      <c r="L776" s="18"/>
      <c r="M776" s="18"/>
      <c r="N776" s="18"/>
      <c r="O776" s="18" t="s">
        <v>151</v>
      </c>
      <c r="P776" s="18" t="s">
        <v>157</v>
      </c>
      <c r="Q776" s="10">
        <f t="shared" si="1"/>
        <v>0</v>
      </c>
    </row>
    <row r="777">
      <c r="A777" s="18" t="s">
        <v>154</v>
      </c>
      <c r="B777" s="18" t="s">
        <v>44</v>
      </c>
      <c r="C777" s="18" t="s">
        <v>64</v>
      </c>
      <c r="D777" s="18" t="s">
        <v>2841</v>
      </c>
      <c r="E777" s="18" t="s">
        <v>2842</v>
      </c>
      <c r="F777" s="18" t="s">
        <v>2487</v>
      </c>
      <c r="G777" s="18">
        <v>18.0</v>
      </c>
      <c r="H777" s="18" t="s">
        <v>56</v>
      </c>
      <c r="I777" s="19">
        <v>5731.0</v>
      </c>
      <c r="J777" s="19">
        <v>8050.0</v>
      </c>
      <c r="K777" s="19">
        <v>6900.0</v>
      </c>
      <c r="L777" s="18"/>
      <c r="M777" s="18"/>
      <c r="N777" s="18"/>
      <c r="O777" s="18" t="s">
        <v>151</v>
      </c>
      <c r="P777" s="18" t="s">
        <v>157</v>
      </c>
      <c r="Q777" s="10">
        <f t="shared" si="1"/>
        <v>0</v>
      </c>
    </row>
    <row r="778">
      <c r="A778" s="18" t="s">
        <v>154</v>
      </c>
      <c r="B778" s="18" t="s">
        <v>44</v>
      </c>
      <c r="C778" s="18" t="s">
        <v>53</v>
      </c>
      <c r="D778" s="18" t="s">
        <v>2843</v>
      </c>
      <c r="E778" s="18" t="s">
        <v>2844</v>
      </c>
      <c r="F778" s="18" t="s">
        <v>2487</v>
      </c>
      <c r="G778" s="18">
        <v>16.0</v>
      </c>
      <c r="H778" s="18" t="s">
        <v>56</v>
      </c>
      <c r="I778" s="19">
        <v>4799.0</v>
      </c>
      <c r="J778" s="19">
        <v>6750.0</v>
      </c>
      <c r="K778" s="19">
        <v>5800.0</v>
      </c>
      <c r="L778" s="18"/>
      <c r="M778" s="18"/>
      <c r="N778" s="18"/>
      <c r="O778" s="18" t="s">
        <v>151</v>
      </c>
      <c r="P778" s="18" t="s">
        <v>157</v>
      </c>
      <c r="Q778" s="10">
        <f t="shared" si="1"/>
        <v>0</v>
      </c>
    </row>
    <row r="779">
      <c r="A779" s="18" t="s">
        <v>154</v>
      </c>
      <c r="B779" s="18" t="s">
        <v>45</v>
      </c>
      <c r="C779" s="18" t="s">
        <v>45</v>
      </c>
      <c r="D779" s="18" t="s">
        <v>2845</v>
      </c>
      <c r="E779" s="18" t="s">
        <v>2846</v>
      </c>
      <c r="F779" s="18" t="s">
        <v>2487</v>
      </c>
      <c r="G779" s="18">
        <v>11.0</v>
      </c>
      <c r="H779" s="18" t="s">
        <v>45</v>
      </c>
      <c r="I779" s="19">
        <v>3580.0</v>
      </c>
      <c r="J779" s="19">
        <v>5050.0</v>
      </c>
      <c r="K779" s="19">
        <v>4350.0</v>
      </c>
      <c r="L779" s="18"/>
      <c r="M779" s="18"/>
      <c r="N779" s="18"/>
      <c r="O779" s="18" t="s">
        <v>151</v>
      </c>
      <c r="P779" s="18" t="s">
        <v>157</v>
      </c>
      <c r="Q779" s="10">
        <f t="shared" si="1"/>
        <v>0</v>
      </c>
    </row>
    <row r="780">
      <c r="A780" s="18" t="s">
        <v>43</v>
      </c>
      <c r="B780" s="18" t="s">
        <v>44</v>
      </c>
      <c r="C780" s="18" t="s">
        <v>64</v>
      </c>
      <c r="D780" s="18" t="s">
        <v>2847</v>
      </c>
      <c r="E780" s="18" t="s">
        <v>2848</v>
      </c>
      <c r="F780" s="18" t="s">
        <v>2487</v>
      </c>
      <c r="G780" s="18">
        <v>17.4</v>
      </c>
      <c r="H780" s="18" t="s">
        <v>120</v>
      </c>
      <c r="I780" s="19">
        <v>6800.0</v>
      </c>
      <c r="J780" s="19">
        <v>8200.0</v>
      </c>
      <c r="K780" s="19"/>
      <c r="L780" s="18"/>
      <c r="M780" s="18"/>
      <c r="N780" s="18"/>
      <c r="O780" s="18" t="s">
        <v>41</v>
      </c>
      <c r="P780" s="18" t="s">
        <v>48</v>
      </c>
      <c r="Q780" s="10">
        <f t="shared" si="1"/>
        <v>0</v>
      </c>
    </row>
    <row r="781">
      <c r="A781" s="18" t="s">
        <v>191</v>
      </c>
      <c r="B781" s="18" t="s">
        <v>44</v>
      </c>
      <c r="C781" s="18" t="s">
        <v>76</v>
      </c>
      <c r="D781" s="18" t="s">
        <v>2849</v>
      </c>
      <c r="E781" s="18" t="s">
        <v>2850</v>
      </c>
      <c r="F781" s="18" t="s">
        <v>2487</v>
      </c>
      <c r="G781" s="18">
        <v>19.54</v>
      </c>
      <c r="H781" s="18" t="s">
        <v>120</v>
      </c>
      <c r="I781" s="19">
        <v>6600.0</v>
      </c>
      <c r="J781" s="19">
        <v>8600.0</v>
      </c>
      <c r="K781" s="19"/>
      <c r="L781" s="18"/>
      <c r="M781" s="18"/>
      <c r="N781" s="18"/>
      <c r="O781" s="18" t="s">
        <v>57</v>
      </c>
      <c r="P781" s="18" t="s">
        <v>48</v>
      </c>
      <c r="Q781" s="10">
        <f t="shared" si="1"/>
        <v>0</v>
      </c>
    </row>
    <row r="782">
      <c r="A782" s="18" t="s">
        <v>1029</v>
      </c>
      <c r="B782" s="18" t="s">
        <v>45</v>
      </c>
      <c r="C782" s="18" t="s">
        <v>45</v>
      </c>
      <c r="D782" s="18" t="s">
        <v>2851</v>
      </c>
      <c r="E782" s="18" t="s">
        <v>2852</v>
      </c>
      <c r="F782" s="18" t="s">
        <v>2487</v>
      </c>
      <c r="G782" s="18">
        <v>15.88</v>
      </c>
      <c r="H782" s="18"/>
      <c r="I782" s="19">
        <v>245.0</v>
      </c>
      <c r="J782" s="19">
        <v>200.0</v>
      </c>
      <c r="K782" s="19"/>
      <c r="L782" s="18"/>
      <c r="M782" s="18"/>
      <c r="N782" s="18"/>
      <c r="O782" s="18" t="s">
        <v>213</v>
      </c>
      <c r="P782" s="18"/>
      <c r="Q782" s="10">
        <f t="shared" si="1"/>
        <v>0</v>
      </c>
    </row>
    <row r="783">
      <c r="A783" s="18" t="s">
        <v>1029</v>
      </c>
      <c r="B783" s="18" t="s">
        <v>45</v>
      </c>
      <c r="C783" s="18" t="s">
        <v>45</v>
      </c>
      <c r="D783" s="18" t="s">
        <v>2853</v>
      </c>
      <c r="E783" s="18" t="s">
        <v>2854</v>
      </c>
      <c r="F783" s="18" t="s">
        <v>2487</v>
      </c>
      <c r="G783" s="18">
        <v>16.29</v>
      </c>
      <c r="H783" s="18"/>
      <c r="I783" s="19">
        <v>245.0</v>
      </c>
      <c r="J783" s="19">
        <v>200.0</v>
      </c>
      <c r="K783" s="19"/>
      <c r="L783" s="18"/>
      <c r="M783" s="18"/>
      <c r="N783" s="18"/>
      <c r="O783" s="18" t="s">
        <v>213</v>
      </c>
      <c r="P783" s="18"/>
      <c r="Q783" s="10">
        <f t="shared" si="1"/>
        <v>0</v>
      </c>
    </row>
    <row r="784">
      <c r="A784" s="18" t="s">
        <v>1029</v>
      </c>
      <c r="B784" s="18" t="s">
        <v>45</v>
      </c>
      <c r="C784" s="18" t="s">
        <v>45</v>
      </c>
      <c r="D784" s="18" t="s">
        <v>2855</v>
      </c>
      <c r="E784" s="18" t="s">
        <v>2856</v>
      </c>
      <c r="F784" s="18" t="s">
        <v>2487</v>
      </c>
      <c r="G784" s="18">
        <v>15.35</v>
      </c>
      <c r="H784" s="18"/>
      <c r="I784" s="19">
        <v>245.0</v>
      </c>
      <c r="J784" s="19">
        <v>200.0</v>
      </c>
      <c r="K784" s="19"/>
      <c r="L784" s="18"/>
      <c r="M784" s="18"/>
      <c r="N784" s="18"/>
      <c r="O784" s="18" t="s">
        <v>213</v>
      </c>
      <c r="P784" s="18"/>
      <c r="Q784" s="10">
        <f t="shared" si="1"/>
        <v>0</v>
      </c>
    </row>
    <row r="785">
      <c r="A785" s="18" t="s">
        <v>1029</v>
      </c>
      <c r="B785" s="18" t="s">
        <v>45</v>
      </c>
      <c r="C785" s="18" t="s">
        <v>45</v>
      </c>
      <c r="D785" s="18" t="s">
        <v>2857</v>
      </c>
      <c r="E785" s="18" t="s">
        <v>2858</v>
      </c>
      <c r="F785" s="18" t="s">
        <v>2487</v>
      </c>
      <c r="G785" s="18">
        <v>15.34</v>
      </c>
      <c r="H785" s="18"/>
      <c r="I785" s="19">
        <v>245.0</v>
      </c>
      <c r="J785" s="19">
        <v>200.0</v>
      </c>
      <c r="K785" s="19"/>
      <c r="L785" s="18"/>
      <c r="M785" s="18"/>
      <c r="N785" s="18"/>
      <c r="O785" s="18" t="s">
        <v>213</v>
      </c>
      <c r="P785" s="18"/>
      <c r="Q785" s="10">
        <f t="shared" si="1"/>
        <v>0</v>
      </c>
    </row>
    <row r="786">
      <c r="A786" s="18" t="s">
        <v>2780</v>
      </c>
      <c r="B786" s="18" t="s">
        <v>36</v>
      </c>
      <c r="C786" s="18" t="s">
        <v>37</v>
      </c>
      <c r="D786" s="18" t="s">
        <v>2859</v>
      </c>
      <c r="E786" s="18" t="s">
        <v>2860</v>
      </c>
      <c r="F786" s="18" t="s">
        <v>2487</v>
      </c>
      <c r="G786" s="18">
        <v>49.89</v>
      </c>
      <c r="H786" s="18" t="s">
        <v>168</v>
      </c>
      <c r="I786" s="19">
        <v>4760.0</v>
      </c>
      <c r="J786" s="19">
        <v>5750.0</v>
      </c>
      <c r="K786" s="19"/>
      <c r="L786" s="18"/>
      <c r="M786" s="18"/>
      <c r="N786" s="18"/>
      <c r="O786" s="18"/>
      <c r="P786" s="18" t="s">
        <v>144</v>
      </c>
      <c r="Q786" s="10">
        <f t="shared" si="1"/>
        <v>0</v>
      </c>
    </row>
    <row r="787">
      <c r="A787" s="18" t="s">
        <v>2780</v>
      </c>
      <c r="B787" s="18" t="s">
        <v>36</v>
      </c>
      <c r="C787" s="18" t="s">
        <v>37</v>
      </c>
      <c r="D787" s="18" t="s">
        <v>2861</v>
      </c>
      <c r="E787" s="18" t="s">
        <v>2862</v>
      </c>
      <c r="F787" s="18" t="s">
        <v>2487</v>
      </c>
      <c r="G787" s="18">
        <v>52.68</v>
      </c>
      <c r="H787" s="18" t="s">
        <v>168</v>
      </c>
      <c r="I787" s="19">
        <v>4760.0</v>
      </c>
      <c r="J787" s="19">
        <v>5750.0</v>
      </c>
      <c r="K787" s="19"/>
      <c r="L787" s="18"/>
      <c r="M787" s="18"/>
      <c r="N787" s="18"/>
      <c r="O787" s="18"/>
      <c r="P787" s="18" t="s">
        <v>144</v>
      </c>
      <c r="Q787" s="10">
        <f t="shared" si="1"/>
        <v>0</v>
      </c>
    </row>
    <row r="788">
      <c r="A788" s="18" t="s">
        <v>2780</v>
      </c>
      <c r="B788" s="18" t="s">
        <v>36</v>
      </c>
      <c r="C788" s="18" t="s">
        <v>37</v>
      </c>
      <c r="D788" s="18" t="s">
        <v>2863</v>
      </c>
      <c r="E788" s="18" t="s">
        <v>2864</v>
      </c>
      <c r="F788" s="18" t="s">
        <v>2487</v>
      </c>
      <c r="G788" s="18">
        <v>51.34</v>
      </c>
      <c r="H788" s="18" t="s">
        <v>168</v>
      </c>
      <c r="I788" s="19">
        <v>4760.0</v>
      </c>
      <c r="J788" s="19">
        <v>5750.0</v>
      </c>
      <c r="K788" s="19"/>
      <c r="L788" s="18"/>
      <c r="M788" s="18"/>
      <c r="N788" s="18"/>
      <c r="O788" s="18"/>
      <c r="P788" s="18" t="s">
        <v>144</v>
      </c>
      <c r="Q788" s="10">
        <f t="shared" si="1"/>
        <v>0</v>
      </c>
    </row>
    <row r="789">
      <c r="A789" s="18" t="s">
        <v>2780</v>
      </c>
      <c r="B789" s="18" t="s">
        <v>36</v>
      </c>
      <c r="C789" s="18" t="s">
        <v>37</v>
      </c>
      <c r="D789" s="18" t="s">
        <v>2865</v>
      </c>
      <c r="E789" s="18" t="s">
        <v>2866</v>
      </c>
      <c r="F789" s="18" t="s">
        <v>2487</v>
      </c>
      <c r="G789" s="18">
        <v>49.94</v>
      </c>
      <c r="H789" s="18" t="s">
        <v>168</v>
      </c>
      <c r="I789" s="19">
        <v>4760.0</v>
      </c>
      <c r="J789" s="19">
        <v>5750.0</v>
      </c>
      <c r="K789" s="19"/>
      <c r="L789" s="18"/>
      <c r="M789" s="18"/>
      <c r="N789" s="18"/>
      <c r="O789" s="18"/>
      <c r="P789" s="18" t="s">
        <v>144</v>
      </c>
      <c r="Q789" s="10">
        <f t="shared" si="1"/>
        <v>0</v>
      </c>
    </row>
    <row r="790">
      <c r="A790" s="18" t="s">
        <v>2780</v>
      </c>
      <c r="B790" s="18" t="s">
        <v>36</v>
      </c>
      <c r="C790" s="18" t="s">
        <v>37</v>
      </c>
      <c r="D790" s="18" t="s">
        <v>2867</v>
      </c>
      <c r="E790" s="18" t="s">
        <v>2868</v>
      </c>
      <c r="F790" s="18" t="s">
        <v>2487</v>
      </c>
      <c r="G790" s="18">
        <v>52.68</v>
      </c>
      <c r="H790" s="18" t="s">
        <v>168</v>
      </c>
      <c r="I790" s="19">
        <v>4760.0</v>
      </c>
      <c r="J790" s="19">
        <v>5750.0</v>
      </c>
      <c r="K790" s="19"/>
      <c r="L790" s="18"/>
      <c r="M790" s="18"/>
      <c r="N790" s="18"/>
      <c r="O790" s="18"/>
      <c r="P790" s="18" t="s">
        <v>144</v>
      </c>
      <c r="Q790" s="10">
        <f t="shared" si="1"/>
        <v>0</v>
      </c>
    </row>
    <row r="791">
      <c r="A791" s="18" t="s">
        <v>112</v>
      </c>
      <c r="B791" s="18" t="s">
        <v>44</v>
      </c>
      <c r="C791" s="18" t="s">
        <v>53</v>
      </c>
      <c r="D791" s="18" t="s">
        <v>2869</v>
      </c>
      <c r="E791" s="18" t="s">
        <v>2870</v>
      </c>
      <c r="F791" s="18" t="s">
        <v>2487</v>
      </c>
      <c r="G791" s="18">
        <v>16.2</v>
      </c>
      <c r="H791" s="18" t="s">
        <v>56</v>
      </c>
      <c r="I791" s="19">
        <v>6008.0</v>
      </c>
      <c r="J791" s="19">
        <v>8450.0</v>
      </c>
      <c r="K791" s="19">
        <v>7300.0</v>
      </c>
      <c r="L791" s="18"/>
      <c r="M791" s="18"/>
      <c r="N791" s="18"/>
      <c r="O791" s="18" t="s">
        <v>117</v>
      </c>
      <c r="P791" s="18" t="s">
        <v>42</v>
      </c>
      <c r="Q791" s="10">
        <f t="shared" si="1"/>
        <v>0</v>
      </c>
    </row>
    <row r="792">
      <c r="A792" s="18" t="s">
        <v>112</v>
      </c>
      <c r="B792" s="18" t="s">
        <v>45</v>
      </c>
      <c r="C792" s="18" t="s">
        <v>45</v>
      </c>
      <c r="D792" s="18" t="s">
        <v>2871</v>
      </c>
      <c r="E792" s="18" t="s">
        <v>2872</v>
      </c>
      <c r="F792" s="18" t="s">
        <v>2487</v>
      </c>
      <c r="G792" s="18">
        <v>10.0</v>
      </c>
      <c r="H792" s="18" t="s">
        <v>45</v>
      </c>
      <c r="I792" s="19">
        <v>3257.0</v>
      </c>
      <c r="J792" s="19">
        <v>4600.0</v>
      </c>
      <c r="K792" s="19">
        <v>4000.0</v>
      </c>
      <c r="L792" s="18"/>
      <c r="M792" s="18"/>
      <c r="N792" s="18"/>
      <c r="O792" s="18" t="s">
        <v>117</v>
      </c>
      <c r="P792" s="18" t="s">
        <v>42</v>
      </c>
      <c r="Q792" s="10">
        <f t="shared" si="1"/>
        <v>0</v>
      </c>
    </row>
    <row r="793">
      <c r="A793" s="18" t="s">
        <v>112</v>
      </c>
      <c r="B793" s="18" t="s">
        <v>44</v>
      </c>
      <c r="C793" s="18" t="s">
        <v>64</v>
      </c>
      <c r="D793" s="18" t="s">
        <v>2873</v>
      </c>
      <c r="E793" s="18" t="s">
        <v>2874</v>
      </c>
      <c r="F793" s="18" t="s">
        <v>2487</v>
      </c>
      <c r="G793" s="18">
        <v>18.8</v>
      </c>
      <c r="H793" s="18" t="s">
        <v>120</v>
      </c>
      <c r="I793" s="19">
        <v>6437.0</v>
      </c>
      <c r="J793" s="19">
        <v>9050.0</v>
      </c>
      <c r="K793" s="19">
        <v>7750.0</v>
      </c>
      <c r="L793" s="18"/>
      <c r="M793" s="18"/>
      <c r="N793" s="18"/>
      <c r="O793" s="18" t="s">
        <v>117</v>
      </c>
      <c r="P793" s="18" t="s">
        <v>42</v>
      </c>
      <c r="Q793" s="10">
        <f t="shared" si="1"/>
        <v>0</v>
      </c>
    </row>
    <row r="794">
      <c r="A794" s="18" t="s">
        <v>201</v>
      </c>
      <c r="B794" s="18" t="s">
        <v>44</v>
      </c>
      <c r="C794" s="18" t="s">
        <v>64</v>
      </c>
      <c r="D794" s="18" t="s">
        <v>2875</v>
      </c>
      <c r="E794" s="18" t="s">
        <v>2876</v>
      </c>
      <c r="F794" s="18" t="s">
        <v>2487</v>
      </c>
      <c r="G794" s="18">
        <v>18.33</v>
      </c>
      <c r="H794" s="18" t="s">
        <v>120</v>
      </c>
      <c r="I794" s="19">
        <v>3500.0</v>
      </c>
      <c r="J794" s="19">
        <v>4200.0</v>
      </c>
      <c r="K794" s="19">
        <v>4100.0</v>
      </c>
      <c r="L794" s="18"/>
      <c r="M794" s="18"/>
      <c r="N794" s="18"/>
      <c r="O794" s="18" t="s">
        <v>41</v>
      </c>
      <c r="P794" s="18"/>
      <c r="Q794" s="10">
        <f t="shared" si="1"/>
        <v>0</v>
      </c>
    </row>
    <row r="795">
      <c r="A795" s="18" t="s">
        <v>2780</v>
      </c>
      <c r="B795" s="18" t="s">
        <v>36</v>
      </c>
      <c r="C795" s="18" t="s">
        <v>37</v>
      </c>
      <c r="D795" s="18" t="s">
        <v>2877</v>
      </c>
      <c r="E795" s="18" t="s">
        <v>2878</v>
      </c>
      <c r="F795" s="18" t="s">
        <v>2487</v>
      </c>
      <c r="G795" s="18">
        <v>52.0</v>
      </c>
      <c r="H795" s="18" t="s">
        <v>168</v>
      </c>
      <c r="I795" s="19">
        <v>4760.0</v>
      </c>
      <c r="J795" s="19">
        <v>5750.0</v>
      </c>
      <c r="K795" s="19"/>
      <c r="L795" s="18"/>
      <c r="M795" s="18"/>
      <c r="N795" s="18"/>
      <c r="O795" s="18"/>
      <c r="P795" s="18" t="s">
        <v>144</v>
      </c>
      <c r="Q795" s="10">
        <f t="shared" si="1"/>
        <v>0</v>
      </c>
    </row>
    <row r="796">
      <c r="A796" s="18" t="s">
        <v>2780</v>
      </c>
      <c r="B796" s="18" t="s">
        <v>36</v>
      </c>
      <c r="C796" s="18" t="s">
        <v>37</v>
      </c>
      <c r="D796" s="18" t="s">
        <v>2879</v>
      </c>
      <c r="E796" s="18" t="s">
        <v>2880</v>
      </c>
      <c r="F796" s="18" t="s">
        <v>2487</v>
      </c>
      <c r="G796" s="18">
        <v>52.96</v>
      </c>
      <c r="H796" s="18" t="s">
        <v>168</v>
      </c>
      <c r="I796" s="19">
        <v>4760.0</v>
      </c>
      <c r="J796" s="19">
        <v>5750.0</v>
      </c>
      <c r="K796" s="19"/>
      <c r="L796" s="18"/>
      <c r="M796" s="18"/>
      <c r="N796" s="18"/>
      <c r="O796" s="18"/>
      <c r="P796" s="18" t="s">
        <v>144</v>
      </c>
      <c r="Q796" s="10">
        <f t="shared" si="1"/>
        <v>0</v>
      </c>
    </row>
    <row r="797">
      <c r="A797" s="18" t="s">
        <v>2780</v>
      </c>
      <c r="B797" s="18" t="s">
        <v>36</v>
      </c>
      <c r="C797" s="18" t="s">
        <v>37</v>
      </c>
      <c r="D797" s="18" t="s">
        <v>2881</v>
      </c>
      <c r="E797" s="18" t="s">
        <v>2882</v>
      </c>
      <c r="F797" s="18" t="s">
        <v>2487</v>
      </c>
      <c r="G797" s="18">
        <v>52.96</v>
      </c>
      <c r="H797" s="18" t="s">
        <v>168</v>
      </c>
      <c r="I797" s="19">
        <v>4760.0</v>
      </c>
      <c r="J797" s="19">
        <v>5750.0</v>
      </c>
      <c r="K797" s="19"/>
      <c r="L797" s="18"/>
      <c r="M797" s="18"/>
      <c r="N797" s="18"/>
      <c r="O797" s="18"/>
      <c r="P797" s="18" t="s">
        <v>144</v>
      </c>
      <c r="Q797" s="10">
        <f t="shared" si="1"/>
        <v>0</v>
      </c>
    </row>
    <row r="798">
      <c r="A798" s="18" t="s">
        <v>2780</v>
      </c>
      <c r="B798" s="18" t="s">
        <v>36</v>
      </c>
      <c r="C798" s="18" t="s">
        <v>37</v>
      </c>
      <c r="D798" s="18" t="s">
        <v>2883</v>
      </c>
      <c r="E798" s="18" t="s">
        <v>2884</v>
      </c>
      <c r="F798" s="18" t="s">
        <v>2487</v>
      </c>
      <c r="G798" s="18">
        <v>52.0</v>
      </c>
      <c r="H798" s="18" t="s">
        <v>168</v>
      </c>
      <c r="I798" s="19">
        <v>4760.0</v>
      </c>
      <c r="J798" s="19">
        <v>5750.0</v>
      </c>
      <c r="K798" s="19"/>
      <c r="L798" s="18"/>
      <c r="M798" s="18"/>
      <c r="N798" s="18"/>
      <c r="O798" s="18"/>
      <c r="P798" s="18" t="s">
        <v>144</v>
      </c>
      <c r="Q798" s="10">
        <f t="shared" si="1"/>
        <v>0</v>
      </c>
    </row>
    <row r="799">
      <c r="A799" s="18" t="s">
        <v>2780</v>
      </c>
      <c r="B799" s="18" t="s">
        <v>36</v>
      </c>
      <c r="C799" s="18" t="s">
        <v>37</v>
      </c>
      <c r="D799" s="18" t="s">
        <v>2885</v>
      </c>
      <c r="E799" s="18" t="s">
        <v>2886</v>
      </c>
      <c r="F799" s="18" t="s">
        <v>2487</v>
      </c>
      <c r="G799" s="18">
        <v>52.72</v>
      </c>
      <c r="H799" s="18" t="s">
        <v>168</v>
      </c>
      <c r="I799" s="19">
        <v>4760.0</v>
      </c>
      <c r="J799" s="19">
        <v>5750.0</v>
      </c>
      <c r="K799" s="19"/>
      <c r="L799" s="18"/>
      <c r="M799" s="18"/>
      <c r="N799" s="18"/>
      <c r="O799" s="18"/>
      <c r="P799" s="18" t="s">
        <v>144</v>
      </c>
      <c r="Q799" s="10">
        <f t="shared" si="1"/>
        <v>0</v>
      </c>
    </row>
    <row r="800">
      <c r="A800" s="18" t="s">
        <v>2208</v>
      </c>
      <c r="B800" s="18" t="s">
        <v>44</v>
      </c>
      <c r="C800" s="18" t="s">
        <v>64</v>
      </c>
      <c r="D800" s="18" t="s">
        <v>2887</v>
      </c>
      <c r="E800" s="18" t="s">
        <v>2888</v>
      </c>
      <c r="F800" s="18" t="s">
        <v>2487</v>
      </c>
      <c r="G800" s="18">
        <v>17.5</v>
      </c>
      <c r="H800" s="18" t="s">
        <v>120</v>
      </c>
      <c r="I800" s="19">
        <v>7400.0</v>
      </c>
      <c r="J800" s="19">
        <v>7400.0</v>
      </c>
      <c r="K800" s="19"/>
      <c r="L800" s="18"/>
      <c r="M800" s="18"/>
      <c r="N800" s="18"/>
      <c r="O800" s="18" t="s">
        <v>57</v>
      </c>
      <c r="P800" s="18"/>
      <c r="Q800" s="10">
        <f t="shared" si="1"/>
        <v>0</v>
      </c>
    </row>
    <row r="801">
      <c r="A801" s="18" t="s">
        <v>2208</v>
      </c>
      <c r="B801" s="18" t="s">
        <v>44</v>
      </c>
      <c r="C801" s="18" t="s">
        <v>76</v>
      </c>
      <c r="D801" s="18" t="s">
        <v>2889</v>
      </c>
      <c r="E801" s="18" t="s">
        <v>2890</v>
      </c>
      <c r="F801" s="18" t="s">
        <v>2487</v>
      </c>
      <c r="G801" s="18">
        <v>20.45</v>
      </c>
      <c r="H801" s="18" t="s">
        <v>120</v>
      </c>
      <c r="I801" s="19">
        <v>7900.0</v>
      </c>
      <c r="J801" s="19">
        <v>7900.0</v>
      </c>
      <c r="K801" s="19"/>
      <c r="L801" s="18"/>
      <c r="M801" s="18"/>
      <c r="N801" s="18"/>
      <c r="O801" s="18" t="s">
        <v>57</v>
      </c>
      <c r="P801" s="18"/>
      <c r="Q801" s="10">
        <f t="shared" si="1"/>
        <v>0</v>
      </c>
    </row>
    <row r="802">
      <c r="A802" s="18" t="s">
        <v>2208</v>
      </c>
      <c r="B802" s="18" t="s">
        <v>44</v>
      </c>
      <c r="C802" s="18" t="s">
        <v>53</v>
      </c>
      <c r="D802" s="18" t="s">
        <v>2891</v>
      </c>
      <c r="E802" s="18" t="s">
        <v>2892</v>
      </c>
      <c r="F802" s="18" t="s">
        <v>2487</v>
      </c>
      <c r="G802" s="18">
        <v>15.02</v>
      </c>
      <c r="H802" s="18" t="s">
        <v>56</v>
      </c>
      <c r="I802" s="19">
        <v>7000.0</v>
      </c>
      <c r="J802" s="19">
        <v>7000.0</v>
      </c>
      <c r="K802" s="19"/>
      <c r="L802" s="18"/>
      <c r="M802" s="18"/>
      <c r="N802" s="18"/>
      <c r="O802" s="18" t="s">
        <v>57</v>
      </c>
      <c r="P802" s="18"/>
      <c r="Q802" s="10">
        <f t="shared" si="1"/>
        <v>0</v>
      </c>
    </row>
    <row r="803">
      <c r="A803" s="18" t="s">
        <v>2208</v>
      </c>
      <c r="B803" s="18" t="s">
        <v>44</v>
      </c>
      <c r="C803" s="18" t="s">
        <v>53</v>
      </c>
      <c r="D803" s="18" t="s">
        <v>2893</v>
      </c>
      <c r="E803" s="18" t="s">
        <v>2894</v>
      </c>
      <c r="F803" s="18" t="s">
        <v>2487</v>
      </c>
      <c r="G803" s="18">
        <v>15.02</v>
      </c>
      <c r="H803" s="18" t="s">
        <v>56</v>
      </c>
      <c r="I803" s="19">
        <v>7000.0</v>
      </c>
      <c r="J803" s="19">
        <v>7000.0</v>
      </c>
      <c r="K803" s="19"/>
      <c r="L803" s="18"/>
      <c r="M803" s="18"/>
      <c r="N803" s="18"/>
      <c r="O803" s="18" t="s">
        <v>57</v>
      </c>
      <c r="P803" s="18"/>
      <c r="Q803" s="10">
        <f t="shared" si="1"/>
        <v>0</v>
      </c>
    </row>
    <row r="804">
      <c r="A804" s="18" t="s">
        <v>2208</v>
      </c>
      <c r="B804" s="18" t="s">
        <v>44</v>
      </c>
      <c r="C804" s="18" t="s">
        <v>53</v>
      </c>
      <c r="D804" s="18" t="s">
        <v>2895</v>
      </c>
      <c r="E804" s="18" t="s">
        <v>2896</v>
      </c>
      <c r="F804" s="18" t="s">
        <v>2487</v>
      </c>
      <c r="G804" s="18">
        <v>15.02</v>
      </c>
      <c r="H804" s="18" t="s">
        <v>56</v>
      </c>
      <c r="I804" s="19">
        <v>7000.0</v>
      </c>
      <c r="J804" s="19">
        <v>7000.0</v>
      </c>
      <c r="K804" s="19"/>
      <c r="L804" s="18"/>
      <c r="M804" s="18"/>
      <c r="N804" s="18"/>
      <c r="O804" s="18" t="s">
        <v>57</v>
      </c>
      <c r="P804" s="18"/>
      <c r="Q804" s="10">
        <f t="shared" si="1"/>
        <v>0</v>
      </c>
    </row>
    <row r="805">
      <c r="A805" s="18" t="s">
        <v>2208</v>
      </c>
      <c r="B805" s="18" t="s">
        <v>44</v>
      </c>
      <c r="C805" s="18" t="s">
        <v>133</v>
      </c>
      <c r="D805" s="18" t="s">
        <v>2897</v>
      </c>
      <c r="E805" s="18" t="s">
        <v>2898</v>
      </c>
      <c r="F805" s="18" t="s">
        <v>2487</v>
      </c>
      <c r="G805" s="18">
        <v>13.17</v>
      </c>
      <c r="H805" s="18" t="s">
        <v>56</v>
      </c>
      <c r="I805" s="19">
        <v>6500.0</v>
      </c>
      <c r="J805" s="19">
        <v>6500.0</v>
      </c>
      <c r="K805" s="19"/>
      <c r="L805" s="18"/>
      <c r="M805" s="18"/>
      <c r="N805" s="18"/>
      <c r="O805" s="18" t="s">
        <v>57</v>
      </c>
      <c r="P805" s="18"/>
      <c r="Q805" s="10">
        <f t="shared" si="1"/>
        <v>0</v>
      </c>
    </row>
    <row r="806">
      <c r="A806" s="18" t="s">
        <v>2208</v>
      </c>
      <c r="B806" s="18" t="s">
        <v>44</v>
      </c>
      <c r="C806" s="18" t="s">
        <v>53</v>
      </c>
      <c r="D806" s="18" t="s">
        <v>2899</v>
      </c>
      <c r="E806" s="18" t="s">
        <v>2900</v>
      </c>
      <c r="F806" s="18" t="s">
        <v>2487</v>
      </c>
      <c r="G806" s="18">
        <v>16.23</v>
      </c>
      <c r="H806" s="18" t="s">
        <v>56</v>
      </c>
      <c r="I806" s="19">
        <v>7000.0</v>
      </c>
      <c r="J806" s="19">
        <v>7000.0</v>
      </c>
      <c r="K806" s="19"/>
      <c r="L806" s="18"/>
      <c r="M806" s="18"/>
      <c r="N806" s="18"/>
      <c r="O806" s="18" t="s">
        <v>57</v>
      </c>
      <c r="P806" s="18"/>
      <c r="Q806" s="10">
        <f t="shared" si="1"/>
        <v>0</v>
      </c>
    </row>
    <row r="807">
      <c r="A807" s="18" t="s">
        <v>2208</v>
      </c>
      <c r="B807" s="18" t="s">
        <v>44</v>
      </c>
      <c r="C807" s="18" t="s">
        <v>76</v>
      </c>
      <c r="D807" s="18" t="s">
        <v>2901</v>
      </c>
      <c r="E807" s="18" t="s">
        <v>2902</v>
      </c>
      <c r="F807" s="18" t="s">
        <v>2487</v>
      </c>
      <c r="G807" s="18">
        <v>20.45</v>
      </c>
      <c r="H807" s="18" t="s">
        <v>120</v>
      </c>
      <c r="I807" s="19">
        <v>7900.0</v>
      </c>
      <c r="J807" s="19">
        <v>7900.0</v>
      </c>
      <c r="K807" s="19"/>
      <c r="L807" s="18"/>
      <c r="M807" s="18"/>
      <c r="N807" s="18"/>
      <c r="O807" s="18" t="s">
        <v>2688</v>
      </c>
      <c r="P807" s="18"/>
      <c r="Q807" s="10">
        <f t="shared" si="1"/>
        <v>0</v>
      </c>
    </row>
    <row r="808">
      <c r="A808" s="18" t="s">
        <v>2208</v>
      </c>
      <c r="B808" s="18" t="s">
        <v>44</v>
      </c>
      <c r="C808" s="18" t="s">
        <v>53</v>
      </c>
      <c r="D808" s="18" t="s">
        <v>2903</v>
      </c>
      <c r="E808" s="18" t="s">
        <v>2904</v>
      </c>
      <c r="F808" s="18" t="s">
        <v>2487</v>
      </c>
      <c r="G808" s="18">
        <v>15.16</v>
      </c>
      <c r="H808" s="18" t="s">
        <v>56</v>
      </c>
      <c r="I808" s="19">
        <v>7000.0</v>
      </c>
      <c r="J808" s="19">
        <v>7000.0</v>
      </c>
      <c r="K808" s="19"/>
      <c r="L808" s="18"/>
      <c r="M808" s="18"/>
      <c r="N808" s="18"/>
      <c r="O808" s="18" t="s">
        <v>2688</v>
      </c>
      <c r="P808" s="18"/>
      <c r="Q808" s="10">
        <f t="shared" si="1"/>
        <v>0</v>
      </c>
    </row>
    <row r="809">
      <c r="A809" s="18" t="s">
        <v>2208</v>
      </c>
      <c r="B809" s="18" t="s">
        <v>44</v>
      </c>
      <c r="C809" s="18" t="s">
        <v>64</v>
      </c>
      <c r="D809" s="18" t="s">
        <v>2905</v>
      </c>
      <c r="E809" s="18" t="s">
        <v>2906</v>
      </c>
      <c r="F809" s="18" t="s">
        <v>2487</v>
      </c>
      <c r="G809" s="18">
        <v>17.14</v>
      </c>
      <c r="H809" s="18" t="s">
        <v>120</v>
      </c>
      <c r="I809" s="19">
        <v>7400.0</v>
      </c>
      <c r="J809" s="19">
        <v>7400.0</v>
      </c>
      <c r="K809" s="19"/>
      <c r="L809" s="18"/>
      <c r="M809" s="18"/>
      <c r="N809" s="18"/>
      <c r="O809" s="18" t="s">
        <v>2688</v>
      </c>
      <c r="P809" s="18"/>
      <c r="Q809" s="10">
        <f t="shared" si="1"/>
        <v>0</v>
      </c>
    </row>
    <row r="810">
      <c r="A810" s="18" t="s">
        <v>2208</v>
      </c>
      <c r="B810" s="18" t="s">
        <v>44</v>
      </c>
      <c r="C810" s="18" t="s">
        <v>64</v>
      </c>
      <c r="D810" s="18" t="s">
        <v>2907</v>
      </c>
      <c r="E810" s="18" t="s">
        <v>2908</v>
      </c>
      <c r="F810" s="18" t="s">
        <v>2487</v>
      </c>
      <c r="G810" s="18">
        <v>17.24</v>
      </c>
      <c r="H810" s="18" t="s">
        <v>120</v>
      </c>
      <c r="I810" s="19">
        <v>7400.0</v>
      </c>
      <c r="J810" s="19">
        <v>7400.0</v>
      </c>
      <c r="K810" s="19"/>
      <c r="L810" s="18"/>
      <c r="M810" s="18"/>
      <c r="N810" s="18"/>
      <c r="O810" s="18" t="s">
        <v>2688</v>
      </c>
      <c r="P810" s="18"/>
      <c r="Q810" s="10">
        <f t="shared" si="1"/>
        <v>0</v>
      </c>
    </row>
    <row r="811">
      <c r="A811" s="18" t="s">
        <v>2208</v>
      </c>
      <c r="B811" s="18" t="s">
        <v>44</v>
      </c>
      <c r="C811" s="18" t="s">
        <v>76</v>
      </c>
      <c r="D811" s="18" t="s">
        <v>2909</v>
      </c>
      <c r="E811" s="18" t="s">
        <v>2910</v>
      </c>
      <c r="F811" s="18" t="s">
        <v>2487</v>
      </c>
      <c r="G811" s="18">
        <v>19.76</v>
      </c>
      <c r="H811" s="18" t="s">
        <v>120</v>
      </c>
      <c r="I811" s="19">
        <v>7900.0</v>
      </c>
      <c r="J811" s="19">
        <v>7900.0</v>
      </c>
      <c r="K811" s="19"/>
      <c r="L811" s="18"/>
      <c r="M811" s="18"/>
      <c r="N811" s="18"/>
      <c r="O811" s="18" t="s">
        <v>57</v>
      </c>
      <c r="P811" s="18"/>
      <c r="Q811" s="10">
        <f t="shared" si="1"/>
        <v>0</v>
      </c>
    </row>
    <row r="812">
      <c r="A812" s="18" t="s">
        <v>2208</v>
      </c>
      <c r="B812" s="18" t="s">
        <v>44</v>
      </c>
      <c r="C812" s="18" t="s">
        <v>133</v>
      </c>
      <c r="D812" s="18" t="s">
        <v>2911</v>
      </c>
      <c r="E812" s="18" t="s">
        <v>2912</v>
      </c>
      <c r="F812" s="18" t="s">
        <v>2487</v>
      </c>
      <c r="G812" s="18">
        <v>13.04</v>
      </c>
      <c r="H812" s="18" t="s">
        <v>56</v>
      </c>
      <c r="I812" s="19">
        <v>6500.0</v>
      </c>
      <c r="J812" s="19">
        <v>6500.0</v>
      </c>
      <c r="K812" s="19"/>
      <c r="L812" s="18"/>
      <c r="M812" s="18"/>
      <c r="N812" s="18"/>
      <c r="O812" s="18" t="s">
        <v>57</v>
      </c>
      <c r="P812" s="18"/>
      <c r="Q812" s="10">
        <f t="shared" si="1"/>
        <v>0</v>
      </c>
    </row>
    <row r="813">
      <c r="A813" s="18" t="s">
        <v>2208</v>
      </c>
      <c r="B813" s="18" t="s">
        <v>44</v>
      </c>
      <c r="C813" s="18" t="s">
        <v>64</v>
      </c>
      <c r="D813" s="18" t="s">
        <v>2913</v>
      </c>
      <c r="E813" s="18" t="s">
        <v>2914</v>
      </c>
      <c r="F813" s="18" t="s">
        <v>2487</v>
      </c>
      <c r="G813" s="18">
        <v>18.92</v>
      </c>
      <c r="H813" s="18" t="s">
        <v>120</v>
      </c>
      <c r="I813" s="19">
        <v>7400.0</v>
      </c>
      <c r="J813" s="19">
        <v>7400.0</v>
      </c>
      <c r="K813" s="19"/>
      <c r="L813" s="18"/>
      <c r="M813" s="18"/>
      <c r="N813" s="18"/>
      <c r="O813" s="18" t="s">
        <v>57</v>
      </c>
      <c r="P813" s="18"/>
      <c r="Q813" s="10">
        <f t="shared" si="1"/>
        <v>0</v>
      </c>
    </row>
    <row r="814">
      <c r="A814" s="18" t="s">
        <v>2208</v>
      </c>
      <c r="B814" s="18" t="s">
        <v>45</v>
      </c>
      <c r="C814" s="18" t="s">
        <v>45</v>
      </c>
      <c r="D814" s="18" t="s">
        <v>2915</v>
      </c>
      <c r="E814" s="18" t="s">
        <v>2916</v>
      </c>
      <c r="F814" s="18" t="s">
        <v>2487</v>
      </c>
      <c r="G814" s="18">
        <v>8.72</v>
      </c>
      <c r="H814" s="18" t="s">
        <v>45</v>
      </c>
      <c r="I814" s="19">
        <v>4700.0</v>
      </c>
      <c r="J814" s="19">
        <v>4700.0</v>
      </c>
      <c r="K814" s="19"/>
      <c r="L814" s="18"/>
      <c r="M814" s="18"/>
      <c r="N814" s="18"/>
      <c r="O814" s="18" t="s">
        <v>41</v>
      </c>
      <c r="P814" s="18"/>
      <c r="Q814" s="10">
        <f t="shared" si="1"/>
        <v>0</v>
      </c>
    </row>
    <row r="815">
      <c r="A815" s="18" t="s">
        <v>2208</v>
      </c>
      <c r="B815" s="18" t="s">
        <v>44</v>
      </c>
      <c r="C815" s="18" t="s">
        <v>133</v>
      </c>
      <c r="D815" s="18" t="s">
        <v>2917</v>
      </c>
      <c r="E815" s="18" t="s">
        <v>2918</v>
      </c>
      <c r="F815" s="18" t="s">
        <v>2487</v>
      </c>
      <c r="G815" s="18">
        <v>13.02</v>
      </c>
      <c r="H815" s="18" t="s">
        <v>56</v>
      </c>
      <c r="I815" s="19">
        <v>6500.0</v>
      </c>
      <c r="J815" s="19">
        <v>6500.0</v>
      </c>
      <c r="K815" s="19"/>
      <c r="L815" s="18"/>
      <c r="M815" s="18"/>
      <c r="N815" s="18"/>
      <c r="O815" s="18" t="s">
        <v>57</v>
      </c>
      <c r="P815" s="18"/>
      <c r="Q815" s="10">
        <f t="shared" si="1"/>
        <v>0</v>
      </c>
    </row>
    <row r="816">
      <c r="A816" s="18" t="s">
        <v>1238</v>
      </c>
      <c r="B816" s="18" t="s">
        <v>44</v>
      </c>
      <c r="C816" s="18" t="s">
        <v>53</v>
      </c>
      <c r="D816" s="18" t="s">
        <v>2919</v>
      </c>
      <c r="E816" s="18" t="s">
        <v>2920</v>
      </c>
      <c r="F816" s="18" t="s">
        <v>2487</v>
      </c>
      <c r="G816" s="18">
        <v>15.38</v>
      </c>
      <c r="H816" s="18" t="s">
        <v>471</v>
      </c>
      <c r="I816" s="19">
        <v>3600.0</v>
      </c>
      <c r="J816" s="19">
        <v>4700.0</v>
      </c>
      <c r="K816" s="19"/>
      <c r="L816" s="18"/>
      <c r="M816" s="18"/>
      <c r="N816" s="18"/>
      <c r="O816" s="18" t="s">
        <v>41</v>
      </c>
      <c r="P816" s="18" t="s">
        <v>144</v>
      </c>
      <c r="Q816" s="10">
        <f t="shared" si="1"/>
        <v>0</v>
      </c>
    </row>
    <row r="817">
      <c r="A817" s="18" t="s">
        <v>1238</v>
      </c>
      <c r="B817" s="18" t="s">
        <v>44</v>
      </c>
      <c r="C817" s="18" t="s">
        <v>53</v>
      </c>
      <c r="D817" s="18" t="s">
        <v>2921</v>
      </c>
      <c r="E817" s="18" t="s">
        <v>2922</v>
      </c>
      <c r="F817" s="18" t="s">
        <v>2487</v>
      </c>
      <c r="G817" s="18">
        <v>15.37</v>
      </c>
      <c r="H817" s="18" t="s">
        <v>1242</v>
      </c>
      <c r="I817" s="19">
        <v>3600.0</v>
      </c>
      <c r="J817" s="19">
        <v>4700.0</v>
      </c>
      <c r="K817" s="19"/>
      <c r="L817" s="18"/>
      <c r="M817" s="18"/>
      <c r="N817" s="18"/>
      <c r="O817" s="18" t="s">
        <v>41</v>
      </c>
      <c r="P817" s="18" t="s">
        <v>144</v>
      </c>
      <c r="Q817" s="10">
        <f t="shared" si="1"/>
        <v>0</v>
      </c>
    </row>
    <row r="818">
      <c r="A818" s="18" t="s">
        <v>2208</v>
      </c>
      <c r="B818" s="18" t="s">
        <v>44</v>
      </c>
      <c r="C818" s="18" t="s">
        <v>53</v>
      </c>
      <c r="D818" s="18" t="s">
        <v>2923</v>
      </c>
      <c r="E818" s="18" t="s">
        <v>2924</v>
      </c>
      <c r="F818" s="18" t="s">
        <v>2487</v>
      </c>
      <c r="G818" s="18">
        <v>15.16</v>
      </c>
      <c r="H818" s="18" t="s">
        <v>56</v>
      </c>
      <c r="I818" s="19">
        <v>7000.0</v>
      </c>
      <c r="J818" s="19">
        <v>7000.0</v>
      </c>
      <c r="K818" s="19"/>
      <c r="L818" s="18"/>
      <c r="M818" s="18"/>
      <c r="N818" s="18"/>
      <c r="O818" s="18" t="s">
        <v>2688</v>
      </c>
      <c r="P818" s="18"/>
      <c r="Q818" s="10">
        <f t="shared" si="1"/>
        <v>0</v>
      </c>
    </row>
    <row r="819">
      <c r="A819" s="18" t="s">
        <v>2208</v>
      </c>
      <c r="B819" s="18" t="s">
        <v>44</v>
      </c>
      <c r="C819" s="18" t="s">
        <v>133</v>
      </c>
      <c r="D819" s="18" t="s">
        <v>2925</v>
      </c>
      <c r="E819" s="18" t="s">
        <v>2926</v>
      </c>
      <c r="F819" s="18" t="s">
        <v>2487</v>
      </c>
      <c r="G819" s="18">
        <v>13.21</v>
      </c>
      <c r="H819" s="18" t="s">
        <v>56</v>
      </c>
      <c r="I819" s="19">
        <v>6500.0</v>
      </c>
      <c r="J819" s="19">
        <v>6500.0</v>
      </c>
      <c r="K819" s="19"/>
      <c r="L819" s="18"/>
      <c r="M819" s="18"/>
      <c r="N819" s="18"/>
      <c r="O819" s="18" t="s">
        <v>2688</v>
      </c>
      <c r="P819" s="18"/>
      <c r="Q819" s="10">
        <f t="shared" si="1"/>
        <v>0</v>
      </c>
    </row>
    <row r="820">
      <c r="A820" s="18" t="s">
        <v>282</v>
      </c>
      <c r="B820" s="18" t="s">
        <v>44</v>
      </c>
      <c r="C820" s="18" t="s">
        <v>113</v>
      </c>
      <c r="D820" s="18" t="s">
        <v>2927</v>
      </c>
      <c r="E820" s="18" t="s">
        <v>2928</v>
      </c>
      <c r="F820" s="18" t="s">
        <v>2487</v>
      </c>
      <c r="G820" s="18">
        <v>12.3</v>
      </c>
      <c r="H820" s="18" t="s">
        <v>56</v>
      </c>
      <c r="I820" s="19">
        <v>4188.0</v>
      </c>
      <c r="J820" s="19">
        <v>5050.0</v>
      </c>
      <c r="K820" s="19">
        <v>5050.0</v>
      </c>
      <c r="L820" s="18"/>
      <c r="M820" s="18"/>
      <c r="N820" s="18"/>
      <c r="O820" s="18" t="s">
        <v>41</v>
      </c>
      <c r="P820" s="18" t="s">
        <v>63</v>
      </c>
      <c r="Q820" s="10">
        <f t="shared" si="1"/>
        <v>0</v>
      </c>
    </row>
    <row r="821">
      <c r="A821" s="18" t="s">
        <v>282</v>
      </c>
      <c r="B821" s="18" t="s">
        <v>44</v>
      </c>
      <c r="C821" s="18" t="s">
        <v>64</v>
      </c>
      <c r="D821" s="18" t="s">
        <v>2929</v>
      </c>
      <c r="E821" s="18" t="s">
        <v>2930</v>
      </c>
      <c r="F821" s="18" t="s">
        <v>2487</v>
      </c>
      <c r="G821" s="18">
        <v>16.95</v>
      </c>
      <c r="H821" s="18" t="s">
        <v>120</v>
      </c>
      <c r="I821" s="19">
        <v>5767.0</v>
      </c>
      <c r="J821" s="19">
        <v>6950.0</v>
      </c>
      <c r="K821" s="19">
        <v>7000.0</v>
      </c>
      <c r="L821" s="18"/>
      <c r="M821" s="18"/>
      <c r="N821" s="18"/>
      <c r="O821" s="18" t="s">
        <v>57</v>
      </c>
      <c r="P821" s="18" t="s">
        <v>63</v>
      </c>
      <c r="Q821" s="10">
        <f t="shared" si="1"/>
        <v>0</v>
      </c>
    </row>
    <row r="822">
      <c r="A822" s="18" t="s">
        <v>282</v>
      </c>
      <c r="B822" s="18" t="s">
        <v>44</v>
      </c>
      <c r="C822" s="18" t="s">
        <v>76</v>
      </c>
      <c r="D822" s="18" t="s">
        <v>2931</v>
      </c>
      <c r="E822" s="18" t="s">
        <v>2932</v>
      </c>
      <c r="F822" s="18" t="s">
        <v>2487</v>
      </c>
      <c r="G822" s="18">
        <v>19.21</v>
      </c>
      <c r="H822" s="18" t="s">
        <v>168</v>
      </c>
      <c r="I822" s="19">
        <v>6499.0</v>
      </c>
      <c r="J822" s="19">
        <v>7800.0</v>
      </c>
      <c r="K822" s="19">
        <v>7800.0</v>
      </c>
      <c r="L822" s="18"/>
      <c r="M822" s="18"/>
      <c r="N822" s="18"/>
      <c r="O822" s="18" t="s">
        <v>57</v>
      </c>
      <c r="P822" s="18" t="s">
        <v>63</v>
      </c>
      <c r="Q822" s="10">
        <f t="shared" si="1"/>
        <v>0</v>
      </c>
    </row>
    <row r="823">
      <c r="A823" s="18" t="s">
        <v>216</v>
      </c>
      <c r="B823" s="18" t="s">
        <v>44</v>
      </c>
      <c r="C823" s="18" t="s">
        <v>133</v>
      </c>
      <c r="D823" s="18" t="s">
        <v>2933</v>
      </c>
      <c r="E823" s="18" t="s">
        <v>2934</v>
      </c>
      <c r="F823" s="18" t="s">
        <v>2487</v>
      </c>
      <c r="G823" s="18">
        <v>14.46</v>
      </c>
      <c r="H823" s="18" t="s">
        <v>56</v>
      </c>
      <c r="I823" s="19">
        <v>5323.0</v>
      </c>
      <c r="J823" s="19">
        <v>7500.0</v>
      </c>
      <c r="K823" s="19">
        <v>6450.0</v>
      </c>
      <c r="L823" s="18"/>
      <c r="M823" s="18"/>
      <c r="N823" s="18"/>
      <c r="O823" s="18" t="s">
        <v>83</v>
      </c>
      <c r="P823" s="18" t="s">
        <v>42</v>
      </c>
      <c r="Q823" s="10">
        <f t="shared" si="1"/>
        <v>0</v>
      </c>
    </row>
    <row r="824">
      <c r="A824" s="18" t="s">
        <v>282</v>
      </c>
      <c r="B824" s="18" t="s">
        <v>44</v>
      </c>
      <c r="C824" s="18" t="s">
        <v>53</v>
      </c>
      <c r="D824" s="18" t="s">
        <v>2935</v>
      </c>
      <c r="E824" s="18" t="s">
        <v>2936</v>
      </c>
      <c r="F824" s="18" t="s">
        <v>2487</v>
      </c>
      <c r="G824" s="18">
        <v>15.96</v>
      </c>
      <c r="H824" s="18" t="s">
        <v>56</v>
      </c>
      <c r="I824" s="19">
        <v>4851.0</v>
      </c>
      <c r="J824" s="19">
        <v>5850.0</v>
      </c>
      <c r="K824" s="19">
        <v>5900.0</v>
      </c>
      <c r="L824" s="18"/>
      <c r="M824" s="18"/>
      <c r="N824" s="18"/>
      <c r="O824" s="18" t="s">
        <v>57</v>
      </c>
      <c r="P824" s="18" t="s">
        <v>63</v>
      </c>
      <c r="Q824" s="10">
        <f t="shared" si="1"/>
        <v>0</v>
      </c>
    </row>
    <row r="825">
      <c r="A825" s="18" t="s">
        <v>282</v>
      </c>
      <c r="B825" s="18" t="s">
        <v>44</v>
      </c>
      <c r="C825" s="18" t="s">
        <v>133</v>
      </c>
      <c r="D825" s="18" t="s">
        <v>2937</v>
      </c>
      <c r="E825" s="18" t="s">
        <v>2938</v>
      </c>
      <c r="F825" s="18" t="s">
        <v>2487</v>
      </c>
      <c r="G825" s="18">
        <v>14.78</v>
      </c>
      <c r="H825" s="18" t="s">
        <v>56</v>
      </c>
      <c r="I825" s="19">
        <v>4851.0</v>
      </c>
      <c r="J825" s="19">
        <v>5850.0</v>
      </c>
      <c r="K825" s="19">
        <v>5900.0</v>
      </c>
      <c r="L825" s="18"/>
      <c r="M825" s="18"/>
      <c r="N825" s="18"/>
      <c r="O825" s="18" t="s">
        <v>57</v>
      </c>
      <c r="P825" s="18" t="s">
        <v>63</v>
      </c>
      <c r="Q825" s="10">
        <f t="shared" si="1"/>
        <v>0</v>
      </c>
    </row>
    <row r="826">
      <c r="A826" s="18" t="s">
        <v>282</v>
      </c>
      <c r="B826" s="18" t="s">
        <v>44</v>
      </c>
      <c r="C826" s="18" t="s">
        <v>113</v>
      </c>
      <c r="D826" s="18" t="s">
        <v>2939</v>
      </c>
      <c r="E826" s="18" t="s">
        <v>2940</v>
      </c>
      <c r="F826" s="18" t="s">
        <v>2487</v>
      </c>
      <c r="G826" s="18">
        <v>12.39</v>
      </c>
      <c r="H826" s="18" t="s">
        <v>56</v>
      </c>
      <c r="I826" s="19">
        <v>4188.0</v>
      </c>
      <c r="J826" s="19">
        <v>5050.0</v>
      </c>
      <c r="K826" s="19">
        <v>5050.0</v>
      </c>
      <c r="L826" s="18"/>
      <c r="M826" s="18"/>
      <c r="N826" s="18"/>
      <c r="O826" s="18" t="s">
        <v>41</v>
      </c>
      <c r="P826" s="18" t="s">
        <v>63</v>
      </c>
      <c r="Q826" s="10">
        <f t="shared" si="1"/>
        <v>0</v>
      </c>
    </row>
    <row r="827">
      <c r="A827" s="18" t="s">
        <v>35</v>
      </c>
      <c r="B827" s="18" t="s">
        <v>44</v>
      </c>
      <c r="C827" s="18" t="s">
        <v>133</v>
      </c>
      <c r="D827" s="18" t="s">
        <v>2941</v>
      </c>
      <c r="E827" s="18" t="s">
        <v>2942</v>
      </c>
      <c r="F827" s="18" t="s">
        <v>2487</v>
      </c>
      <c r="G827" s="18">
        <v>14.66</v>
      </c>
      <c r="H827" s="18" t="s">
        <v>56</v>
      </c>
      <c r="I827" s="19">
        <v>5436.0</v>
      </c>
      <c r="J827" s="19">
        <v>7350.0</v>
      </c>
      <c r="K827" s="19">
        <v>6550.0</v>
      </c>
      <c r="L827" s="18"/>
      <c r="M827" s="18"/>
      <c r="N827" s="18"/>
      <c r="O827" s="18" t="s">
        <v>41</v>
      </c>
      <c r="P827" s="18" t="s">
        <v>42</v>
      </c>
      <c r="Q827" s="10">
        <f t="shared" si="1"/>
        <v>0</v>
      </c>
    </row>
    <row r="828">
      <c r="A828" s="18" t="s">
        <v>35</v>
      </c>
      <c r="B828" s="18" t="s">
        <v>44</v>
      </c>
      <c r="C828" s="18" t="s">
        <v>64</v>
      </c>
      <c r="D828" s="18" t="s">
        <v>2943</v>
      </c>
      <c r="E828" s="18" t="s">
        <v>2944</v>
      </c>
      <c r="F828" s="18" t="s">
        <v>2487</v>
      </c>
      <c r="G828" s="18">
        <v>19.28</v>
      </c>
      <c r="H828" s="18" t="s">
        <v>168</v>
      </c>
      <c r="I828" s="19">
        <v>6648.0</v>
      </c>
      <c r="J828" s="19">
        <v>9000.0</v>
      </c>
      <c r="K828" s="19">
        <v>8000.0</v>
      </c>
      <c r="L828" s="18"/>
      <c r="M828" s="18"/>
      <c r="N828" s="18"/>
      <c r="O828" s="18" t="s">
        <v>41</v>
      </c>
      <c r="P828" s="18" t="s">
        <v>42</v>
      </c>
      <c r="Q828" s="10">
        <f t="shared" si="1"/>
        <v>0</v>
      </c>
    </row>
    <row r="829">
      <c r="A829" s="18" t="s">
        <v>35</v>
      </c>
      <c r="B829" s="18" t="s">
        <v>44</v>
      </c>
      <c r="C829" s="18" t="s">
        <v>133</v>
      </c>
      <c r="D829" s="18" t="s">
        <v>2945</v>
      </c>
      <c r="E829" s="18" t="s">
        <v>2946</v>
      </c>
      <c r="F829" s="18" t="s">
        <v>2487</v>
      </c>
      <c r="G829" s="18">
        <v>14.46</v>
      </c>
      <c r="H829" s="18" t="s">
        <v>56</v>
      </c>
      <c r="I829" s="19">
        <v>5436.0</v>
      </c>
      <c r="J829" s="19">
        <v>7350.0</v>
      </c>
      <c r="K829" s="19">
        <v>6550.0</v>
      </c>
      <c r="L829" s="18"/>
      <c r="M829" s="18"/>
      <c r="N829" s="18"/>
      <c r="O829" s="18" t="s">
        <v>57</v>
      </c>
      <c r="P829" s="18" t="s">
        <v>42</v>
      </c>
      <c r="Q829" s="10">
        <f t="shared" si="1"/>
        <v>0</v>
      </c>
    </row>
    <row r="830">
      <c r="A830" s="18" t="s">
        <v>125</v>
      </c>
      <c r="B830" s="18" t="s">
        <v>44</v>
      </c>
      <c r="C830" s="18" t="s">
        <v>53</v>
      </c>
      <c r="D830" s="18" t="s">
        <v>2947</v>
      </c>
      <c r="E830" s="18" t="s">
        <v>2948</v>
      </c>
      <c r="F830" s="18" t="s">
        <v>2487</v>
      </c>
      <c r="G830" s="18">
        <v>15.66</v>
      </c>
      <c r="H830" s="18" t="s">
        <v>56</v>
      </c>
      <c r="I830" s="19">
        <v>2948.0</v>
      </c>
      <c r="J830" s="19">
        <v>2550.0</v>
      </c>
      <c r="K830" s="19">
        <v>2700.0</v>
      </c>
      <c r="L830" s="18"/>
      <c r="M830" s="18"/>
      <c r="N830" s="18"/>
      <c r="O830" s="18" t="s">
        <v>57</v>
      </c>
      <c r="P830" s="18"/>
      <c r="Q830" s="10">
        <f t="shared" si="1"/>
        <v>0</v>
      </c>
    </row>
    <row r="831">
      <c r="A831" s="18" t="s">
        <v>125</v>
      </c>
      <c r="B831" s="18" t="s">
        <v>44</v>
      </c>
      <c r="C831" s="18" t="s">
        <v>113</v>
      </c>
      <c r="D831" s="18" t="s">
        <v>2949</v>
      </c>
      <c r="E831" s="18" t="s">
        <v>2950</v>
      </c>
      <c r="F831" s="18" t="s">
        <v>2487</v>
      </c>
      <c r="G831" s="18">
        <v>12.28</v>
      </c>
      <c r="H831" s="18" t="s">
        <v>116</v>
      </c>
      <c r="I831" s="19">
        <v>2376.0</v>
      </c>
      <c r="J831" s="19">
        <v>2050.0</v>
      </c>
      <c r="K831" s="19">
        <v>4200.0</v>
      </c>
      <c r="L831" s="18"/>
      <c r="M831" s="18"/>
      <c r="N831" s="18"/>
      <c r="O831" s="18" t="s">
        <v>57</v>
      </c>
      <c r="P831" s="18"/>
      <c r="Q831" s="10">
        <f t="shared" si="1"/>
        <v>0</v>
      </c>
    </row>
    <row r="832">
      <c r="A832" s="18" t="s">
        <v>125</v>
      </c>
      <c r="B832" s="18" t="s">
        <v>45</v>
      </c>
      <c r="C832" s="18" t="s">
        <v>45</v>
      </c>
      <c r="D832" s="18" t="s">
        <v>2951</v>
      </c>
      <c r="E832" s="18" t="s">
        <v>2952</v>
      </c>
      <c r="F832" s="18" t="s">
        <v>2487</v>
      </c>
      <c r="G832" s="18">
        <v>9.42</v>
      </c>
      <c r="H832" s="18" t="s">
        <v>45</v>
      </c>
      <c r="I832" s="19">
        <v>1995.0</v>
      </c>
      <c r="J832" s="19">
        <v>1700.0</v>
      </c>
      <c r="K832" s="19">
        <v>3300.0</v>
      </c>
      <c r="L832" s="18"/>
      <c r="M832" s="18"/>
      <c r="N832" s="18"/>
      <c r="O832" s="18" t="s">
        <v>57</v>
      </c>
      <c r="P832" s="18"/>
      <c r="Q832" s="10">
        <f t="shared" si="1"/>
        <v>0</v>
      </c>
    </row>
    <row r="833">
      <c r="A833" s="18" t="s">
        <v>364</v>
      </c>
      <c r="B833" s="18" t="s">
        <v>44</v>
      </c>
      <c r="C833" s="18" t="s">
        <v>53</v>
      </c>
      <c r="D833" s="18" t="s">
        <v>2953</v>
      </c>
      <c r="E833" s="18" t="s">
        <v>2954</v>
      </c>
      <c r="F833" s="18" t="s">
        <v>2487</v>
      </c>
      <c r="G833" s="18">
        <v>16.21</v>
      </c>
      <c r="H833" s="18" t="s">
        <v>56</v>
      </c>
      <c r="I833" s="19">
        <v>4125.0</v>
      </c>
      <c r="J833" s="19">
        <v>4150.0</v>
      </c>
      <c r="K833" s="19">
        <v>5000.0</v>
      </c>
      <c r="L833" s="18"/>
      <c r="M833" s="18"/>
      <c r="N833" s="18"/>
      <c r="O833" s="18" t="s">
        <v>41</v>
      </c>
      <c r="P833" s="18" t="s">
        <v>369</v>
      </c>
      <c r="Q833" s="10">
        <f t="shared" si="1"/>
        <v>0</v>
      </c>
    </row>
    <row r="834">
      <c r="A834" s="18" t="s">
        <v>364</v>
      </c>
      <c r="B834" s="18" t="s">
        <v>44</v>
      </c>
      <c r="C834" s="18" t="s">
        <v>64</v>
      </c>
      <c r="D834" s="18" t="s">
        <v>2955</v>
      </c>
      <c r="E834" s="18" t="s">
        <v>2956</v>
      </c>
      <c r="F834" s="18" t="s">
        <v>2487</v>
      </c>
      <c r="G834" s="18">
        <v>17.14</v>
      </c>
      <c r="H834" s="18" t="s">
        <v>120</v>
      </c>
      <c r="I834" s="19">
        <v>4650.0</v>
      </c>
      <c r="J834" s="19">
        <v>4650.0</v>
      </c>
      <c r="K834" s="19">
        <v>5400.0</v>
      </c>
      <c r="L834" s="18"/>
      <c r="M834" s="18"/>
      <c r="N834" s="18"/>
      <c r="O834" s="18" t="s">
        <v>41</v>
      </c>
      <c r="P834" s="18" t="s">
        <v>369</v>
      </c>
      <c r="Q834" s="10">
        <f t="shared" si="1"/>
        <v>0</v>
      </c>
    </row>
    <row r="835">
      <c r="A835" s="18" t="s">
        <v>43</v>
      </c>
      <c r="B835" s="18" t="s">
        <v>44</v>
      </c>
      <c r="C835" s="18" t="s">
        <v>53</v>
      </c>
      <c r="D835" s="18" t="s">
        <v>2957</v>
      </c>
      <c r="E835" s="18" t="s">
        <v>2958</v>
      </c>
      <c r="F835" s="18" t="s">
        <v>2959</v>
      </c>
      <c r="G835" s="18">
        <v>15.08</v>
      </c>
      <c r="H835" s="18" t="s">
        <v>56</v>
      </c>
      <c r="I835" s="19">
        <v>6400.0</v>
      </c>
      <c r="J835" s="19">
        <v>7700.0</v>
      </c>
      <c r="K835" s="19"/>
      <c r="L835" s="18"/>
      <c r="M835" s="18"/>
      <c r="N835" s="18"/>
      <c r="O835" s="18" t="s">
        <v>57</v>
      </c>
      <c r="P835" s="18" t="s">
        <v>48</v>
      </c>
      <c r="Q835" s="10">
        <f t="shared" si="1"/>
        <v>0</v>
      </c>
    </row>
    <row r="836">
      <c r="A836" s="18" t="s">
        <v>43</v>
      </c>
      <c r="B836" s="18" t="s">
        <v>44</v>
      </c>
      <c r="C836" s="18" t="s">
        <v>64</v>
      </c>
      <c r="D836" s="18" t="s">
        <v>2960</v>
      </c>
      <c r="E836" s="18" t="s">
        <v>2961</v>
      </c>
      <c r="F836" s="18" t="s">
        <v>2959</v>
      </c>
      <c r="G836" s="18">
        <v>17.12</v>
      </c>
      <c r="H836" s="18" t="s">
        <v>120</v>
      </c>
      <c r="I836" s="19">
        <v>6800.0</v>
      </c>
      <c r="J836" s="19">
        <v>8200.0</v>
      </c>
      <c r="K836" s="19"/>
      <c r="L836" s="18"/>
      <c r="M836" s="18"/>
      <c r="N836" s="18"/>
      <c r="O836" s="18" t="s">
        <v>57</v>
      </c>
      <c r="P836" s="18" t="s">
        <v>48</v>
      </c>
      <c r="Q836" s="10">
        <f t="shared" si="1"/>
        <v>0</v>
      </c>
    </row>
    <row r="837">
      <c r="A837" s="18" t="s">
        <v>43</v>
      </c>
      <c r="B837" s="18" t="s">
        <v>44</v>
      </c>
      <c r="C837" s="18" t="s">
        <v>53</v>
      </c>
      <c r="D837" s="18" t="s">
        <v>2962</v>
      </c>
      <c r="E837" s="18" t="s">
        <v>2963</v>
      </c>
      <c r="F837" s="18" t="s">
        <v>2959</v>
      </c>
      <c r="G837" s="18">
        <v>15.57</v>
      </c>
      <c r="H837" s="18" t="s">
        <v>56</v>
      </c>
      <c r="I837" s="19">
        <v>6400.0</v>
      </c>
      <c r="J837" s="19">
        <v>7700.0</v>
      </c>
      <c r="K837" s="19"/>
      <c r="L837" s="18"/>
      <c r="M837" s="18"/>
      <c r="N837" s="18"/>
      <c r="O837" s="18" t="s">
        <v>57</v>
      </c>
      <c r="P837" s="18" t="s">
        <v>48</v>
      </c>
      <c r="Q837" s="10">
        <f t="shared" si="1"/>
        <v>0</v>
      </c>
    </row>
    <row r="838">
      <c r="A838" s="18" t="s">
        <v>43</v>
      </c>
      <c r="B838" s="18" t="s">
        <v>44</v>
      </c>
      <c r="C838" s="18" t="s">
        <v>64</v>
      </c>
      <c r="D838" s="18" t="s">
        <v>2964</v>
      </c>
      <c r="E838" s="18" t="s">
        <v>2965</v>
      </c>
      <c r="F838" s="18" t="s">
        <v>2959</v>
      </c>
      <c r="G838" s="18">
        <v>17.03</v>
      </c>
      <c r="H838" s="18" t="s">
        <v>120</v>
      </c>
      <c r="I838" s="19">
        <v>6800.0</v>
      </c>
      <c r="J838" s="19">
        <v>8200.0</v>
      </c>
      <c r="K838" s="19"/>
      <c r="L838" s="18"/>
      <c r="M838" s="18"/>
      <c r="N838" s="18"/>
      <c r="O838" s="18" t="s">
        <v>57</v>
      </c>
      <c r="P838" s="18" t="s">
        <v>48</v>
      </c>
      <c r="Q838" s="10">
        <f t="shared" si="1"/>
        <v>0</v>
      </c>
    </row>
    <row r="839">
      <c r="A839" s="18" t="s">
        <v>43</v>
      </c>
      <c r="B839" s="18" t="s">
        <v>44</v>
      </c>
      <c r="C839" s="18" t="s">
        <v>53</v>
      </c>
      <c r="D839" s="18" t="s">
        <v>2966</v>
      </c>
      <c r="E839" s="18" t="s">
        <v>2967</v>
      </c>
      <c r="F839" s="18" t="s">
        <v>2959</v>
      </c>
      <c r="G839" s="18">
        <v>15.05</v>
      </c>
      <c r="H839" s="18" t="s">
        <v>56</v>
      </c>
      <c r="I839" s="19">
        <v>6400.0</v>
      </c>
      <c r="J839" s="19">
        <v>7700.0</v>
      </c>
      <c r="K839" s="19"/>
      <c r="L839" s="18"/>
      <c r="M839" s="18"/>
      <c r="N839" s="18"/>
      <c r="O839" s="18" t="s">
        <v>57</v>
      </c>
      <c r="P839" s="18" t="s">
        <v>48</v>
      </c>
      <c r="Q839" s="10">
        <f t="shared" si="1"/>
        <v>0</v>
      </c>
    </row>
    <row r="840">
      <c r="A840" s="18" t="s">
        <v>125</v>
      </c>
      <c r="B840" s="18" t="s">
        <v>44</v>
      </c>
      <c r="C840" s="18" t="s">
        <v>76</v>
      </c>
      <c r="D840" s="18" t="s">
        <v>2968</v>
      </c>
      <c r="E840" s="18" t="s">
        <v>2969</v>
      </c>
      <c r="F840" s="18" t="s">
        <v>2959</v>
      </c>
      <c r="G840" s="18">
        <v>19.36</v>
      </c>
      <c r="H840" s="18" t="s">
        <v>120</v>
      </c>
      <c r="I840" s="19">
        <v>3229.0</v>
      </c>
      <c r="J840" s="19">
        <v>2750.0</v>
      </c>
      <c r="K840" s="19"/>
      <c r="L840" s="18"/>
      <c r="M840" s="18"/>
      <c r="N840" s="18"/>
      <c r="O840" s="18" t="s">
        <v>83</v>
      </c>
      <c r="P840" s="18"/>
      <c r="Q840" s="10">
        <f t="shared" si="1"/>
        <v>0</v>
      </c>
    </row>
    <row r="841">
      <c r="A841" s="18" t="s">
        <v>125</v>
      </c>
      <c r="B841" s="18" t="s">
        <v>44</v>
      </c>
      <c r="C841" s="18" t="s">
        <v>53</v>
      </c>
      <c r="D841" s="18" t="s">
        <v>2970</v>
      </c>
      <c r="E841" s="18" t="s">
        <v>2971</v>
      </c>
      <c r="F841" s="18" t="s">
        <v>2959</v>
      </c>
      <c r="G841" s="18">
        <v>15.12</v>
      </c>
      <c r="H841" s="18" t="s">
        <v>56</v>
      </c>
      <c r="I841" s="19">
        <v>2948.0</v>
      </c>
      <c r="J841" s="19">
        <v>2550.0</v>
      </c>
      <c r="K841" s="19">
        <v>3900.0</v>
      </c>
      <c r="L841" s="18"/>
      <c r="M841" s="18"/>
      <c r="N841" s="18"/>
      <c r="O841" s="18" t="s">
        <v>83</v>
      </c>
      <c r="P841" s="18"/>
      <c r="Q841" s="10">
        <f t="shared" si="1"/>
        <v>0</v>
      </c>
    </row>
    <row r="842">
      <c r="A842" s="18" t="s">
        <v>125</v>
      </c>
      <c r="B842" s="18" t="s">
        <v>44</v>
      </c>
      <c r="C842" s="18" t="s">
        <v>113</v>
      </c>
      <c r="D842" s="18" t="s">
        <v>2972</v>
      </c>
      <c r="E842" s="18" t="s">
        <v>2973</v>
      </c>
      <c r="F842" s="18" t="s">
        <v>2959</v>
      </c>
      <c r="G842" s="18">
        <v>10.69</v>
      </c>
      <c r="H842" s="18" t="s">
        <v>116</v>
      </c>
      <c r="I842" s="19">
        <v>2376.0</v>
      </c>
      <c r="J842" s="19">
        <v>2050.0</v>
      </c>
      <c r="K842" s="19">
        <v>4750.0</v>
      </c>
      <c r="L842" s="18"/>
      <c r="M842" s="18"/>
      <c r="N842" s="18"/>
      <c r="O842" s="18" t="s">
        <v>57</v>
      </c>
      <c r="P842" s="18"/>
      <c r="Q842" s="10">
        <f t="shared" si="1"/>
        <v>0</v>
      </c>
    </row>
    <row r="843">
      <c r="A843" s="18" t="s">
        <v>125</v>
      </c>
      <c r="B843" s="18" t="s">
        <v>44</v>
      </c>
      <c r="C843" s="18" t="s">
        <v>133</v>
      </c>
      <c r="D843" s="18" t="s">
        <v>2974</v>
      </c>
      <c r="E843" s="18" t="s">
        <v>2975</v>
      </c>
      <c r="F843" s="18" t="s">
        <v>2959</v>
      </c>
      <c r="G843" s="18">
        <v>13.03</v>
      </c>
      <c r="H843" s="18" t="s">
        <v>56</v>
      </c>
      <c r="I843" s="19">
        <v>2753.0</v>
      </c>
      <c r="J843" s="19">
        <v>2350.0</v>
      </c>
      <c r="K843" s="19">
        <v>4200.0</v>
      </c>
      <c r="L843" s="18"/>
      <c r="M843" s="18"/>
      <c r="N843" s="18"/>
      <c r="O843" s="18" t="s">
        <v>57</v>
      </c>
      <c r="P843" s="18"/>
      <c r="Q843" s="10">
        <f t="shared" si="1"/>
        <v>0</v>
      </c>
    </row>
    <row r="844">
      <c r="A844" s="18" t="s">
        <v>125</v>
      </c>
      <c r="B844" s="18" t="s">
        <v>44</v>
      </c>
      <c r="C844" s="18" t="s">
        <v>53</v>
      </c>
      <c r="D844" s="18" t="s">
        <v>2976</v>
      </c>
      <c r="E844" s="18" t="s">
        <v>2977</v>
      </c>
      <c r="F844" s="18" t="s">
        <v>2959</v>
      </c>
      <c r="G844" s="18">
        <v>15.27</v>
      </c>
      <c r="H844" s="18" t="s">
        <v>56</v>
      </c>
      <c r="I844" s="19">
        <v>2948.0</v>
      </c>
      <c r="J844" s="19">
        <v>2550.0</v>
      </c>
      <c r="K844" s="19">
        <v>3300.0</v>
      </c>
      <c r="L844" s="18"/>
      <c r="M844" s="18"/>
      <c r="N844" s="18"/>
      <c r="O844" s="18" t="s">
        <v>83</v>
      </c>
      <c r="P844" s="18"/>
      <c r="Q844" s="10">
        <f t="shared" si="1"/>
        <v>0</v>
      </c>
    </row>
    <row r="845">
      <c r="A845" s="18" t="s">
        <v>125</v>
      </c>
      <c r="B845" s="18" t="s">
        <v>44</v>
      </c>
      <c r="C845" s="18" t="s">
        <v>133</v>
      </c>
      <c r="D845" s="18" t="s">
        <v>2978</v>
      </c>
      <c r="E845" s="18" t="s">
        <v>2979</v>
      </c>
      <c r="F845" s="18" t="s">
        <v>2959</v>
      </c>
      <c r="G845" s="18">
        <v>13.02</v>
      </c>
      <c r="H845" s="18" t="s">
        <v>56</v>
      </c>
      <c r="I845" s="19">
        <v>2753.0</v>
      </c>
      <c r="J845" s="19">
        <v>2350.0</v>
      </c>
      <c r="K845" s="19">
        <v>3550.0</v>
      </c>
      <c r="L845" s="18"/>
      <c r="M845" s="18"/>
      <c r="N845" s="18"/>
      <c r="O845" s="18" t="s">
        <v>57</v>
      </c>
      <c r="P845" s="18"/>
      <c r="Q845" s="10">
        <f t="shared" si="1"/>
        <v>0</v>
      </c>
    </row>
    <row r="846">
      <c r="A846" s="18" t="s">
        <v>125</v>
      </c>
      <c r="B846" s="18" t="s">
        <v>36</v>
      </c>
      <c r="C846" s="18" t="s">
        <v>37</v>
      </c>
      <c r="D846" s="18" t="s">
        <v>2980</v>
      </c>
      <c r="E846" s="18" t="s">
        <v>2981</v>
      </c>
      <c r="F846" s="18" t="s">
        <v>2959</v>
      </c>
      <c r="G846" s="18">
        <v>45.37</v>
      </c>
      <c r="H846" s="18" t="s">
        <v>168</v>
      </c>
      <c r="I846" s="19">
        <v>4500.0</v>
      </c>
      <c r="J846" s="19">
        <v>3850.0</v>
      </c>
      <c r="K846" s="19">
        <v>2700.0</v>
      </c>
      <c r="L846" s="18"/>
      <c r="M846" s="18"/>
      <c r="N846" s="18"/>
      <c r="O846" s="18" t="s">
        <v>57</v>
      </c>
      <c r="P846" s="18"/>
      <c r="Q846" s="10">
        <f t="shared" si="1"/>
        <v>0</v>
      </c>
    </row>
    <row r="847">
      <c r="A847" s="18"/>
      <c r="B847" s="18"/>
      <c r="C847" s="18"/>
      <c r="D847" s="18"/>
      <c r="E847" s="18"/>
      <c r="F847" s="18"/>
      <c r="G847" s="18"/>
      <c r="H847" s="18"/>
      <c r="I847" s="19"/>
      <c r="J847" s="19"/>
      <c r="K847" s="19"/>
      <c r="L847" s="18"/>
      <c r="M847" s="18"/>
      <c r="N847" s="18"/>
      <c r="O847" s="18"/>
      <c r="P847" s="18"/>
      <c r="Q847" s="10">
        <f t="shared" si="1"/>
        <v>0</v>
      </c>
    </row>
    <row r="848">
      <c r="A848" s="18"/>
      <c r="B848" s="18"/>
      <c r="C848" s="18"/>
      <c r="D848" s="18"/>
      <c r="E848" s="18"/>
      <c r="F848" s="18"/>
      <c r="G848" s="18"/>
      <c r="H848" s="18"/>
      <c r="I848" s="19"/>
      <c r="J848" s="19"/>
      <c r="K848" s="19"/>
      <c r="L848" s="18"/>
      <c r="M848" s="18"/>
      <c r="N848" s="18"/>
      <c r="O848" s="18"/>
      <c r="P848" s="18"/>
      <c r="Q848" s="10">
        <f t="shared" si="1"/>
        <v>0</v>
      </c>
    </row>
    <row r="849">
      <c r="A849" s="18"/>
      <c r="B849" s="18"/>
      <c r="C849" s="18"/>
      <c r="D849" s="18"/>
      <c r="E849" s="18"/>
      <c r="F849" s="18"/>
      <c r="G849" s="18"/>
      <c r="H849" s="18"/>
      <c r="I849" s="19"/>
      <c r="J849" s="19"/>
      <c r="K849" s="19"/>
      <c r="L849" s="18"/>
      <c r="M849" s="18"/>
      <c r="N849" s="18"/>
      <c r="O849" s="18"/>
      <c r="P849" s="18"/>
      <c r="Q849" s="10">
        <f t="shared" si="1"/>
        <v>0</v>
      </c>
    </row>
    <row r="850">
      <c r="A850" s="18"/>
      <c r="B850" s="18"/>
      <c r="C850" s="18"/>
      <c r="D850" s="18"/>
      <c r="E850" s="18"/>
      <c r="F850" s="18"/>
      <c r="G850" s="18"/>
      <c r="H850" s="18"/>
      <c r="I850" s="19"/>
      <c r="J850" s="19"/>
      <c r="K850" s="19"/>
      <c r="L850" s="18"/>
      <c r="M850" s="18"/>
      <c r="N850" s="18"/>
      <c r="O850" s="18"/>
      <c r="P850" s="18"/>
      <c r="Q850" s="10">
        <f t="shared" si="1"/>
        <v>0</v>
      </c>
    </row>
    <row r="851">
      <c r="A851" s="18"/>
      <c r="B851" s="18"/>
      <c r="C851" s="18"/>
      <c r="D851" s="18"/>
      <c r="E851" s="18"/>
      <c r="F851" s="18"/>
      <c r="G851" s="18"/>
      <c r="H851" s="18"/>
      <c r="I851" s="19"/>
      <c r="J851" s="19"/>
      <c r="K851" s="19"/>
      <c r="L851" s="18"/>
      <c r="M851" s="18"/>
      <c r="N851" s="18"/>
      <c r="O851" s="18"/>
      <c r="P851" s="18"/>
      <c r="Q851" s="10">
        <f t="shared" si="1"/>
        <v>0</v>
      </c>
    </row>
    <row r="852">
      <c r="A852" s="18"/>
      <c r="B852" s="18"/>
      <c r="C852" s="18"/>
      <c r="D852" s="18"/>
      <c r="E852" s="18"/>
      <c r="F852" s="18"/>
      <c r="G852" s="18"/>
      <c r="H852" s="18"/>
      <c r="I852" s="19"/>
      <c r="J852" s="19"/>
      <c r="K852" s="19"/>
      <c r="L852" s="18"/>
      <c r="M852" s="18"/>
      <c r="N852" s="18"/>
      <c r="O852" s="18"/>
      <c r="P852" s="18"/>
      <c r="Q852" s="10">
        <f t="shared" si="1"/>
        <v>0</v>
      </c>
    </row>
    <row r="853">
      <c r="A853" s="18"/>
      <c r="B853" s="18"/>
      <c r="C853" s="18"/>
      <c r="D853" s="18"/>
      <c r="E853" s="18"/>
      <c r="F853" s="18"/>
      <c r="G853" s="18"/>
      <c r="H853" s="18"/>
      <c r="I853" s="19"/>
      <c r="J853" s="19"/>
      <c r="K853" s="19"/>
      <c r="L853" s="18"/>
      <c r="M853" s="18"/>
      <c r="N853" s="18"/>
      <c r="O853" s="18"/>
      <c r="P853" s="18"/>
      <c r="Q853" s="10">
        <f t="shared" si="1"/>
        <v>0</v>
      </c>
    </row>
    <row r="854">
      <c r="A854" s="18"/>
      <c r="B854" s="18"/>
      <c r="C854" s="18"/>
      <c r="D854" s="18"/>
      <c r="E854" s="18"/>
      <c r="F854" s="18"/>
      <c r="G854" s="18"/>
      <c r="H854" s="18"/>
      <c r="I854" s="19"/>
      <c r="J854" s="19"/>
      <c r="K854" s="19"/>
      <c r="L854" s="18"/>
      <c r="M854" s="18"/>
      <c r="N854" s="18"/>
      <c r="O854" s="18"/>
      <c r="P854" s="18"/>
      <c r="Q854" s="10">
        <f t="shared" si="1"/>
        <v>0</v>
      </c>
    </row>
    <row r="855">
      <c r="A855" s="18"/>
      <c r="B855" s="18"/>
      <c r="C855" s="18"/>
      <c r="D855" s="18"/>
      <c r="E855" s="18"/>
      <c r="F855" s="18"/>
      <c r="G855" s="18"/>
      <c r="H855" s="18"/>
      <c r="I855" s="19"/>
      <c r="J855" s="19"/>
      <c r="K855" s="19"/>
      <c r="L855" s="18"/>
      <c r="M855" s="23"/>
      <c r="N855" s="18"/>
      <c r="O855" s="18"/>
      <c r="P855" s="18"/>
      <c r="Q855" s="10">
        <f t="shared" si="1"/>
        <v>0</v>
      </c>
    </row>
    <row r="856">
      <c r="A856" s="18"/>
      <c r="B856" s="18"/>
      <c r="C856" s="18"/>
      <c r="D856" s="18"/>
      <c r="E856" s="18"/>
      <c r="F856" s="18"/>
      <c r="G856" s="18"/>
      <c r="H856" s="18"/>
      <c r="I856" s="19"/>
      <c r="J856" s="19"/>
      <c r="K856" s="19"/>
      <c r="L856" s="18"/>
      <c r="M856" s="18"/>
      <c r="N856" s="18"/>
      <c r="O856" s="18"/>
      <c r="P856" s="18"/>
      <c r="Q856" s="10">
        <f t="shared" si="1"/>
        <v>0</v>
      </c>
    </row>
    <row r="857">
      <c r="A857" s="18"/>
      <c r="B857" s="18"/>
      <c r="C857" s="18"/>
      <c r="D857" s="18"/>
      <c r="E857" s="18"/>
      <c r="F857" s="18"/>
      <c r="G857" s="18"/>
      <c r="H857" s="18"/>
      <c r="I857" s="19"/>
      <c r="J857" s="19"/>
      <c r="K857" s="19"/>
      <c r="L857" s="18"/>
      <c r="M857" s="18"/>
      <c r="N857" s="18"/>
      <c r="O857" s="18"/>
      <c r="P857" s="18"/>
      <c r="Q857" s="10">
        <f t="shared" si="1"/>
        <v>0</v>
      </c>
    </row>
    <row r="858">
      <c r="A858" s="18"/>
      <c r="B858" s="18"/>
      <c r="C858" s="18"/>
      <c r="D858" s="18"/>
      <c r="E858" s="18"/>
      <c r="F858" s="18"/>
      <c r="G858" s="18"/>
      <c r="H858" s="18"/>
      <c r="I858" s="19"/>
      <c r="J858" s="19"/>
      <c r="K858" s="19"/>
      <c r="L858" s="18"/>
      <c r="M858" s="18"/>
      <c r="N858" s="18"/>
      <c r="O858" s="18"/>
      <c r="P858" s="18"/>
      <c r="Q858" s="10">
        <f t="shared" si="1"/>
        <v>0</v>
      </c>
    </row>
    <row r="859">
      <c r="A859" s="18"/>
      <c r="B859" s="18"/>
      <c r="C859" s="18"/>
      <c r="D859" s="18"/>
      <c r="E859" s="18"/>
      <c r="F859" s="18"/>
      <c r="G859" s="18"/>
      <c r="H859" s="18"/>
      <c r="I859" s="19"/>
      <c r="J859" s="19"/>
      <c r="K859" s="19"/>
      <c r="L859" s="18"/>
      <c r="M859" s="18"/>
      <c r="N859" s="18"/>
      <c r="O859" s="18"/>
      <c r="P859" s="18"/>
      <c r="Q859" s="10">
        <f t="shared" si="1"/>
        <v>0</v>
      </c>
    </row>
    <row r="860">
      <c r="A860" s="18"/>
      <c r="B860" s="18"/>
      <c r="C860" s="18"/>
      <c r="D860" s="18"/>
      <c r="E860" s="18"/>
      <c r="F860" s="18"/>
      <c r="G860" s="18"/>
      <c r="H860" s="18"/>
      <c r="I860" s="19"/>
      <c r="J860" s="19"/>
      <c r="K860" s="19"/>
      <c r="L860" s="18"/>
      <c r="M860" s="18"/>
      <c r="N860" s="18"/>
      <c r="O860" s="18"/>
      <c r="P860" s="18"/>
      <c r="Q860" s="10">
        <f t="shared" si="1"/>
        <v>0</v>
      </c>
    </row>
    <row r="861">
      <c r="A861" s="18"/>
      <c r="B861" s="18"/>
      <c r="C861" s="18"/>
      <c r="D861" s="18"/>
      <c r="E861" s="18"/>
      <c r="F861" s="18"/>
      <c r="G861" s="18"/>
      <c r="H861" s="18"/>
      <c r="I861" s="19"/>
      <c r="J861" s="19"/>
      <c r="K861" s="19"/>
      <c r="L861" s="18"/>
      <c r="M861" s="18"/>
      <c r="N861" s="18"/>
      <c r="O861" s="18"/>
      <c r="P861" s="18"/>
      <c r="Q861" s="10">
        <f t="shared" si="1"/>
        <v>0</v>
      </c>
    </row>
    <row r="862">
      <c r="A862" s="18"/>
      <c r="B862" s="18"/>
      <c r="C862" s="18"/>
      <c r="D862" s="18"/>
      <c r="E862" s="18"/>
      <c r="F862" s="18"/>
      <c r="G862" s="18"/>
      <c r="H862" s="18"/>
      <c r="I862" s="19"/>
      <c r="J862" s="19"/>
      <c r="K862" s="19"/>
      <c r="L862" s="18"/>
      <c r="M862" s="18"/>
      <c r="N862" s="18"/>
      <c r="O862" s="18"/>
      <c r="P862" s="18"/>
      <c r="Q862" s="10">
        <f t="shared" si="1"/>
        <v>0</v>
      </c>
    </row>
    <row r="863">
      <c r="A863" s="18"/>
      <c r="B863" s="18"/>
      <c r="C863" s="18"/>
      <c r="D863" s="18"/>
      <c r="E863" s="18"/>
      <c r="F863" s="18"/>
      <c r="G863" s="18"/>
      <c r="H863" s="18"/>
      <c r="I863" s="19"/>
      <c r="J863" s="19"/>
      <c r="K863" s="19"/>
      <c r="L863" s="18"/>
      <c r="M863" s="18"/>
      <c r="N863" s="18"/>
      <c r="O863" s="18"/>
      <c r="P863" s="18"/>
      <c r="Q863" s="10">
        <f t="shared" si="1"/>
        <v>0</v>
      </c>
    </row>
    <row r="864">
      <c r="A864" s="18"/>
      <c r="B864" s="18"/>
      <c r="C864" s="18"/>
      <c r="D864" s="18"/>
      <c r="E864" s="18"/>
      <c r="F864" s="18"/>
      <c r="G864" s="18"/>
      <c r="H864" s="18"/>
      <c r="I864" s="19"/>
      <c r="J864" s="19"/>
      <c r="K864" s="19"/>
      <c r="L864" s="18"/>
      <c r="M864" s="18"/>
      <c r="N864" s="18"/>
      <c r="O864" s="18"/>
      <c r="P864" s="18"/>
      <c r="Q864" s="10">
        <f t="shared" si="1"/>
        <v>0</v>
      </c>
    </row>
    <row r="865">
      <c r="A865" s="18"/>
      <c r="B865" s="18"/>
      <c r="C865" s="18"/>
      <c r="D865" s="18"/>
      <c r="E865" s="18"/>
      <c r="F865" s="18"/>
      <c r="G865" s="18"/>
      <c r="H865" s="18"/>
      <c r="I865" s="19"/>
      <c r="J865" s="19"/>
      <c r="K865" s="19"/>
      <c r="L865" s="18"/>
      <c r="M865" s="18"/>
      <c r="N865" s="18"/>
      <c r="O865" s="18"/>
      <c r="P865" s="18"/>
      <c r="Q865" s="10">
        <f t="shared" si="1"/>
        <v>0</v>
      </c>
    </row>
    <row r="866">
      <c r="A866" s="18"/>
      <c r="B866" s="18"/>
      <c r="C866" s="18"/>
      <c r="D866" s="18"/>
      <c r="E866" s="18"/>
      <c r="F866" s="18"/>
      <c r="G866" s="18"/>
      <c r="H866" s="18"/>
      <c r="I866" s="19"/>
      <c r="J866" s="19"/>
      <c r="K866" s="19"/>
      <c r="L866" s="18"/>
      <c r="M866" s="18"/>
      <c r="N866" s="18"/>
      <c r="O866" s="18"/>
      <c r="P866" s="18"/>
      <c r="Q866" s="10">
        <f t="shared" si="1"/>
        <v>0</v>
      </c>
    </row>
    <row r="867">
      <c r="A867" s="18"/>
      <c r="B867" s="18"/>
      <c r="C867" s="18"/>
      <c r="D867" s="18"/>
      <c r="E867" s="18"/>
      <c r="F867" s="18"/>
      <c r="G867" s="18"/>
      <c r="H867" s="18"/>
      <c r="I867" s="19"/>
      <c r="J867" s="19"/>
      <c r="K867" s="19"/>
      <c r="L867" s="18"/>
      <c r="M867" s="18"/>
      <c r="N867" s="18"/>
      <c r="O867" s="18"/>
      <c r="P867" s="18"/>
      <c r="Q867" s="10">
        <f t="shared" si="1"/>
        <v>0</v>
      </c>
    </row>
    <row r="868">
      <c r="A868" s="18"/>
      <c r="B868" s="18"/>
      <c r="C868" s="18"/>
      <c r="D868" s="18"/>
      <c r="E868" s="18"/>
      <c r="F868" s="18"/>
      <c r="G868" s="18"/>
      <c r="H868" s="18"/>
      <c r="I868" s="19"/>
      <c r="J868" s="19"/>
      <c r="K868" s="19"/>
      <c r="L868" s="18"/>
      <c r="M868" s="18"/>
      <c r="N868" s="18"/>
      <c r="O868" s="18"/>
      <c r="P868" s="18"/>
      <c r="Q868" s="10">
        <f t="shared" si="1"/>
        <v>0</v>
      </c>
    </row>
    <row r="869">
      <c r="A869" s="18"/>
      <c r="B869" s="18"/>
      <c r="C869" s="18"/>
      <c r="D869" s="18"/>
      <c r="E869" s="18"/>
      <c r="F869" s="18"/>
      <c r="G869" s="18"/>
      <c r="H869" s="18"/>
      <c r="I869" s="19"/>
      <c r="J869" s="19"/>
      <c r="K869" s="19"/>
      <c r="L869" s="18"/>
      <c r="M869" s="18"/>
      <c r="N869" s="18"/>
      <c r="O869" s="18"/>
      <c r="P869" s="18"/>
      <c r="Q869" s="10">
        <f t="shared" si="1"/>
        <v>0</v>
      </c>
    </row>
    <row r="870">
      <c r="A870" s="18"/>
      <c r="B870" s="18"/>
      <c r="C870" s="18"/>
      <c r="D870" s="18"/>
      <c r="E870" s="18"/>
      <c r="F870" s="18"/>
      <c r="G870" s="18"/>
      <c r="H870" s="18"/>
      <c r="I870" s="19"/>
      <c r="J870" s="19"/>
      <c r="K870" s="19"/>
      <c r="L870" s="18"/>
      <c r="M870" s="18"/>
      <c r="N870" s="18"/>
      <c r="O870" s="18"/>
      <c r="P870" s="18"/>
      <c r="Q870" s="10">
        <f t="shared" si="1"/>
        <v>0</v>
      </c>
    </row>
    <row r="871">
      <c r="A871" s="18"/>
      <c r="B871" s="18"/>
      <c r="C871" s="18"/>
      <c r="D871" s="18"/>
      <c r="E871" s="18"/>
      <c r="F871" s="18"/>
      <c r="G871" s="18"/>
      <c r="H871" s="18"/>
      <c r="I871" s="19"/>
      <c r="J871" s="19"/>
      <c r="K871" s="19"/>
      <c r="L871" s="18"/>
      <c r="M871" s="18"/>
      <c r="N871" s="18"/>
      <c r="O871" s="18"/>
      <c r="P871" s="18"/>
      <c r="Q871" s="10">
        <f t="shared" si="1"/>
        <v>0</v>
      </c>
    </row>
    <row r="872">
      <c r="A872" s="18"/>
      <c r="B872" s="18"/>
      <c r="C872" s="18"/>
      <c r="D872" s="18"/>
      <c r="E872" s="18"/>
      <c r="F872" s="18"/>
      <c r="G872" s="18"/>
      <c r="H872" s="18"/>
      <c r="I872" s="19"/>
      <c r="J872" s="19"/>
      <c r="K872" s="19"/>
      <c r="L872" s="18"/>
      <c r="M872" s="18"/>
      <c r="N872" s="18"/>
      <c r="O872" s="18"/>
      <c r="P872" s="18"/>
      <c r="Q872" s="10">
        <f t="shared" si="1"/>
        <v>0</v>
      </c>
    </row>
    <row r="873">
      <c r="A873" s="18"/>
      <c r="B873" s="18"/>
      <c r="C873" s="18"/>
      <c r="D873" s="18"/>
      <c r="E873" s="18"/>
      <c r="F873" s="18"/>
      <c r="G873" s="18"/>
      <c r="H873" s="18"/>
      <c r="I873" s="19"/>
      <c r="J873" s="19"/>
      <c r="K873" s="19"/>
      <c r="L873" s="18"/>
      <c r="M873" s="18"/>
      <c r="N873" s="18"/>
      <c r="O873" s="18"/>
      <c r="P873" s="18"/>
      <c r="Q873" s="10">
        <f t="shared" si="1"/>
        <v>0</v>
      </c>
    </row>
    <row r="874">
      <c r="A874" s="18"/>
      <c r="B874" s="18"/>
      <c r="C874" s="18"/>
      <c r="D874" s="18"/>
      <c r="E874" s="18"/>
      <c r="F874" s="18"/>
      <c r="G874" s="18"/>
      <c r="H874" s="18"/>
      <c r="I874" s="19"/>
      <c r="J874" s="19"/>
      <c r="K874" s="19"/>
      <c r="L874" s="18"/>
      <c r="M874" s="18"/>
      <c r="N874" s="18"/>
      <c r="O874" s="18"/>
      <c r="P874" s="18"/>
      <c r="Q874" s="10">
        <f t="shared" si="1"/>
        <v>0</v>
      </c>
    </row>
    <row r="875">
      <c r="A875" s="18"/>
      <c r="B875" s="18"/>
      <c r="C875" s="18"/>
      <c r="D875" s="18"/>
      <c r="E875" s="18"/>
      <c r="F875" s="18"/>
      <c r="G875" s="18"/>
      <c r="H875" s="18"/>
      <c r="I875" s="19"/>
      <c r="J875" s="19"/>
      <c r="K875" s="19"/>
      <c r="L875" s="18"/>
      <c r="M875" s="18"/>
      <c r="N875" s="18"/>
      <c r="O875" s="18"/>
      <c r="P875" s="18"/>
      <c r="Q875" s="10">
        <f t="shared" si="1"/>
        <v>0</v>
      </c>
    </row>
    <row r="876">
      <c r="A876" s="18"/>
      <c r="B876" s="18"/>
      <c r="C876" s="18"/>
      <c r="D876" s="18"/>
      <c r="E876" s="18"/>
      <c r="F876" s="18"/>
      <c r="G876" s="18"/>
      <c r="H876" s="18"/>
      <c r="I876" s="19"/>
      <c r="J876" s="19"/>
      <c r="K876" s="19"/>
      <c r="L876" s="18"/>
      <c r="M876" s="18"/>
      <c r="N876" s="18"/>
      <c r="O876" s="18"/>
      <c r="P876" s="18"/>
      <c r="Q876" s="10">
        <f t="shared" si="1"/>
        <v>0</v>
      </c>
    </row>
    <row r="877">
      <c r="A877" s="18"/>
      <c r="B877" s="18"/>
      <c r="C877" s="18"/>
      <c r="D877" s="18"/>
      <c r="E877" s="18"/>
      <c r="F877" s="18"/>
      <c r="G877" s="18"/>
      <c r="H877" s="18"/>
      <c r="I877" s="19"/>
      <c r="J877" s="19"/>
      <c r="K877" s="19"/>
      <c r="L877" s="18"/>
      <c r="M877" s="18"/>
      <c r="N877" s="18"/>
      <c r="O877" s="18"/>
      <c r="P877" s="18"/>
      <c r="Q877" s="10">
        <f t="shared" si="1"/>
        <v>0</v>
      </c>
    </row>
    <row r="878">
      <c r="A878" s="18"/>
      <c r="B878" s="18"/>
      <c r="C878" s="18"/>
      <c r="D878" s="18"/>
      <c r="E878" s="18"/>
      <c r="F878" s="18"/>
      <c r="G878" s="18"/>
      <c r="H878" s="18"/>
      <c r="I878" s="19"/>
      <c r="J878" s="19"/>
      <c r="K878" s="19"/>
      <c r="L878" s="18"/>
      <c r="M878" s="18"/>
      <c r="N878" s="18"/>
      <c r="O878" s="18"/>
      <c r="P878" s="18"/>
      <c r="Q878" s="10">
        <f t="shared" si="1"/>
        <v>0</v>
      </c>
    </row>
    <row r="879">
      <c r="A879" s="18"/>
      <c r="B879" s="18"/>
      <c r="C879" s="18"/>
      <c r="D879" s="18"/>
      <c r="E879" s="18"/>
      <c r="F879" s="18"/>
      <c r="G879" s="18"/>
      <c r="H879" s="18"/>
      <c r="I879" s="19"/>
      <c r="J879" s="19"/>
      <c r="K879" s="19"/>
      <c r="L879" s="18"/>
      <c r="M879" s="18"/>
      <c r="N879" s="18"/>
      <c r="O879" s="18"/>
      <c r="P879" s="18"/>
      <c r="Q879" s="10">
        <f t="shared" si="1"/>
        <v>0</v>
      </c>
    </row>
    <row r="880">
      <c r="A880" s="18"/>
      <c r="B880" s="18"/>
      <c r="C880" s="18"/>
      <c r="D880" s="18"/>
      <c r="E880" s="18"/>
      <c r="F880" s="18"/>
      <c r="G880" s="18"/>
      <c r="H880" s="18"/>
      <c r="I880" s="19"/>
      <c r="J880" s="19"/>
      <c r="K880" s="19"/>
      <c r="L880" s="18"/>
      <c r="M880" s="18"/>
      <c r="N880" s="18"/>
      <c r="O880" s="18"/>
      <c r="P880" s="18"/>
      <c r="Q880" s="10">
        <f t="shared" si="1"/>
        <v>0</v>
      </c>
    </row>
    <row r="881">
      <c r="A881" s="18"/>
      <c r="B881" s="18"/>
      <c r="C881" s="18"/>
      <c r="D881" s="18"/>
      <c r="E881" s="18"/>
      <c r="F881" s="18"/>
      <c r="G881" s="18"/>
      <c r="H881" s="18"/>
      <c r="I881" s="19"/>
      <c r="J881" s="19"/>
      <c r="K881" s="19"/>
      <c r="L881" s="18"/>
      <c r="M881" s="18"/>
      <c r="N881" s="18"/>
      <c r="O881" s="18"/>
      <c r="P881" s="18"/>
      <c r="Q881" s="10">
        <f t="shared" si="1"/>
        <v>0</v>
      </c>
    </row>
    <row r="882">
      <c r="A882" s="18"/>
      <c r="B882" s="18"/>
      <c r="C882" s="18"/>
      <c r="D882" s="18"/>
      <c r="E882" s="18"/>
      <c r="F882" s="18"/>
      <c r="G882" s="18"/>
      <c r="H882" s="18"/>
      <c r="I882" s="19"/>
      <c r="J882" s="19"/>
      <c r="K882" s="19"/>
      <c r="L882" s="18"/>
      <c r="M882" s="18"/>
      <c r="N882" s="18"/>
      <c r="O882" s="18"/>
      <c r="P882" s="18"/>
      <c r="Q882" s="10">
        <f t="shared" si="1"/>
        <v>0</v>
      </c>
    </row>
    <row r="883">
      <c r="A883" s="18"/>
      <c r="B883" s="18"/>
      <c r="C883" s="18"/>
      <c r="D883" s="18"/>
      <c r="E883" s="18"/>
      <c r="F883" s="18"/>
      <c r="G883" s="18"/>
      <c r="H883" s="18"/>
      <c r="I883" s="19"/>
      <c r="J883" s="19"/>
      <c r="K883" s="19"/>
      <c r="L883" s="18"/>
      <c r="M883" s="18"/>
      <c r="N883" s="18"/>
      <c r="O883" s="18"/>
      <c r="P883" s="18"/>
      <c r="Q883" s="10">
        <f t="shared" si="1"/>
        <v>0</v>
      </c>
    </row>
    <row r="884">
      <c r="A884" s="18"/>
      <c r="B884" s="18"/>
      <c r="C884" s="18"/>
      <c r="D884" s="18"/>
      <c r="E884" s="18"/>
      <c r="F884" s="18"/>
      <c r="G884" s="18"/>
      <c r="H884" s="18"/>
      <c r="I884" s="19"/>
      <c r="J884" s="19"/>
      <c r="K884" s="19"/>
      <c r="L884" s="18"/>
      <c r="M884" s="18"/>
      <c r="N884" s="18"/>
      <c r="O884" s="18"/>
      <c r="P884" s="18"/>
      <c r="Q884" s="10">
        <f t="shared" si="1"/>
        <v>0</v>
      </c>
    </row>
    <row r="885">
      <c r="A885" s="18"/>
      <c r="B885" s="18"/>
      <c r="C885" s="18"/>
      <c r="D885" s="18"/>
      <c r="E885" s="18"/>
      <c r="F885" s="18"/>
      <c r="G885" s="18"/>
      <c r="H885" s="18"/>
      <c r="I885" s="19"/>
      <c r="J885" s="19"/>
      <c r="K885" s="19"/>
      <c r="L885" s="18"/>
      <c r="M885" s="18"/>
      <c r="N885" s="18"/>
      <c r="O885" s="18"/>
      <c r="P885" s="18"/>
      <c r="Q885" s="10">
        <f t="shared" si="1"/>
        <v>0</v>
      </c>
    </row>
    <row r="886">
      <c r="A886" s="18"/>
      <c r="B886" s="18"/>
      <c r="C886" s="18"/>
      <c r="D886" s="18"/>
      <c r="E886" s="18"/>
      <c r="F886" s="18"/>
      <c r="G886" s="18"/>
      <c r="H886" s="18"/>
      <c r="I886" s="19"/>
      <c r="J886" s="19"/>
      <c r="K886" s="19"/>
      <c r="L886" s="18"/>
      <c r="M886" s="18"/>
      <c r="N886" s="18"/>
      <c r="O886" s="18"/>
      <c r="P886" s="18"/>
      <c r="Q886" s="10">
        <f t="shared" si="1"/>
        <v>0</v>
      </c>
    </row>
    <row r="887">
      <c r="A887" s="18"/>
      <c r="B887" s="18"/>
      <c r="C887" s="18"/>
      <c r="D887" s="18"/>
      <c r="E887" s="18"/>
      <c r="F887" s="18"/>
      <c r="G887" s="18"/>
      <c r="H887" s="18"/>
      <c r="I887" s="19"/>
      <c r="J887" s="19"/>
      <c r="K887" s="19"/>
      <c r="L887" s="18"/>
      <c r="M887" s="18"/>
      <c r="N887" s="18"/>
      <c r="O887" s="18"/>
      <c r="P887" s="18"/>
      <c r="Q887" s="10">
        <f t="shared" si="1"/>
        <v>0</v>
      </c>
    </row>
    <row r="888">
      <c r="A888" s="18"/>
      <c r="B888" s="18"/>
      <c r="C888" s="18"/>
      <c r="D888" s="18"/>
      <c r="E888" s="18"/>
      <c r="F888" s="18"/>
      <c r="G888" s="18"/>
      <c r="H888" s="18"/>
      <c r="I888" s="19"/>
      <c r="J888" s="19"/>
      <c r="K888" s="19"/>
      <c r="L888" s="18"/>
      <c r="M888" s="18"/>
      <c r="N888" s="18"/>
      <c r="O888" s="18"/>
      <c r="P888" s="18"/>
      <c r="Q888" s="10">
        <f t="shared" si="1"/>
        <v>0</v>
      </c>
    </row>
    <row r="889">
      <c r="A889" s="18"/>
      <c r="B889" s="18"/>
      <c r="C889" s="18"/>
      <c r="D889" s="18"/>
      <c r="E889" s="18"/>
      <c r="F889" s="18"/>
      <c r="G889" s="18"/>
      <c r="H889" s="18"/>
      <c r="I889" s="19"/>
      <c r="J889" s="19"/>
      <c r="K889" s="19"/>
      <c r="L889" s="18"/>
      <c r="M889" s="18"/>
      <c r="N889" s="18"/>
      <c r="O889" s="18"/>
      <c r="P889" s="18"/>
      <c r="Q889" s="10">
        <f t="shared" si="1"/>
        <v>0</v>
      </c>
    </row>
    <row r="890">
      <c r="A890" s="18"/>
      <c r="B890" s="18"/>
      <c r="C890" s="18"/>
      <c r="D890" s="18"/>
      <c r="E890" s="18"/>
      <c r="F890" s="18"/>
      <c r="G890" s="18"/>
      <c r="H890" s="18"/>
      <c r="I890" s="19"/>
      <c r="J890" s="19"/>
      <c r="K890" s="19"/>
      <c r="L890" s="18"/>
      <c r="M890" s="18"/>
      <c r="N890" s="18"/>
      <c r="O890" s="18"/>
      <c r="P890" s="18"/>
      <c r="Q890" s="10">
        <f t="shared" si="1"/>
        <v>0</v>
      </c>
    </row>
    <row r="891">
      <c r="A891" s="18"/>
      <c r="B891" s="18"/>
      <c r="C891" s="18"/>
      <c r="D891" s="18"/>
      <c r="E891" s="18"/>
      <c r="F891" s="18"/>
      <c r="G891" s="18"/>
      <c r="H891" s="18"/>
      <c r="I891" s="19"/>
      <c r="J891" s="19"/>
      <c r="K891" s="19"/>
      <c r="L891" s="18"/>
      <c r="M891" s="18"/>
      <c r="N891" s="18"/>
      <c r="O891" s="18"/>
      <c r="P891" s="18"/>
      <c r="Q891" s="10">
        <f t="shared" si="1"/>
        <v>0</v>
      </c>
    </row>
    <row r="892">
      <c r="A892" s="18"/>
      <c r="B892" s="18"/>
      <c r="C892" s="18"/>
      <c r="D892" s="18"/>
      <c r="E892" s="18"/>
      <c r="F892" s="18"/>
      <c r="G892" s="18"/>
      <c r="H892" s="18"/>
      <c r="I892" s="19"/>
      <c r="J892" s="19"/>
      <c r="K892" s="19"/>
      <c r="L892" s="18"/>
      <c r="M892" s="18"/>
      <c r="N892" s="18"/>
      <c r="O892" s="18"/>
      <c r="P892" s="18"/>
      <c r="Q892" s="10">
        <f t="shared" si="1"/>
        <v>0</v>
      </c>
    </row>
    <row r="893">
      <c r="A893" s="18"/>
      <c r="B893" s="18"/>
      <c r="C893" s="18"/>
      <c r="D893" s="18"/>
      <c r="E893" s="18"/>
      <c r="F893" s="18"/>
      <c r="G893" s="18"/>
      <c r="H893" s="18"/>
      <c r="I893" s="19"/>
      <c r="J893" s="19"/>
      <c r="K893" s="19"/>
      <c r="L893" s="18"/>
      <c r="M893" s="18"/>
      <c r="N893" s="18"/>
      <c r="O893" s="18"/>
      <c r="P893" s="18"/>
      <c r="Q893" s="10">
        <f t="shared" si="1"/>
        <v>0</v>
      </c>
    </row>
    <row r="894">
      <c r="A894" s="18"/>
      <c r="B894" s="18"/>
      <c r="C894" s="18"/>
      <c r="D894" s="18"/>
      <c r="E894" s="18"/>
      <c r="F894" s="18"/>
      <c r="G894" s="18"/>
      <c r="H894" s="18"/>
      <c r="I894" s="19"/>
      <c r="J894" s="19"/>
      <c r="K894" s="19"/>
      <c r="L894" s="18"/>
      <c r="M894" s="18"/>
      <c r="N894" s="18"/>
      <c r="O894" s="18"/>
      <c r="P894" s="18"/>
      <c r="Q894" s="10">
        <f t="shared" si="1"/>
        <v>0</v>
      </c>
    </row>
    <row r="895">
      <c r="A895" s="18"/>
      <c r="B895" s="18"/>
      <c r="C895" s="18"/>
      <c r="D895" s="18"/>
      <c r="E895" s="18"/>
      <c r="F895" s="18"/>
      <c r="G895" s="18"/>
      <c r="H895" s="18"/>
      <c r="I895" s="19"/>
      <c r="J895" s="19"/>
      <c r="K895" s="19"/>
      <c r="L895" s="18"/>
      <c r="M895" s="18"/>
      <c r="N895" s="18"/>
      <c r="O895" s="18"/>
      <c r="P895" s="18"/>
      <c r="Q895" s="10">
        <f t="shared" si="1"/>
        <v>0</v>
      </c>
    </row>
    <row r="896">
      <c r="A896" s="18"/>
      <c r="B896" s="18"/>
      <c r="C896" s="18"/>
      <c r="D896" s="18"/>
      <c r="E896" s="18"/>
      <c r="F896" s="18"/>
      <c r="G896" s="18"/>
      <c r="H896" s="18"/>
      <c r="I896" s="19"/>
      <c r="J896" s="19"/>
      <c r="K896" s="19"/>
      <c r="L896" s="18"/>
      <c r="M896" s="18"/>
      <c r="N896" s="18"/>
      <c r="O896" s="18"/>
      <c r="P896" s="18"/>
      <c r="Q896" s="10">
        <f t="shared" si="1"/>
        <v>0</v>
      </c>
    </row>
    <row r="897">
      <c r="A897" s="18"/>
      <c r="B897" s="18"/>
      <c r="C897" s="18"/>
      <c r="D897" s="18"/>
      <c r="E897" s="18"/>
      <c r="F897" s="18"/>
      <c r="G897" s="18"/>
      <c r="H897" s="18"/>
      <c r="I897" s="19"/>
      <c r="J897" s="19"/>
      <c r="K897" s="19"/>
      <c r="L897" s="18"/>
      <c r="M897" s="18"/>
      <c r="N897" s="18"/>
      <c r="O897" s="18"/>
      <c r="P897" s="18"/>
      <c r="Q897" s="10">
        <f t="shared" si="1"/>
        <v>0</v>
      </c>
    </row>
    <row r="898">
      <c r="A898" s="18"/>
      <c r="B898" s="18"/>
      <c r="C898" s="18"/>
      <c r="D898" s="18"/>
      <c r="E898" s="18"/>
      <c r="F898" s="18"/>
      <c r="G898" s="18"/>
      <c r="H898" s="18"/>
      <c r="I898" s="19"/>
      <c r="J898" s="19"/>
      <c r="K898" s="19"/>
      <c r="L898" s="18"/>
      <c r="M898" s="18"/>
      <c r="N898" s="18"/>
      <c r="O898" s="18"/>
      <c r="P898" s="18"/>
      <c r="Q898" s="10">
        <f t="shared" si="1"/>
        <v>0</v>
      </c>
    </row>
    <row r="899">
      <c r="A899" s="18"/>
      <c r="B899" s="18"/>
      <c r="C899" s="18"/>
      <c r="D899" s="18"/>
      <c r="E899" s="18"/>
      <c r="F899" s="18"/>
      <c r="G899" s="18"/>
      <c r="H899" s="18"/>
      <c r="I899" s="19"/>
      <c r="J899" s="19"/>
      <c r="K899" s="19"/>
      <c r="L899" s="18"/>
      <c r="M899" s="18"/>
      <c r="N899" s="18"/>
      <c r="O899" s="18"/>
      <c r="P899" s="18"/>
      <c r="Q899" s="10">
        <f t="shared" si="1"/>
        <v>0</v>
      </c>
    </row>
    <row r="900">
      <c r="A900" s="18"/>
      <c r="B900" s="18"/>
      <c r="C900" s="18"/>
      <c r="D900" s="18"/>
      <c r="E900" s="18"/>
      <c r="F900" s="18"/>
      <c r="G900" s="18"/>
      <c r="H900" s="18"/>
      <c r="I900" s="19"/>
      <c r="J900" s="19"/>
      <c r="K900" s="19"/>
      <c r="L900" s="18"/>
      <c r="M900" s="18"/>
      <c r="N900" s="18"/>
      <c r="O900" s="18"/>
      <c r="P900" s="18"/>
      <c r="Q900" s="10">
        <f t="shared" si="1"/>
        <v>0</v>
      </c>
    </row>
    <row r="901">
      <c r="A901" s="18"/>
      <c r="B901" s="18"/>
      <c r="C901" s="18"/>
      <c r="D901" s="18"/>
      <c r="E901" s="18"/>
      <c r="F901" s="18"/>
      <c r="G901" s="18"/>
      <c r="H901" s="18"/>
      <c r="I901" s="19"/>
      <c r="J901" s="19"/>
      <c r="K901" s="19"/>
      <c r="L901" s="18"/>
      <c r="M901" s="18"/>
      <c r="N901" s="18"/>
      <c r="O901" s="18"/>
      <c r="P901" s="18"/>
      <c r="Q901" s="10">
        <f t="shared" si="1"/>
        <v>0</v>
      </c>
    </row>
    <row r="902">
      <c r="A902" s="18"/>
      <c r="B902" s="18"/>
      <c r="C902" s="18"/>
      <c r="D902" s="18"/>
      <c r="E902" s="18"/>
      <c r="F902" s="18"/>
      <c r="G902" s="18"/>
      <c r="H902" s="18"/>
      <c r="I902" s="19"/>
      <c r="J902" s="19"/>
      <c r="K902" s="19"/>
      <c r="L902" s="18"/>
      <c r="M902" s="18"/>
      <c r="N902" s="18"/>
      <c r="O902" s="18"/>
      <c r="P902" s="18"/>
      <c r="Q902" s="10">
        <f t="shared" si="1"/>
        <v>0</v>
      </c>
    </row>
    <row r="903">
      <c r="A903" s="18"/>
      <c r="B903" s="18"/>
      <c r="C903" s="18"/>
      <c r="D903" s="18"/>
      <c r="E903" s="18"/>
      <c r="F903" s="18"/>
      <c r="G903" s="18"/>
      <c r="H903" s="18"/>
      <c r="I903" s="19"/>
      <c r="J903" s="19"/>
      <c r="K903" s="19"/>
      <c r="L903" s="18"/>
      <c r="M903" s="18"/>
      <c r="N903" s="18"/>
      <c r="O903" s="18"/>
      <c r="P903" s="18"/>
      <c r="Q903" s="10">
        <f t="shared" si="1"/>
        <v>0</v>
      </c>
    </row>
    <row r="904">
      <c r="A904" s="18"/>
      <c r="B904" s="18"/>
      <c r="C904" s="18"/>
      <c r="D904" s="18"/>
      <c r="E904" s="18"/>
      <c r="F904" s="18"/>
      <c r="G904" s="18"/>
      <c r="H904" s="18"/>
      <c r="I904" s="19"/>
      <c r="J904" s="19"/>
      <c r="K904" s="19"/>
      <c r="L904" s="18"/>
      <c r="M904" s="18"/>
      <c r="N904" s="18"/>
      <c r="O904" s="18"/>
      <c r="P904" s="18"/>
      <c r="Q904" s="10">
        <f t="shared" si="1"/>
        <v>0</v>
      </c>
    </row>
    <row r="905">
      <c r="A905" s="18"/>
      <c r="B905" s="18"/>
      <c r="C905" s="18"/>
      <c r="D905" s="18"/>
      <c r="E905" s="18"/>
      <c r="F905" s="18"/>
      <c r="G905" s="18"/>
      <c r="H905" s="18"/>
      <c r="I905" s="19"/>
      <c r="J905" s="19"/>
      <c r="K905" s="19"/>
      <c r="L905" s="18"/>
      <c r="M905" s="18"/>
      <c r="N905" s="18"/>
      <c r="O905" s="18"/>
      <c r="P905" s="18"/>
      <c r="Q905" s="10">
        <f t="shared" si="1"/>
        <v>0</v>
      </c>
    </row>
    <row r="906">
      <c r="A906" s="18"/>
      <c r="B906" s="18"/>
      <c r="C906" s="18"/>
      <c r="D906" s="18"/>
      <c r="E906" s="18"/>
      <c r="F906" s="18"/>
      <c r="G906" s="18"/>
      <c r="H906" s="18"/>
      <c r="I906" s="19"/>
      <c r="J906" s="19"/>
      <c r="K906" s="19"/>
      <c r="L906" s="18"/>
      <c r="M906" s="18"/>
      <c r="N906" s="18"/>
      <c r="O906" s="18"/>
      <c r="P906" s="18"/>
      <c r="Q906" s="10">
        <f t="shared" si="1"/>
        <v>0</v>
      </c>
    </row>
    <row r="907">
      <c r="A907" s="18"/>
      <c r="B907" s="18"/>
      <c r="C907" s="18"/>
      <c r="D907" s="18"/>
      <c r="E907" s="18"/>
      <c r="F907" s="18"/>
      <c r="G907" s="18"/>
      <c r="H907" s="18"/>
      <c r="I907" s="19"/>
      <c r="J907" s="19"/>
      <c r="K907" s="19"/>
      <c r="L907" s="18"/>
      <c r="M907" s="18"/>
      <c r="N907" s="18"/>
      <c r="O907" s="18"/>
      <c r="P907" s="18"/>
      <c r="Q907" s="10">
        <f t="shared" si="1"/>
        <v>0</v>
      </c>
    </row>
    <row r="908">
      <c r="A908" s="18"/>
      <c r="B908" s="18"/>
      <c r="C908" s="18"/>
      <c r="D908" s="18"/>
      <c r="E908" s="18"/>
      <c r="F908" s="18"/>
      <c r="G908" s="18"/>
      <c r="H908" s="18"/>
      <c r="I908" s="19"/>
      <c r="J908" s="19"/>
      <c r="K908" s="19"/>
      <c r="L908" s="18"/>
      <c r="M908" s="18"/>
      <c r="N908" s="18"/>
      <c r="O908" s="18"/>
      <c r="P908" s="18"/>
      <c r="Q908" s="10">
        <f t="shared" si="1"/>
        <v>0</v>
      </c>
    </row>
    <row r="909">
      <c r="A909" s="18"/>
      <c r="B909" s="18"/>
      <c r="C909" s="18"/>
      <c r="D909" s="18"/>
      <c r="E909" s="18"/>
      <c r="F909" s="18"/>
      <c r="G909" s="18"/>
      <c r="H909" s="18"/>
      <c r="I909" s="19"/>
      <c r="J909" s="19"/>
      <c r="K909" s="19"/>
      <c r="L909" s="18"/>
      <c r="M909" s="18"/>
      <c r="N909" s="18"/>
      <c r="O909" s="18"/>
      <c r="P909" s="18"/>
      <c r="Q909" s="10">
        <f t="shared" si="1"/>
        <v>0</v>
      </c>
    </row>
    <row r="910">
      <c r="A910" s="18"/>
      <c r="B910" s="18"/>
      <c r="C910" s="18"/>
      <c r="D910" s="18"/>
      <c r="E910" s="18"/>
      <c r="F910" s="18"/>
      <c r="G910" s="18"/>
      <c r="H910" s="18"/>
      <c r="I910" s="19"/>
      <c r="J910" s="19"/>
      <c r="K910" s="19"/>
      <c r="L910" s="18"/>
      <c r="M910" s="18"/>
      <c r="N910" s="18"/>
      <c r="O910" s="18"/>
      <c r="P910" s="18"/>
      <c r="Q910" s="10">
        <f t="shared" si="1"/>
        <v>0</v>
      </c>
    </row>
    <row r="911">
      <c r="A911" s="18"/>
      <c r="B911" s="18"/>
      <c r="C911" s="18"/>
      <c r="D911" s="18"/>
      <c r="E911" s="18"/>
      <c r="F911" s="18"/>
      <c r="G911" s="18"/>
      <c r="H911" s="18"/>
      <c r="I911" s="19"/>
      <c r="J911" s="19"/>
      <c r="K911" s="19"/>
      <c r="L911" s="18"/>
      <c r="M911" s="18"/>
      <c r="N911" s="18"/>
      <c r="O911" s="18"/>
      <c r="P911" s="18"/>
      <c r="Q911" s="10">
        <f t="shared" si="1"/>
        <v>0</v>
      </c>
    </row>
    <row r="912">
      <c r="A912" s="18"/>
      <c r="B912" s="18"/>
      <c r="C912" s="18"/>
      <c r="D912" s="18"/>
      <c r="E912" s="18"/>
      <c r="F912" s="18"/>
      <c r="G912" s="18"/>
      <c r="H912" s="18"/>
      <c r="I912" s="19"/>
      <c r="J912" s="19"/>
      <c r="K912" s="19"/>
      <c r="L912" s="18"/>
      <c r="M912" s="18"/>
      <c r="N912" s="18"/>
      <c r="O912" s="18"/>
      <c r="P912" s="18"/>
      <c r="Q912" s="10">
        <f t="shared" si="1"/>
        <v>0</v>
      </c>
    </row>
    <row r="913">
      <c r="A913" s="18"/>
      <c r="B913" s="18"/>
      <c r="C913" s="18"/>
      <c r="D913" s="18"/>
      <c r="E913" s="18"/>
      <c r="F913" s="18"/>
      <c r="G913" s="18"/>
      <c r="H913" s="18"/>
      <c r="I913" s="19"/>
      <c r="J913" s="19"/>
      <c r="K913" s="19"/>
      <c r="L913" s="18"/>
      <c r="M913" s="18"/>
      <c r="N913" s="18"/>
      <c r="O913" s="18"/>
      <c r="P913" s="18"/>
      <c r="Q913" s="10">
        <f t="shared" si="1"/>
        <v>0</v>
      </c>
    </row>
    <row r="914">
      <c r="A914" s="18"/>
      <c r="B914" s="18"/>
      <c r="C914" s="18"/>
      <c r="D914" s="18"/>
      <c r="E914" s="18"/>
      <c r="F914" s="18"/>
      <c r="G914" s="18"/>
      <c r="H914" s="18"/>
      <c r="I914" s="19"/>
      <c r="J914" s="19"/>
      <c r="K914" s="19"/>
      <c r="L914" s="18"/>
      <c r="M914" s="18"/>
      <c r="N914" s="18"/>
      <c r="O914" s="18"/>
      <c r="P914" s="18"/>
      <c r="Q914" s="10">
        <f t="shared" si="1"/>
        <v>0</v>
      </c>
    </row>
    <row r="915">
      <c r="A915" s="18"/>
      <c r="B915" s="18"/>
      <c r="C915" s="18"/>
      <c r="D915" s="18"/>
      <c r="E915" s="18"/>
      <c r="F915" s="18"/>
      <c r="G915" s="18"/>
      <c r="H915" s="18"/>
      <c r="I915" s="19"/>
      <c r="J915" s="19"/>
      <c r="K915" s="19"/>
      <c r="L915" s="18"/>
      <c r="M915" s="18"/>
      <c r="N915" s="18"/>
      <c r="O915" s="18"/>
      <c r="P915" s="18"/>
      <c r="Q915" s="10">
        <f t="shared" si="1"/>
        <v>0</v>
      </c>
    </row>
    <row r="916">
      <c r="A916" s="18"/>
      <c r="B916" s="18"/>
      <c r="C916" s="18"/>
      <c r="D916" s="18"/>
      <c r="E916" s="18"/>
      <c r="F916" s="18"/>
      <c r="G916" s="18"/>
      <c r="H916" s="18"/>
      <c r="I916" s="19"/>
      <c r="J916" s="19"/>
      <c r="K916" s="19"/>
      <c r="L916" s="18"/>
      <c r="M916" s="18"/>
      <c r="N916" s="18"/>
      <c r="O916" s="18"/>
      <c r="P916" s="18"/>
      <c r="Q916" s="10">
        <f t="shared" si="1"/>
        <v>0</v>
      </c>
    </row>
    <row r="917">
      <c r="A917" s="18"/>
      <c r="B917" s="18"/>
      <c r="C917" s="18"/>
      <c r="D917" s="18"/>
      <c r="E917" s="18"/>
      <c r="F917" s="18"/>
      <c r="G917" s="18"/>
      <c r="H917" s="18"/>
      <c r="I917" s="19"/>
      <c r="J917" s="19"/>
      <c r="K917" s="19"/>
      <c r="L917" s="18"/>
      <c r="M917" s="18"/>
      <c r="N917" s="18"/>
      <c r="O917" s="18"/>
      <c r="P917" s="18"/>
      <c r="Q917" s="10">
        <f t="shared" si="1"/>
        <v>0</v>
      </c>
    </row>
    <row r="918">
      <c r="A918" s="18"/>
      <c r="B918" s="18"/>
      <c r="C918" s="18"/>
      <c r="D918" s="18"/>
      <c r="E918" s="18"/>
      <c r="F918" s="18"/>
      <c r="G918" s="18"/>
      <c r="H918" s="18"/>
      <c r="I918" s="19"/>
      <c r="J918" s="19"/>
      <c r="K918" s="19"/>
      <c r="L918" s="18"/>
      <c r="M918" s="18"/>
      <c r="N918" s="18"/>
      <c r="O918" s="18"/>
      <c r="P918" s="18"/>
      <c r="Q918" s="10">
        <f t="shared" si="1"/>
        <v>0</v>
      </c>
    </row>
    <row r="919">
      <c r="A919" s="18"/>
      <c r="B919" s="18"/>
      <c r="C919" s="18"/>
      <c r="D919" s="18"/>
      <c r="E919" s="18"/>
      <c r="F919" s="18"/>
      <c r="G919" s="18"/>
      <c r="H919" s="18"/>
      <c r="I919" s="19"/>
      <c r="J919" s="19"/>
      <c r="K919" s="19"/>
      <c r="L919" s="18"/>
      <c r="M919" s="18"/>
      <c r="N919" s="18"/>
      <c r="O919" s="18"/>
      <c r="P919" s="18"/>
      <c r="Q919" s="10">
        <f t="shared" si="1"/>
        <v>0</v>
      </c>
    </row>
    <row r="920">
      <c r="A920" s="18"/>
      <c r="B920" s="18"/>
      <c r="C920" s="18"/>
      <c r="D920" s="18"/>
      <c r="E920" s="18"/>
      <c r="F920" s="18"/>
      <c r="G920" s="18"/>
      <c r="H920" s="18"/>
      <c r="I920" s="19"/>
      <c r="J920" s="19"/>
      <c r="K920" s="19"/>
      <c r="L920" s="18"/>
      <c r="M920" s="18"/>
      <c r="N920" s="18"/>
      <c r="O920" s="18"/>
      <c r="P920" s="18"/>
      <c r="Q920" s="10">
        <f t="shared" si="1"/>
        <v>0</v>
      </c>
    </row>
    <row r="921">
      <c r="A921" s="18"/>
      <c r="B921" s="18"/>
      <c r="C921" s="18"/>
      <c r="D921" s="18"/>
      <c r="E921" s="18"/>
      <c r="F921" s="18"/>
      <c r="G921" s="18"/>
      <c r="H921" s="18"/>
      <c r="I921" s="19"/>
      <c r="J921" s="19"/>
      <c r="K921" s="19"/>
      <c r="L921" s="18"/>
      <c r="M921" s="18"/>
      <c r="N921" s="18"/>
      <c r="O921" s="18"/>
      <c r="P921" s="18"/>
      <c r="Q921" s="10">
        <f t="shared" si="1"/>
        <v>0</v>
      </c>
    </row>
    <row r="922">
      <c r="A922" s="18"/>
      <c r="B922" s="18"/>
      <c r="C922" s="18"/>
      <c r="D922" s="18"/>
      <c r="E922" s="18"/>
      <c r="F922" s="18"/>
      <c r="G922" s="18"/>
      <c r="H922" s="18"/>
      <c r="I922" s="19"/>
      <c r="J922" s="19"/>
      <c r="K922" s="19"/>
      <c r="L922" s="18"/>
      <c r="M922" s="18"/>
      <c r="N922" s="18"/>
      <c r="O922" s="18"/>
      <c r="P922" s="18"/>
      <c r="Q922" s="10">
        <f t="shared" si="1"/>
        <v>0</v>
      </c>
    </row>
    <row r="923">
      <c r="A923" s="18"/>
      <c r="B923" s="18"/>
      <c r="C923" s="18"/>
      <c r="D923" s="18"/>
      <c r="E923" s="18"/>
      <c r="F923" s="18"/>
      <c r="G923" s="18"/>
      <c r="H923" s="18"/>
      <c r="I923" s="19"/>
      <c r="J923" s="19"/>
      <c r="K923" s="19"/>
      <c r="L923" s="18"/>
      <c r="M923" s="18"/>
      <c r="N923" s="18"/>
      <c r="O923" s="18"/>
      <c r="P923" s="18"/>
      <c r="Q923" s="10">
        <f t="shared" si="1"/>
        <v>0</v>
      </c>
    </row>
    <row r="924">
      <c r="A924" s="18"/>
      <c r="B924" s="18"/>
      <c r="C924" s="18"/>
      <c r="D924" s="18"/>
      <c r="E924" s="18"/>
      <c r="F924" s="18"/>
      <c r="G924" s="18"/>
      <c r="H924" s="18"/>
      <c r="I924" s="19"/>
      <c r="J924" s="19"/>
      <c r="K924" s="19"/>
      <c r="L924" s="18"/>
      <c r="M924" s="18"/>
      <c r="N924" s="18"/>
      <c r="O924" s="18"/>
      <c r="P924" s="18"/>
      <c r="Q924" s="10">
        <f t="shared" si="1"/>
        <v>0</v>
      </c>
    </row>
    <row r="925">
      <c r="A925" s="18"/>
      <c r="B925" s="18"/>
      <c r="C925" s="18"/>
      <c r="D925" s="18"/>
      <c r="E925" s="18"/>
      <c r="F925" s="18"/>
      <c r="G925" s="18"/>
      <c r="H925" s="18"/>
      <c r="I925" s="19"/>
      <c r="J925" s="19"/>
      <c r="K925" s="19"/>
      <c r="L925" s="18"/>
      <c r="M925" s="18"/>
      <c r="N925" s="18"/>
      <c r="O925" s="18"/>
      <c r="P925" s="18"/>
      <c r="Q925" s="10">
        <f t="shared" si="1"/>
        <v>0</v>
      </c>
    </row>
    <row r="926">
      <c r="A926" s="18"/>
      <c r="B926" s="18"/>
      <c r="C926" s="18"/>
      <c r="D926" s="18"/>
      <c r="E926" s="18"/>
      <c r="F926" s="18"/>
      <c r="G926" s="18"/>
      <c r="H926" s="18"/>
      <c r="I926" s="19"/>
      <c r="J926" s="19"/>
      <c r="K926" s="19"/>
      <c r="L926" s="18"/>
      <c r="M926" s="18"/>
      <c r="N926" s="18"/>
      <c r="O926" s="18"/>
      <c r="P926" s="18"/>
      <c r="Q926" s="10">
        <f t="shared" si="1"/>
        <v>0</v>
      </c>
    </row>
    <row r="927">
      <c r="A927" s="18"/>
      <c r="B927" s="18"/>
      <c r="C927" s="18"/>
      <c r="D927" s="18"/>
      <c r="E927" s="18"/>
      <c r="F927" s="18"/>
      <c r="G927" s="18"/>
      <c r="H927" s="18"/>
      <c r="I927" s="19"/>
      <c r="J927" s="19"/>
      <c r="K927" s="19"/>
      <c r="L927" s="18"/>
      <c r="M927" s="18"/>
      <c r="N927" s="18"/>
      <c r="O927" s="18"/>
      <c r="P927" s="18"/>
      <c r="Q927" s="10">
        <f t="shared" si="1"/>
        <v>0</v>
      </c>
    </row>
    <row r="928">
      <c r="A928" s="18"/>
      <c r="B928" s="18"/>
      <c r="C928" s="18"/>
      <c r="D928" s="18"/>
      <c r="E928" s="18"/>
      <c r="F928" s="18"/>
      <c r="G928" s="18"/>
      <c r="H928" s="18"/>
      <c r="I928" s="19"/>
      <c r="J928" s="19"/>
      <c r="K928" s="19"/>
      <c r="L928" s="18"/>
      <c r="M928" s="18"/>
      <c r="N928" s="18"/>
      <c r="O928" s="18"/>
      <c r="P928" s="18"/>
      <c r="Q928" s="10">
        <f t="shared" si="1"/>
        <v>0</v>
      </c>
    </row>
    <row r="929">
      <c r="A929" s="18"/>
      <c r="B929" s="18"/>
      <c r="C929" s="18"/>
      <c r="D929" s="18"/>
      <c r="E929" s="18"/>
      <c r="F929" s="18"/>
      <c r="G929" s="18"/>
      <c r="H929" s="18"/>
      <c r="I929" s="19"/>
      <c r="J929" s="19"/>
      <c r="K929" s="19"/>
      <c r="L929" s="18"/>
      <c r="M929" s="18"/>
      <c r="N929" s="18"/>
      <c r="O929" s="18"/>
      <c r="P929" s="18"/>
      <c r="Q929" s="10">
        <f t="shared" si="1"/>
        <v>0</v>
      </c>
    </row>
    <row r="930">
      <c r="A930" s="18"/>
      <c r="B930" s="18"/>
      <c r="C930" s="18"/>
      <c r="D930" s="18"/>
      <c r="E930" s="18"/>
      <c r="F930" s="18"/>
      <c r="G930" s="18"/>
      <c r="H930" s="18"/>
      <c r="I930" s="19"/>
      <c r="J930" s="19"/>
      <c r="K930" s="19"/>
      <c r="L930" s="18"/>
      <c r="M930" s="18"/>
      <c r="N930" s="18"/>
      <c r="O930" s="18"/>
      <c r="P930" s="18"/>
      <c r="Q930" s="10">
        <f t="shared" si="1"/>
        <v>0</v>
      </c>
    </row>
    <row r="931">
      <c r="A931" s="18"/>
      <c r="B931" s="18"/>
      <c r="C931" s="18"/>
      <c r="D931" s="18"/>
      <c r="E931" s="18"/>
      <c r="F931" s="18"/>
      <c r="G931" s="18"/>
      <c r="H931" s="18"/>
      <c r="I931" s="19"/>
      <c r="J931" s="19"/>
      <c r="K931" s="19"/>
      <c r="L931" s="18"/>
      <c r="M931" s="18"/>
      <c r="N931" s="18"/>
      <c r="O931" s="18"/>
      <c r="P931" s="18"/>
      <c r="Q931" s="10">
        <f t="shared" si="1"/>
        <v>0</v>
      </c>
    </row>
    <row r="932">
      <c r="A932" s="18"/>
      <c r="B932" s="18"/>
      <c r="C932" s="18"/>
      <c r="D932" s="18"/>
      <c r="E932" s="18"/>
      <c r="F932" s="18"/>
      <c r="G932" s="18"/>
      <c r="H932" s="18"/>
      <c r="I932" s="19"/>
      <c r="J932" s="19"/>
      <c r="K932" s="19"/>
      <c r="L932" s="18"/>
      <c r="M932" s="18"/>
      <c r="N932" s="18"/>
      <c r="O932" s="18"/>
      <c r="P932" s="18"/>
      <c r="Q932" s="10">
        <f t="shared" si="1"/>
        <v>0</v>
      </c>
    </row>
    <row r="933">
      <c r="A933" s="18"/>
      <c r="B933" s="18"/>
      <c r="C933" s="18"/>
      <c r="D933" s="18"/>
      <c r="E933" s="18"/>
      <c r="F933" s="18"/>
      <c r="G933" s="18"/>
      <c r="H933" s="18"/>
      <c r="I933" s="19"/>
      <c r="J933" s="19"/>
      <c r="K933" s="19"/>
      <c r="L933" s="18"/>
      <c r="M933" s="18"/>
      <c r="N933" s="18"/>
      <c r="O933" s="18"/>
      <c r="P933" s="18"/>
      <c r="Q933" s="10">
        <f t="shared" si="1"/>
        <v>0</v>
      </c>
    </row>
    <row r="934">
      <c r="A934" s="18"/>
      <c r="B934" s="18"/>
      <c r="C934" s="18"/>
      <c r="D934" s="18"/>
      <c r="E934" s="18"/>
      <c r="F934" s="18"/>
      <c r="G934" s="18"/>
      <c r="H934" s="18"/>
      <c r="I934" s="19"/>
      <c r="J934" s="19"/>
      <c r="K934" s="19"/>
      <c r="L934" s="18"/>
      <c r="M934" s="18"/>
      <c r="N934" s="18"/>
      <c r="O934" s="18"/>
      <c r="P934" s="18"/>
      <c r="Q934" s="10">
        <f t="shared" si="1"/>
        <v>0</v>
      </c>
    </row>
    <row r="935">
      <c r="A935" s="18"/>
      <c r="B935" s="18"/>
      <c r="C935" s="18"/>
      <c r="D935" s="18"/>
      <c r="E935" s="18"/>
      <c r="F935" s="18"/>
      <c r="G935" s="18"/>
      <c r="H935" s="18"/>
      <c r="I935" s="19"/>
      <c r="J935" s="19"/>
      <c r="K935" s="19"/>
      <c r="L935" s="18"/>
      <c r="M935" s="18"/>
      <c r="N935" s="18"/>
      <c r="O935" s="18"/>
      <c r="P935" s="18"/>
      <c r="Q935" s="10">
        <f t="shared" si="1"/>
        <v>0</v>
      </c>
    </row>
    <row r="936">
      <c r="A936" s="18"/>
      <c r="B936" s="18"/>
      <c r="C936" s="18"/>
      <c r="D936" s="18"/>
      <c r="E936" s="18"/>
      <c r="F936" s="18"/>
      <c r="G936" s="18"/>
      <c r="H936" s="18"/>
      <c r="I936" s="19"/>
      <c r="J936" s="19"/>
      <c r="K936" s="19"/>
      <c r="L936" s="18"/>
      <c r="M936" s="18"/>
      <c r="N936" s="18"/>
      <c r="O936" s="18"/>
      <c r="P936" s="18"/>
      <c r="Q936" s="10">
        <f t="shared" si="1"/>
        <v>0</v>
      </c>
    </row>
    <row r="937">
      <c r="A937" s="18"/>
      <c r="B937" s="18"/>
      <c r="C937" s="18"/>
      <c r="D937" s="18"/>
      <c r="E937" s="18"/>
      <c r="F937" s="18"/>
      <c r="G937" s="18"/>
      <c r="H937" s="18"/>
      <c r="I937" s="19"/>
      <c r="J937" s="19"/>
      <c r="K937" s="19"/>
      <c r="L937" s="18"/>
      <c r="M937" s="18"/>
      <c r="N937" s="18"/>
      <c r="O937" s="18"/>
      <c r="P937" s="18"/>
      <c r="Q937" s="10">
        <f t="shared" si="1"/>
        <v>0</v>
      </c>
    </row>
    <row r="938">
      <c r="A938" s="18"/>
      <c r="B938" s="18"/>
      <c r="C938" s="18"/>
      <c r="D938" s="18"/>
      <c r="E938" s="18"/>
      <c r="F938" s="18"/>
      <c r="G938" s="18"/>
      <c r="H938" s="18"/>
      <c r="I938" s="19"/>
      <c r="J938" s="19"/>
      <c r="K938" s="19"/>
      <c r="L938" s="18"/>
      <c r="M938" s="18"/>
      <c r="N938" s="18"/>
      <c r="O938" s="18"/>
      <c r="P938" s="18"/>
      <c r="Q938" s="10">
        <f t="shared" si="1"/>
        <v>0</v>
      </c>
    </row>
    <row r="939">
      <c r="A939" s="18"/>
      <c r="B939" s="18"/>
      <c r="C939" s="18"/>
      <c r="D939" s="18"/>
      <c r="E939" s="18"/>
      <c r="F939" s="18"/>
      <c r="G939" s="18"/>
      <c r="H939" s="18"/>
      <c r="I939" s="19"/>
      <c r="J939" s="19"/>
      <c r="K939" s="19"/>
      <c r="L939" s="18"/>
      <c r="M939" s="18"/>
      <c r="N939" s="18"/>
      <c r="O939" s="18"/>
      <c r="P939" s="18"/>
      <c r="Q939" s="10">
        <f t="shared" si="1"/>
        <v>0</v>
      </c>
    </row>
    <row r="940">
      <c r="A940" s="18"/>
      <c r="B940" s="18"/>
      <c r="C940" s="18"/>
      <c r="D940" s="18"/>
      <c r="E940" s="18"/>
      <c r="F940" s="18"/>
      <c r="G940" s="18"/>
      <c r="H940" s="18"/>
      <c r="I940" s="19"/>
      <c r="J940" s="19"/>
      <c r="K940" s="19"/>
      <c r="L940" s="18"/>
      <c r="M940" s="18"/>
      <c r="N940" s="18"/>
      <c r="O940" s="18"/>
      <c r="P940" s="18"/>
      <c r="Q940" s="10">
        <f t="shared" si="1"/>
        <v>0</v>
      </c>
    </row>
    <row r="941">
      <c r="A941" s="18"/>
      <c r="B941" s="18"/>
      <c r="C941" s="18"/>
      <c r="D941" s="18"/>
      <c r="E941" s="18"/>
      <c r="F941" s="18"/>
      <c r="G941" s="18"/>
      <c r="H941" s="18"/>
      <c r="I941" s="19"/>
      <c r="J941" s="19"/>
      <c r="K941" s="19"/>
      <c r="L941" s="18"/>
      <c r="M941" s="18"/>
      <c r="N941" s="18"/>
      <c r="O941" s="18"/>
      <c r="P941" s="18"/>
      <c r="Q941" s="10">
        <f t="shared" si="1"/>
        <v>0</v>
      </c>
    </row>
    <row r="942">
      <c r="A942" s="18"/>
      <c r="B942" s="18"/>
      <c r="C942" s="18"/>
      <c r="D942" s="18"/>
      <c r="E942" s="18"/>
      <c r="F942" s="18"/>
      <c r="G942" s="18"/>
      <c r="H942" s="18"/>
      <c r="I942" s="19"/>
      <c r="J942" s="19"/>
      <c r="K942" s="19"/>
      <c r="L942" s="18"/>
      <c r="M942" s="18"/>
      <c r="N942" s="18"/>
      <c r="O942" s="18"/>
      <c r="P942" s="18"/>
      <c r="Q942" s="10">
        <f t="shared" si="1"/>
        <v>0</v>
      </c>
    </row>
    <row r="943">
      <c r="A943" s="18"/>
      <c r="B943" s="18"/>
      <c r="C943" s="18"/>
      <c r="D943" s="18"/>
      <c r="E943" s="18"/>
      <c r="F943" s="18"/>
      <c r="G943" s="18"/>
      <c r="H943" s="18"/>
      <c r="I943" s="19"/>
      <c r="J943" s="19"/>
      <c r="K943" s="19"/>
      <c r="L943" s="18"/>
      <c r="M943" s="18"/>
      <c r="N943" s="18"/>
      <c r="O943" s="18"/>
      <c r="P943" s="18"/>
      <c r="Q943" s="10">
        <f t="shared" si="1"/>
        <v>0</v>
      </c>
    </row>
    <row r="944">
      <c r="A944" s="18"/>
      <c r="B944" s="18"/>
      <c r="C944" s="18"/>
      <c r="D944" s="18"/>
      <c r="E944" s="18"/>
      <c r="F944" s="18"/>
      <c r="G944" s="18"/>
      <c r="H944" s="18"/>
      <c r="I944" s="19"/>
      <c r="J944" s="19"/>
      <c r="K944" s="19"/>
      <c r="L944" s="18"/>
      <c r="M944" s="18"/>
      <c r="N944" s="18"/>
      <c r="O944" s="18"/>
      <c r="P944" s="18"/>
      <c r="Q944" s="10">
        <f t="shared" si="1"/>
        <v>0</v>
      </c>
    </row>
    <row r="945">
      <c r="A945" s="18"/>
      <c r="B945" s="18"/>
      <c r="C945" s="18"/>
      <c r="D945" s="18"/>
      <c r="E945" s="18"/>
      <c r="F945" s="18"/>
      <c r="G945" s="18"/>
      <c r="H945" s="18"/>
      <c r="I945" s="19"/>
      <c r="J945" s="19"/>
      <c r="K945" s="19"/>
      <c r="L945" s="18"/>
      <c r="M945" s="18"/>
      <c r="N945" s="18"/>
      <c r="O945" s="18"/>
      <c r="P945" s="18"/>
      <c r="Q945" s="10">
        <f t="shared" si="1"/>
        <v>0</v>
      </c>
    </row>
    <row r="946">
      <c r="A946" s="18"/>
      <c r="B946" s="18"/>
      <c r="C946" s="18"/>
      <c r="D946" s="18"/>
      <c r="E946" s="18"/>
      <c r="F946" s="18"/>
      <c r="G946" s="18"/>
      <c r="H946" s="18"/>
      <c r="I946" s="19"/>
      <c r="J946" s="19"/>
      <c r="K946" s="19"/>
      <c r="L946" s="18"/>
      <c r="M946" s="18"/>
      <c r="N946" s="18"/>
      <c r="O946" s="18"/>
      <c r="P946" s="18"/>
      <c r="Q946" s="10">
        <f t="shared" si="1"/>
        <v>0</v>
      </c>
    </row>
    <row r="947">
      <c r="A947" s="18"/>
      <c r="B947" s="18"/>
      <c r="C947" s="18"/>
      <c r="D947" s="18"/>
      <c r="E947" s="18"/>
      <c r="F947" s="18"/>
      <c r="G947" s="18"/>
      <c r="H947" s="18"/>
      <c r="I947" s="19"/>
      <c r="J947" s="19"/>
      <c r="K947" s="19"/>
      <c r="L947" s="18"/>
      <c r="M947" s="18"/>
      <c r="N947" s="18"/>
      <c r="O947" s="18"/>
      <c r="P947" s="18"/>
      <c r="Q947" s="10">
        <f t="shared" si="1"/>
        <v>0</v>
      </c>
    </row>
    <row r="948">
      <c r="A948" s="18"/>
      <c r="B948" s="18"/>
      <c r="C948" s="18"/>
      <c r="D948" s="18"/>
      <c r="E948" s="18"/>
      <c r="F948" s="18"/>
      <c r="G948" s="18"/>
      <c r="H948" s="18"/>
      <c r="I948" s="19"/>
      <c r="J948" s="19"/>
      <c r="K948" s="19"/>
      <c r="L948" s="18"/>
      <c r="M948" s="18"/>
      <c r="N948" s="18"/>
      <c r="O948" s="18"/>
      <c r="P948" s="18"/>
      <c r="Q948" s="10">
        <f t="shared" si="1"/>
        <v>0</v>
      </c>
    </row>
    <row r="949">
      <c r="A949" s="18"/>
      <c r="B949" s="18"/>
      <c r="C949" s="18"/>
      <c r="D949" s="18"/>
      <c r="E949" s="18"/>
      <c r="F949" s="18"/>
      <c r="G949" s="18"/>
      <c r="H949" s="18"/>
      <c r="I949" s="19"/>
      <c r="J949" s="19"/>
      <c r="K949" s="19"/>
      <c r="L949" s="18"/>
      <c r="M949" s="18"/>
      <c r="N949" s="18"/>
      <c r="O949" s="18"/>
      <c r="P949" s="18"/>
      <c r="Q949" s="10">
        <f t="shared" si="1"/>
        <v>0</v>
      </c>
    </row>
    <row r="950">
      <c r="A950" s="18"/>
      <c r="B950" s="18"/>
      <c r="C950" s="18"/>
      <c r="D950" s="18"/>
      <c r="E950" s="18"/>
      <c r="F950" s="18"/>
      <c r="G950" s="18"/>
      <c r="H950" s="18"/>
      <c r="I950" s="19"/>
      <c r="J950" s="19"/>
      <c r="K950" s="19"/>
      <c r="L950" s="18"/>
      <c r="M950" s="18"/>
      <c r="N950" s="18"/>
      <c r="O950" s="18"/>
      <c r="P950" s="18"/>
      <c r="Q950" s="10">
        <f t="shared" si="1"/>
        <v>0</v>
      </c>
    </row>
    <row r="951">
      <c r="A951" s="18"/>
      <c r="B951" s="18"/>
      <c r="C951" s="18"/>
      <c r="D951" s="18"/>
      <c r="E951" s="18"/>
      <c r="F951" s="18"/>
      <c r="G951" s="18"/>
      <c r="H951" s="18"/>
      <c r="I951" s="19"/>
      <c r="J951" s="19"/>
      <c r="K951" s="19"/>
      <c r="L951" s="18"/>
      <c r="M951" s="18"/>
      <c r="N951" s="18"/>
      <c r="O951" s="18"/>
      <c r="P951" s="18"/>
      <c r="Q951" s="10">
        <f t="shared" si="1"/>
        <v>0</v>
      </c>
    </row>
    <row r="952">
      <c r="A952" s="18"/>
      <c r="B952" s="18"/>
      <c r="C952" s="18"/>
      <c r="D952" s="18"/>
      <c r="E952" s="18"/>
      <c r="F952" s="18"/>
      <c r="G952" s="18"/>
      <c r="H952" s="18"/>
      <c r="I952" s="19"/>
      <c r="J952" s="19"/>
      <c r="K952" s="19"/>
      <c r="L952" s="18"/>
      <c r="M952" s="18"/>
      <c r="N952" s="18"/>
      <c r="O952" s="18"/>
      <c r="P952" s="18"/>
      <c r="Q952" s="10">
        <f t="shared" si="1"/>
        <v>0</v>
      </c>
    </row>
    <row r="953">
      <c r="A953" s="18"/>
      <c r="B953" s="18"/>
      <c r="C953" s="18"/>
      <c r="D953" s="18"/>
      <c r="E953" s="18"/>
      <c r="F953" s="18"/>
      <c r="G953" s="18"/>
      <c r="H953" s="18"/>
      <c r="I953" s="19"/>
      <c r="J953" s="19"/>
      <c r="K953" s="19"/>
      <c r="L953" s="18"/>
      <c r="M953" s="18"/>
      <c r="N953" s="18"/>
      <c r="O953" s="18"/>
      <c r="P953" s="18"/>
      <c r="Q953" s="10">
        <f t="shared" si="1"/>
        <v>0</v>
      </c>
    </row>
    <row r="954">
      <c r="A954" s="18"/>
      <c r="B954" s="18"/>
      <c r="C954" s="18"/>
      <c r="D954" s="18"/>
      <c r="E954" s="18"/>
      <c r="F954" s="18"/>
      <c r="G954" s="18"/>
      <c r="H954" s="18"/>
      <c r="I954" s="19"/>
      <c r="J954" s="19"/>
      <c r="K954" s="19"/>
      <c r="L954" s="18"/>
      <c r="M954" s="18"/>
      <c r="N954" s="18"/>
      <c r="O954" s="18"/>
      <c r="P954" s="18"/>
      <c r="Q954" s="10">
        <f t="shared" si="1"/>
        <v>0</v>
      </c>
    </row>
    <row r="955">
      <c r="A955" s="18"/>
      <c r="B955" s="18"/>
      <c r="C955" s="18"/>
      <c r="D955" s="18"/>
      <c r="E955" s="18"/>
      <c r="F955" s="18"/>
      <c r="G955" s="18"/>
      <c r="H955" s="18"/>
      <c r="I955" s="19"/>
      <c r="J955" s="19"/>
      <c r="K955" s="19"/>
      <c r="L955" s="18"/>
      <c r="M955" s="18"/>
      <c r="N955" s="18"/>
      <c r="O955" s="18"/>
      <c r="P955" s="18"/>
      <c r="Q955" s="10">
        <f t="shared" si="1"/>
        <v>0</v>
      </c>
    </row>
    <row r="956">
      <c r="A956" s="18"/>
      <c r="B956" s="18"/>
      <c r="C956" s="18"/>
      <c r="D956" s="18"/>
      <c r="E956" s="18"/>
      <c r="F956" s="18"/>
      <c r="G956" s="18"/>
      <c r="H956" s="18"/>
      <c r="I956" s="19"/>
      <c r="J956" s="19"/>
      <c r="K956" s="19"/>
      <c r="L956" s="18"/>
      <c r="M956" s="18"/>
      <c r="N956" s="18"/>
      <c r="O956" s="18"/>
      <c r="P956" s="18"/>
      <c r="Q956" s="10">
        <f t="shared" si="1"/>
        <v>0</v>
      </c>
    </row>
    <row r="957">
      <c r="A957" s="18"/>
      <c r="B957" s="18"/>
      <c r="C957" s="18"/>
      <c r="D957" s="18"/>
      <c r="E957" s="18"/>
      <c r="F957" s="18"/>
      <c r="G957" s="18"/>
      <c r="H957" s="18"/>
      <c r="I957" s="19"/>
      <c r="J957" s="19"/>
      <c r="K957" s="19"/>
      <c r="L957" s="18"/>
      <c r="M957" s="18"/>
      <c r="N957" s="18"/>
      <c r="O957" s="18"/>
      <c r="P957" s="18"/>
      <c r="Q957" s="10">
        <f t="shared" si="1"/>
        <v>0</v>
      </c>
    </row>
    <row r="958">
      <c r="A958" s="18"/>
      <c r="B958" s="18"/>
      <c r="C958" s="18"/>
      <c r="D958" s="18"/>
      <c r="E958" s="18"/>
      <c r="F958" s="18"/>
      <c r="G958" s="18"/>
      <c r="H958" s="18"/>
      <c r="I958" s="19"/>
      <c r="J958" s="19"/>
      <c r="K958" s="19"/>
      <c r="L958" s="18"/>
      <c r="M958" s="18"/>
      <c r="N958" s="18"/>
      <c r="O958" s="18"/>
      <c r="P958" s="18"/>
      <c r="Q958" s="10">
        <f t="shared" si="1"/>
        <v>0</v>
      </c>
    </row>
    <row r="959">
      <c r="A959" s="18"/>
      <c r="B959" s="18"/>
      <c r="C959" s="18"/>
      <c r="D959" s="18"/>
      <c r="E959" s="18"/>
      <c r="F959" s="18"/>
      <c r="G959" s="18"/>
      <c r="H959" s="18"/>
      <c r="I959" s="19"/>
      <c r="J959" s="19"/>
      <c r="K959" s="19"/>
      <c r="L959" s="18"/>
      <c r="M959" s="18"/>
      <c r="N959" s="18"/>
      <c r="O959" s="18"/>
      <c r="P959" s="18"/>
      <c r="Q959" s="10">
        <f t="shared" si="1"/>
        <v>0</v>
      </c>
    </row>
    <row r="960">
      <c r="A960" s="18"/>
      <c r="B960" s="18"/>
      <c r="C960" s="18"/>
      <c r="D960" s="18"/>
      <c r="E960" s="18"/>
      <c r="F960" s="18"/>
      <c r="G960" s="18"/>
      <c r="H960" s="18"/>
      <c r="I960" s="19"/>
      <c r="J960" s="19"/>
      <c r="K960" s="19"/>
      <c r="L960" s="18"/>
      <c r="M960" s="18"/>
      <c r="N960" s="18"/>
      <c r="O960" s="18"/>
      <c r="P960" s="18"/>
      <c r="Q960" s="10">
        <f t="shared" si="1"/>
        <v>0</v>
      </c>
    </row>
    <row r="961">
      <c r="A961" s="18"/>
      <c r="B961" s="18"/>
      <c r="C961" s="18"/>
      <c r="D961" s="18"/>
      <c r="E961" s="18"/>
      <c r="F961" s="18"/>
      <c r="G961" s="18"/>
      <c r="H961" s="18"/>
      <c r="I961" s="19"/>
      <c r="J961" s="19"/>
      <c r="K961" s="19"/>
      <c r="L961" s="18"/>
      <c r="M961" s="18"/>
      <c r="N961" s="18"/>
      <c r="O961" s="18"/>
      <c r="P961" s="18"/>
      <c r="Q961" s="10">
        <f t="shared" si="1"/>
        <v>0</v>
      </c>
    </row>
    <row r="962">
      <c r="A962" s="18"/>
      <c r="B962" s="18"/>
      <c r="C962" s="18"/>
      <c r="D962" s="18"/>
      <c r="E962" s="18"/>
      <c r="F962" s="18"/>
      <c r="G962" s="18"/>
      <c r="H962" s="18"/>
      <c r="I962" s="19"/>
      <c r="J962" s="19"/>
      <c r="K962" s="19"/>
      <c r="L962" s="18"/>
      <c r="M962" s="18"/>
      <c r="N962" s="18"/>
      <c r="O962" s="18"/>
      <c r="P962" s="18"/>
      <c r="Q962" s="10">
        <f t="shared" si="1"/>
        <v>0</v>
      </c>
    </row>
    <row r="963">
      <c r="A963" s="18"/>
      <c r="B963" s="18"/>
      <c r="C963" s="18"/>
      <c r="D963" s="18"/>
      <c r="E963" s="18"/>
      <c r="F963" s="18"/>
      <c r="G963" s="18"/>
      <c r="H963" s="18"/>
      <c r="I963" s="19"/>
      <c r="J963" s="19"/>
      <c r="K963" s="19"/>
      <c r="L963" s="18"/>
      <c r="M963" s="18"/>
      <c r="N963" s="18"/>
      <c r="O963" s="18"/>
      <c r="P963" s="18"/>
      <c r="Q963" s="10">
        <f t="shared" si="1"/>
        <v>0</v>
      </c>
    </row>
    <row r="964">
      <c r="A964" s="18"/>
      <c r="B964" s="18"/>
      <c r="C964" s="18"/>
      <c r="D964" s="18"/>
      <c r="E964" s="18"/>
      <c r="F964" s="18"/>
      <c r="G964" s="18"/>
      <c r="H964" s="18"/>
      <c r="I964" s="19"/>
      <c r="J964" s="19"/>
      <c r="K964" s="19"/>
      <c r="L964" s="18"/>
      <c r="M964" s="18"/>
      <c r="N964" s="18"/>
      <c r="O964" s="18"/>
      <c r="P964" s="18"/>
      <c r="Q964" s="10">
        <f t="shared" si="1"/>
        <v>0</v>
      </c>
    </row>
    <row r="965">
      <c r="A965" s="18"/>
      <c r="B965" s="18"/>
      <c r="C965" s="18"/>
      <c r="D965" s="18"/>
      <c r="E965" s="18"/>
      <c r="F965" s="18"/>
      <c r="G965" s="18"/>
      <c r="H965" s="18"/>
      <c r="I965" s="19"/>
      <c r="J965" s="19"/>
      <c r="K965" s="19"/>
      <c r="L965" s="18"/>
      <c r="M965" s="18"/>
      <c r="N965" s="18"/>
      <c r="O965" s="18"/>
      <c r="P965" s="18"/>
      <c r="Q965" s="10">
        <f t="shared" si="1"/>
        <v>0</v>
      </c>
    </row>
    <row r="966">
      <c r="A966" s="18"/>
      <c r="B966" s="18"/>
      <c r="C966" s="18"/>
      <c r="D966" s="18"/>
      <c r="E966" s="18"/>
      <c r="F966" s="18"/>
      <c r="G966" s="18"/>
      <c r="H966" s="18"/>
      <c r="I966" s="19"/>
      <c r="J966" s="19"/>
      <c r="K966" s="19"/>
      <c r="L966" s="18"/>
      <c r="M966" s="18"/>
      <c r="N966" s="18"/>
      <c r="O966" s="18"/>
      <c r="P966" s="18"/>
      <c r="Q966" s="10">
        <f t="shared" si="1"/>
        <v>0</v>
      </c>
    </row>
    <row r="967">
      <c r="A967" s="18"/>
      <c r="B967" s="18"/>
      <c r="C967" s="18"/>
      <c r="D967" s="18"/>
      <c r="E967" s="18"/>
      <c r="F967" s="18"/>
      <c r="G967" s="18"/>
      <c r="H967" s="18"/>
      <c r="I967" s="19"/>
      <c r="J967" s="19"/>
      <c r="K967" s="19"/>
      <c r="L967" s="18"/>
      <c r="M967" s="18"/>
      <c r="N967" s="18"/>
      <c r="O967" s="18"/>
      <c r="P967" s="18"/>
      <c r="Q967" s="10">
        <f t="shared" si="1"/>
        <v>0</v>
      </c>
    </row>
    <row r="968">
      <c r="A968" s="18"/>
      <c r="B968" s="18"/>
      <c r="C968" s="18"/>
      <c r="D968" s="18"/>
      <c r="E968" s="18"/>
      <c r="F968" s="18"/>
      <c r="G968" s="18"/>
      <c r="H968" s="18"/>
      <c r="I968" s="19"/>
      <c r="J968" s="19"/>
      <c r="K968" s="19"/>
      <c r="L968" s="18"/>
      <c r="M968" s="18"/>
      <c r="N968" s="18"/>
      <c r="O968" s="18"/>
      <c r="P968" s="18"/>
      <c r="Q968" s="10">
        <f t="shared" si="1"/>
        <v>0</v>
      </c>
    </row>
    <row r="969">
      <c r="A969" s="18"/>
      <c r="B969" s="18"/>
      <c r="C969" s="18"/>
      <c r="D969" s="18"/>
      <c r="E969" s="18"/>
      <c r="F969" s="18"/>
      <c r="G969" s="18"/>
      <c r="H969" s="18"/>
      <c r="I969" s="19"/>
      <c r="J969" s="19"/>
      <c r="K969" s="19"/>
      <c r="L969" s="18"/>
      <c r="M969" s="18"/>
      <c r="N969" s="18"/>
      <c r="O969" s="18"/>
      <c r="P969" s="18"/>
      <c r="Q969" s="10">
        <f t="shared" si="1"/>
        <v>0</v>
      </c>
    </row>
    <row r="970">
      <c r="A970" s="18"/>
      <c r="B970" s="18"/>
      <c r="C970" s="18"/>
      <c r="D970" s="18"/>
      <c r="E970" s="18"/>
      <c r="F970" s="18"/>
      <c r="G970" s="18"/>
      <c r="H970" s="18"/>
      <c r="I970" s="19"/>
      <c r="J970" s="19"/>
      <c r="K970" s="19"/>
      <c r="L970" s="18"/>
      <c r="M970" s="18"/>
      <c r="N970" s="18"/>
      <c r="O970" s="18"/>
      <c r="P970" s="18"/>
      <c r="Q970" s="10">
        <f t="shared" si="1"/>
        <v>0</v>
      </c>
    </row>
    <row r="971">
      <c r="A971" s="18"/>
      <c r="B971" s="18"/>
      <c r="C971" s="18"/>
      <c r="D971" s="18"/>
      <c r="E971" s="18"/>
      <c r="F971" s="18"/>
      <c r="G971" s="18"/>
      <c r="H971" s="18"/>
      <c r="I971" s="19"/>
      <c r="J971" s="19"/>
      <c r="K971" s="19"/>
      <c r="L971" s="18"/>
      <c r="M971" s="18"/>
      <c r="N971" s="18"/>
      <c r="O971" s="18"/>
      <c r="P971" s="18"/>
      <c r="Q971" s="10">
        <f t="shared" si="1"/>
        <v>0</v>
      </c>
    </row>
    <row r="972">
      <c r="A972" s="18"/>
      <c r="B972" s="18"/>
      <c r="C972" s="18"/>
      <c r="D972" s="18"/>
      <c r="E972" s="18"/>
      <c r="F972" s="18"/>
      <c r="G972" s="18"/>
      <c r="H972" s="18"/>
      <c r="I972" s="19"/>
      <c r="J972" s="19"/>
      <c r="K972" s="19"/>
      <c r="L972" s="18"/>
      <c r="M972" s="18"/>
      <c r="N972" s="18"/>
      <c r="O972" s="18"/>
      <c r="P972" s="18"/>
      <c r="Q972" s="10">
        <f t="shared" si="1"/>
        <v>0</v>
      </c>
    </row>
    <row r="973">
      <c r="A973" s="18"/>
      <c r="B973" s="18"/>
      <c r="C973" s="18"/>
      <c r="D973" s="18"/>
      <c r="E973" s="18"/>
      <c r="F973" s="18"/>
      <c r="G973" s="18"/>
      <c r="H973" s="18"/>
      <c r="I973" s="19"/>
      <c r="J973" s="19"/>
      <c r="K973" s="19"/>
      <c r="L973" s="18"/>
      <c r="M973" s="18"/>
      <c r="N973" s="18"/>
      <c r="O973" s="18"/>
      <c r="P973" s="18"/>
      <c r="Q973" s="10">
        <f t="shared" si="1"/>
        <v>0</v>
      </c>
    </row>
    <row r="974">
      <c r="A974" s="18"/>
      <c r="B974" s="18"/>
      <c r="C974" s="18"/>
      <c r="D974" s="18"/>
      <c r="E974" s="18"/>
      <c r="F974" s="18"/>
      <c r="G974" s="18"/>
      <c r="H974" s="18"/>
      <c r="I974" s="19"/>
      <c r="J974" s="19"/>
      <c r="K974" s="19"/>
      <c r="L974" s="18"/>
      <c r="M974" s="18"/>
      <c r="N974" s="18"/>
      <c r="O974" s="18"/>
      <c r="P974" s="18"/>
      <c r="Q974" s="10">
        <f t="shared" si="1"/>
        <v>0</v>
      </c>
    </row>
    <row r="975">
      <c r="A975" s="18"/>
      <c r="B975" s="18"/>
      <c r="C975" s="18"/>
      <c r="D975" s="18"/>
      <c r="E975" s="18"/>
      <c r="F975" s="18"/>
      <c r="G975" s="18"/>
      <c r="H975" s="18"/>
      <c r="I975" s="19"/>
      <c r="J975" s="19"/>
      <c r="K975" s="19"/>
      <c r="L975" s="18"/>
      <c r="M975" s="18"/>
      <c r="N975" s="18"/>
      <c r="O975" s="18"/>
      <c r="P975" s="18"/>
      <c r="Q975" s="10">
        <f t="shared" si="1"/>
        <v>0</v>
      </c>
    </row>
    <row r="976">
      <c r="A976" s="18"/>
      <c r="B976" s="18"/>
      <c r="C976" s="18"/>
      <c r="D976" s="18"/>
      <c r="E976" s="18"/>
      <c r="F976" s="18"/>
      <c r="G976" s="18"/>
      <c r="H976" s="18"/>
      <c r="I976" s="19"/>
      <c r="J976" s="19"/>
      <c r="K976" s="19"/>
      <c r="L976" s="18"/>
      <c r="M976" s="18"/>
      <c r="N976" s="18"/>
      <c r="O976" s="18"/>
      <c r="P976" s="18"/>
      <c r="Q976" s="10">
        <f t="shared" si="1"/>
        <v>0</v>
      </c>
    </row>
    <row r="977">
      <c r="A977" s="18"/>
      <c r="B977" s="18"/>
      <c r="C977" s="18"/>
      <c r="D977" s="18"/>
      <c r="E977" s="18"/>
      <c r="F977" s="18"/>
      <c r="G977" s="18"/>
      <c r="H977" s="18"/>
      <c r="I977" s="19"/>
      <c r="J977" s="19"/>
      <c r="K977" s="19"/>
      <c r="L977" s="18"/>
      <c r="M977" s="18"/>
      <c r="N977" s="18"/>
      <c r="O977" s="18"/>
      <c r="P977" s="18"/>
      <c r="Q977" s="10">
        <f t="shared" si="1"/>
        <v>0</v>
      </c>
    </row>
    <row r="978">
      <c r="A978" s="18"/>
      <c r="B978" s="18"/>
      <c r="C978" s="18"/>
      <c r="D978" s="18"/>
      <c r="E978" s="18"/>
      <c r="F978" s="18"/>
      <c r="G978" s="18"/>
      <c r="H978" s="18"/>
      <c r="I978" s="19"/>
      <c r="J978" s="19"/>
      <c r="K978" s="19"/>
      <c r="L978" s="18"/>
      <c r="M978" s="18"/>
      <c r="N978" s="18"/>
      <c r="O978" s="18"/>
      <c r="P978" s="18"/>
      <c r="Q978" s="10">
        <f t="shared" si="1"/>
        <v>0</v>
      </c>
    </row>
    <row r="979">
      <c r="A979" s="18"/>
      <c r="B979" s="18"/>
      <c r="C979" s="18"/>
      <c r="D979" s="18"/>
      <c r="E979" s="18"/>
      <c r="F979" s="18"/>
      <c r="G979" s="18"/>
      <c r="H979" s="18"/>
      <c r="I979" s="19"/>
      <c r="J979" s="19"/>
      <c r="K979" s="19"/>
      <c r="L979" s="18"/>
      <c r="M979" s="18"/>
      <c r="N979" s="18"/>
      <c r="O979" s="18"/>
      <c r="P979" s="18"/>
      <c r="Q979" s="10">
        <f t="shared" si="1"/>
        <v>0</v>
      </c>
    </row>
    <row r="980">
      <c r="A980" s="18"/>
      <c r="B980" s="18"/>
      <c r="C980" s="18"/>
      <c r="D980" s="18"/>
      <c r="E980" s="18"/>
      <c r="F980" s="18"/>
      <c r="G980" s="18"/>
      <c r="H980" s="18"/>
      <c r="I980" s="19"/>
      <c r="J980" s="19"/>
      <c r="K980" s="19"/>
      <c r="L980" s="18"/>
      <c r="M980" s="18"/>
      <c r="N980" s="18"/>
      <c r="O980" s="18"/>
      <c r="P980" s="18"/>
      <c r="Q980" s="10">
        <f t="shared" si="1"/>
        <v>0</v>
      </c>
    </row>
    <row r="981">
      <c r="A981" s="18"/>
      <c r="B981" s="18"/>
      <c r="C981" s="18"/>
      <c r="D981" s="18"/>
      <c r="E981" s="18"/>
      <c r="F981" s="18"/>
      <c r="G981" s="18"/>
      <c r="H981" s="18"/>
      <c r="I981" s="19"/>
      <c r="J981" s="19"/>
      <c r="K981" s="19"/>
      <c r="L981" s="18"/>
      <c r="M981" s="18"/>
      <c r="N981" s="18"/>
      <c r="O981" s="18"/>
      <c r="P981" s="18"/>
      <c r="Q981" s="10">
        <f t="shared" si="1"/>
        <v>0</v>
      </c>
    </row>
    <row r="982">
      <c r="A982" s="18"/>
      <c r="B982" s="18"/>
      <c r="C982" s="18"/>
      <c r="D982" s="18"/>
      <c r="E982" s="18"/>
      <c r="F982" s="18"/>
      <c r="G982" s="18"/>
      <c r="H982" s="18"/>
      <c r="I982" s="19"/>
      <c r="J982" s="19"/>
      <c r="K982" s="19"/>
      <c r="L982" s="18"/>
      <c r="M982" s="18"/>
      <c r="N982" s="18"/>
      <c r="O982" s="18"/>
      <c r="P982" s="18"/>
      <c r="Q982" s="10">
        <f t="shared" si="1"/>
        <v>0</v>
      </c>
    </row>
    <row r="983">
      <c r="A983" s="18"/>
      <c r="B983" s="18"/>
      <c r="C983" s="18"/>
      <c r="D983" s="18"/>
      <c r="E983" s="18"/>
      <c r="F983" s="18"/>
      <c r="G983" s="18"/>
      <c r="H983" s="18"/>
      <c r="I983" s="19"/>
      <c r="J983" s="19"/>
      <c r="K983" s="19"/>
      <c r="L983" s="18"/>
      <c r="M983" s="18"/>
      <c r="N983" s="18"/>
      <c r="O983" s="18"/>
      <c r="P983" s="18"/>
      <c r="Q983" s="10">
        <f t="shared" si="1"/>
        <v>0</v>
      </c>
    </row>
    <row r="984">
      <c r="A984" s="18"/>
      <c r="B984" s="18"/>
      <c r="C984" s="18"/>
      <c r="D984" s="18"/>
      <c r="E984" s="18"/>
      <c r="F984" s="18"/>
      <c r="G984" s="18"/>
      <c r="H984" s="18"/>
      <c r="I984" s="19"/>
      <c r="J984" s="19"/>
      <c r="K984" s="19"/>
      <c r="L984" s="18"/>
      <c r="M984" s="18"/>
      <c r="N984" s="18"/>
      <c r="O984" s="18"/>
      <c r="P984" s="18"/>
      <c r="Q984" s="10">
        <f t="shared" si="1"/>
        <v>0</v>
      </c>
    </row>
    <row r="985">
      <c r="A985" s="18"/>
      <c r="B985" s="18"/>
      <c r="C985" s="18"/>
      <c r="D985" s="18"/>
      <c r="E985" s="18"/>
      <c r="F985" s="18"/>
      <c r="G985" s="18"/>
      <c r="H985" s="18"/>
      <c r="I985" s="19"/>
      <c r="J985" s="19"/>
      <c r="K985" s="19"/>
      <c r="L985" s="18"/>
      <c r="M985" s="18"/>
      <c r="N985" s="18"/>
      <c r="O985" s="18"/>
      <c r="P985" s="18"/>
      <c r="Q985" s="10">
        <f t="shared" si="1"/>
        <v>0</v>
      </c>
    </row>
    <row r="986">
      <c r="A986" s="18"/>
      <c r="B986" s="18"/>
      <c r="C986" s="18"/>
      <c r="D986" s="18"/>
      <c r="E986" s="18"/>
      <c r="F986" s="18"/>
      <c r="G986" s="18"/>
      <c r="H986" s="18"/>
      <c r="I986" s="19"/>
      <c r="J986" s="19"/>
      <c r="K986" s="19"/>
      <c r="L986" s="18"/>
      <c r="M986" s="18"/>
      <c r="N986" s="18"/>
      <c r="O986" s="18"/>
      <c r="P986" s="18"/>
      <c r="Q986" s="10">
        <f t="shared" si="1"/>
        <v>0</v>
      </c>
    </row>
    <row r="987">
      <c r="A987" s="18"/>
      <c r="B987" s="18"/>
      <c r="C987" s="18"/>
      <c r="D987" s="18"/>
      <c r="E987" s="18"/>
      <c r="F987" s="18"/>
      <c r="G987" s="18"/>
      <c r="H987" s="18"/>
      <c r="I987" s="19"/>
      <c r="J987" s="19"/>
      <c r="K987" s="19"/>
      <c r="L987" s="18"/>
      <c r="M987" s="18"/>
      <c r="N987" s="18"/>
      <c r="O987" s="18"/>
      <c r="P987" s="18"/>
      <c r="Q987" s="10">
        <f t="shared" si="1"/>
        <v>0</v>
      </c>
    </row>
    <row r="988">
      <c r="A988" s="18"/>
      <c r="B988" s="18"/>
      <c r="C988" s="18"/>
      <c r="D988" s="18"/>
      <c r="E988" s="18"/>
      <c r="F988" s="18"/>
      <c r="G988" s="18"/>
      <c r="H988" s="18"/>
      <c r="I988" s="19"/>
      <c r="J988" s="19"/>
      <c r="K988" s="19"/>
      <c r="L988" s="18"/>
      <c r="M988" s="18"/>
      <c r="N988" s="18"/>
      <c r="O988" s="18"/>
      <c r="P988" s="18"/>
      <c r="Q988" s="10">
        <f t="shared" si="1"/>
        <v>0</v>
      </c>
    </row>
    <row r="989">
      <c r="A989" s="18"/>
      <c r="B989" s="18"/>
      <c r="C989" s="18"/>
      <c r="D989" s="18"/>
      <c r="E989" s="18"/>
      <c r="F989" s="18"/>
      <c r="G989" s="18"/>
      <c r="H989" s="18"/>
      <c r="I989" s="19"/>
      <c r="J989" s="19"/>
      <c r="K989" s="19"/>
      <c r="L989" s="18"/>
      <c r="M989" s="18"/>
      <c r="N989" s="18"/>
      <c r="O989" s="18"/>
      <c r="P989" s="18"/>
      <c r="Q989" s="10">
        <f t="shared" si="1"/>
        <v>0</v>
      </c>
    </row>
    <row r="990">
      <c r="A990" s="18"/>
      <c r="B990" s="18"/>
      <c r="C990" s="18"/>
      <c r="D990" s="18"/>
      <c r="E990" s="18"/>
      <c r="F990" s="18"/>
      <c r="G990" s="18"/>
      <c r="H990" s="18"/>
      <c r="I990" s="19"/>
      <c r="J990" s="19"/>
      <c r="K990" s="19"/>
      <c r="L990" s="18"/>
      <c r="M990" s="18"/>
      <c r="N990" s="18"/>
      <c r="O990" s="18"/>
      <c r="P990" s="18"/>
      <c r="Q990" s="10">
        <f t="shared" si="1"/>
        <v>0</v>
      </c>
    </row>
    <row r="991">
      <c r="A991" s="18"/>
      <c r="B991" s="18"/>
      <c r="C991" s="18"/>
      <c r="D991" s="18"/>
      <c r="E991" s="18"/>
      <c r="F991" s="18"/>
      <c r="G991" s="18"/>
      <c r="H991" s="18"/>
      <c r="I991" s="19"/>
      <c r="J991" s="19"/>
      <c r="K991" s="19"/>
      <c r="L991" s="18"/>
      <c r="M991" s="18"/>
      <c r="N991" s="18"/>
      <c r="O991" s="18"/>
      <c r="P991" s="18"/>
      <c r="Q991" s="10">
        <f t="shared" si="1"/>
        <v>0</v>
      </c>
    </row>
    <row r="992">
      <c r="A992" s="18"/>
      <c r="B992" s="18"/>
      <c r="C992" s="18"/>
      <c r="D992" s="18"/>
      <c r="E992" s="18"/>
      <c r="F992" s="18"/>
      <c r="G992" s="18"/>
      <c r="H992" s="18"/>
      <c r="I992" s="19"/>
      <c r="J992" s="19"/>
      <c r="K992" s="19"/>
      <c r="L992" s="18"/>
      <c r="M992" s="18"/>
      <c r="N992" s="18"/>
      <c r="O992" s="18"/>
      <c r="P992" s="18"/>
      <c r="Q992" s="10">
        <f t="shared" si="1"/>
        <v>0</v>
      </c>
    </row>
    <row r="993">
      <c r="A993" s="18"/>
      <c r="B993" s="18"/>
      <c r="C993" s="18"/>
      <c r="D993" s="18"/>
      <c r="E993" s="18"/>
      <c r="F993" s="18"/>
      <c r="G993" s="18"/>
      <c r="H993" s="18"/>
      <c r="I993" s="19"/>
      <c r="J993" s="19"/>
      <c r="K993" s="19"/>
      <c r="L993" s="18"/>
      <c r="M993" s="18"/>
      <c r="N993" s="18"/>
      <c r="O993" s="18"/>
      <c r="P993" s="18"/>
      <c r="Q993" s="10">
        <f t="shared" si="1"/>
        <v>0</v>
      </c>
    </row>
    <row r="994">
      <c r="A994" s="18"/>
      <c r="B994" s="18"/>
      <c r="C994" s="18"/>
      <c r="D994" s="18"/>
      <c r="E994" s="18"/>
      <c r="F994" s="18"/>
      <c r="G994" s="18"/>
      <c r="H994" s="18"/>
      <c r="I994" s="19"/>
      <c r="J994" s="19"/>
      <c r="K994" s="19"/>
      <c r="L994" s="18"/>
      <c r="M994" s="18"/>
      <c r="N994" s="18"/>
      <c r="O994" s="18"/>
      <c r="P994" s="18"/>
      <c r="Q994" s="10">
        <f t="shared" si="1"/>
        <v>0</v>
      </c>
    </row>
    <row r="995">
      <c r="A995" s="18"/>
      <c r="B995" s="18"/>
      <c r="C995" s="18"/>
      <c r="D995" s="18"/>
      <c r="E995" s="18"/>
      <c r="F995" s="18"/>
      <c r="G995" s="18"/>
      <c r="H995" s="18"/>
      <c r="I995" s="19"/>
      <c r="J995" s="19"/>
      <c r="K995" s="19"/>
      <c r="L995" s="18"/>
      <c r="M995" s="18"/>
      <c r="N995" s="18"/>
      <c r="O995" s="18"/>
      <c r="P995" s="18"/>
      <c r="Q995" s="10">
        <f t="shared" si="1"/>
        <v>0</v>
      </c>
    </row>
    <row r="996">
      <c r="A996" s="18"/>
      <c r="B996" s="18"/>
      <c r="C996" s="18"/>
      <c r="D996" s="18"/>
      <c r="E996" s="18"/>
      <c r="F996" s="18"/>
      <c r="G996" s="18"/>
      <c r="H996" s="18"/>
      <c r="I996" s="19"/>
      <c r="J996" s="19"/>
      <c r="K996" s="19"/>
      <c r="L996" s="18"/>
      <c r="M996" s="18"/>
      <c r="N996" s="18"/>
      <c r="O996" s="18"/>
      <c r="P996" s="18"/>
      <c r="Q996" s="10">
        <f t="shared" si="1"/>
        <v>0</v>
      </c>
    </row>
    <row r="997">
      <c r="A997" s="18"/>
      <c r="B997" s="18"/>
      <c r="C997" s="18"/>
      <c r="D997" s="18"/>
      <c r="E997" s="18"/>
      <c r="F997" s="18"/>
      <c r="G997" s="18"/>
      <c r="H997" s="18"/>
      <c r="I997" s="19"/>
      <c r="J997" s="19"/>
      <c r="K997" s="19"/>
      <c r="L997" s="18"/>
      <c r="M997" s="18"/>
      <c r="N997" s="18"/>
      <c r="O997" s="18"/>
      <c r="P997" s="18"/>
      <c r="Q997" s="10">
        <f t="shared" si="1"/>
        <v>0</v>
      </c>
    </row>
    <row r="998">
      <c r="A998" s="18"/>
      <c r="B998" s="18"/>
      <c r="C998" s="18"/>
      <c r="D998" s="18"/>
      <c r="E998" s="18"/>
      <c r="F998" s="18"/>
      <c r="G998" s="18"/>
      <c r="H998" s="18"/>
      <c r="I998" s="19"/>
      <c r="J998" s="19"/>
      <c r="K998" s="19"/>
      <c r="L998" s="18"/>
      <c r="M998" s="18"/>
      <c r="N998" s="18"/>
      <c r="O998" s="18"/>
      <c r="P998" s="18"/>
      <c r="Q998" s="10">
        <f t="shared" si="1"/>
        <v>0</v>
      </c>
    </row>
    <row r="999">
      <c r="A999" s="18"/>
      <c r="B999" s="18"/>
      <c r="C999" s="18"/>
      <c r="D999" s="18"/>
      <c r="E999" s="18"/>
      <c r="F999" s="18"/>
      <c r="G999" s="18"/>
      <c r="H999" s="18"/>
      <c r="I999" s="19"/>
      <c r="J999" s="19"/>
      <c r="K999" s="19"/>
      <c r="L999" s="18"/>
      <c r="M999" s="18"/>
      <c r="N999" s="18"/>
      <c r="O999" s="18"/>
      <c r="P999" s="18"/>
      <c r="Q999" s="10">
        <f t="shared" si="1"/>
        <v>0</v>
      </c>
    </row>
    <row r="1000">
      <c r="A1000" s="18"/>
      <c r="B1000" s="18"/>
      <c r="C1000" s="18"/>
      <c r="D1000" s="18"/>
      <c r="E1000" s="18"/>
      <c r="F1000" s="18"/>
      <c r="G1000" s="18"/>
      <c r="H1000" s="18"/>
      <c r="I1000" s="19"/>
      <c r="J1000" s="19"/>
      <c r="K1000" s="19"/>
      <c r="L1000" s="18"/>
      <c r="M1000" s="18"/>
      <c r="N1000" s="18"/>
      <c r="O1000" s="18"/>
      <c r="P1000" s="18"/>
      <c r="Q1000" s="10">
        <f t="shared" si="1"/>
        <v>0</v>
      </c>
    </row>
    <row r="1001">
      <c r="A1001" s="18"/>
      <c r="B1001" s="18"/>
      <c r="C1001" s="18"/>
      <c r="D1001" s="18"/>
      <c r="E1001" s="18"/>
      <c r="F1001" s="18"/>
      <c r="G1001" s="18"/>
      <c r="H1001" s="18"/>
      <c r="I1001" s="19"/>
      <c r="J1001" s="19"/>
      <c r="K1001" s="19"/>
      <c r="L1001" s="18"/>
      <c r="M1001" s="18"/>
      <c r="N1001" s="18"/>
      <c r="O1001" s="18"/>
      <c r="P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9"/>
      <c r="J1002" s="19"/>
      <c r="K1002" s="19"/>
      <c r="L1002" s="18"/>
      <c r="M1002" s="18"/>
      <c r="N1002" s="18"/>
      <c r="O1002" s="18"/>
      <c r="P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9"/>
      <c r="J1003" s="19"/>
      <c r="K1003" s="19"/>
      <c r="L1003" s="18"/>
      <c r="M1003" s="18"/>
      <c r="N1003" s="18"/>
      <c r="O1003" s="18"/>
      <c r="P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9"/>
      <c r="J1004" s="19"/>
      <c r="K1004" s="19"/>
      <c r="L1004" s="18"/>
      <c r="M1004" s="18"/>
      <c r="N1004" s="18"/>
      <c r="O1004" s="18"/>
      <c r="P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9"/>
      <c r="J1005" s="19"/>
      <c r="K1005" s="19"/>
      <c r="L1005" s="18"/>
      <c r="M1005" s="18"/>
      <c r="N1005" s="18"/>
      <c r="O1005" s="18"/>
      <c r="P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9"/>
      <c r="J1006" s="19"/>
      <c r="K1006" s="19"/>
      <c r="L1006" s="18"/>
      <c r="M1006" s="18"/>
      <c r="N1006" s="18"/>
      <c r="O1006" s="18"/>
      <c r="P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9"/>
      <c r="J1007" s="19"/>
      <c r="K1007" s="19"/>
      <c r="L1007" s="18"/>
      <c r="M1007" s="18"/>
      <c r="N1007" s="18"/>
      <c r="O1007" s="18"/>
      <c r="P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19"/>
      <c r="J1008" s="19"/>
      <c r="K1008" s="19"/>
      <c r="L1008" s="18"/>
      <c r="M1008" s="18"/>
      <c r="N1008" s="18"/>
      <c r="O1008" s="18"/>
      <c r="P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19"/>
      <c r="J1009" s="19"/>
      <c r="K1009" s="19"/>
      <c r="L1009" s="18"/>
      <c r="M1009" s="18"/>
      <c r="N1009" s="18"/>
      <c r="O1009" s="18"/>
      <c r="P1009" s="18"/>
    </row>
    <row r="1010">
      <c r="A1010" s="18"/>
      <c r="B1010" s="18"/>
      <c r="C1010" s="18"/>
      <c r="D1010" s="18"/>
      <c r="E1010" s="18"/>
      <c r="F1010" s="18"/>
      <c r="G1010" s="18"/>
      <c r="H1010" s="18"/>
      <c r="I1010" s="19"/>
      <c r="J1010" s="19"/>
      <c r="K1010" s="19"/>
      <c r="L1010" s="18"/>
      <c r="M1010" s="18"/>
      <c r="N1010" s="18"/>
      <c r="O1010" s="18"/>
      <c r="P1010" s="18"/>
    </row>
    <row r="1011">
      <c r="A1011" s="18"/>
      <c r="B1011" s="18"/>
      <c r="C1011" s="18"/>
      <c r="D1011" s="18"/>
      <c r="E1011" s="18"/>
      <c r="F1011" s="18"/>
      <c r="G1011" s="18"/>
      <c r="H1011" s="18"/>
      <c r="I1011" s="19"/>
      <c r="J1011" s="19"/>
      <c r="K1011" s="19"/>
      <c r="L1011" s="18"/>
      <c r="M1011" s="18"/>
      <c r="N1011" s="18"/>
      <c r="O1011" s="18"/>
      <c r="P1011" s="18"/>
    </row>
    <row r="1012">
      <c r="A1012" s="18"/>
      <c r="B1012" s="18"/>
      <c r="C1012" s="18"/>
      <c r="D1012" s="18"/>
      <c r="E1012" s="18"/>
      <c r="F1012" s="18"/>
      <c r="G1012" s="18"/>
      <c r="H1012" s="18"/>
      <c r="I1012" s="19"/>
      <c r="J1012" s="19"/>
      <c r="K1012" s="19"/>
      <c r="L1012" s="18"/>
      <c r="M1012" s="18"/>
      <c r="N1012" s="18"/>
      <c r="O1012" s="18"/>
      <c r="P1012" s="18"/>
    </row>
    <row r="1013">
      <c r="A1013" s="18"/>
      <c r="B1013" s="18"/>
      <c r="C1013" s="18"/>
      <c r="D1013" s="18"/>
      <c r="E1013" s="18"/>
      <c r="F1013" s="18"/>
      <c r="G1013" s="18"/>
      <c r="H1013" s="18"/>
      <c r="I1013" s="19"/>
      <c r="J1013" s="19"/>
      <c r="K1013" s="19"/>
      <c r="L1013" s="18"/>
      <c r="M1013" s="18"/>
      <c r="N1013" s="18"/>
      <c r="O1013" s="18"/>
      <c r="P1013" s="18"/>
    </row>
    <row r="1014">
      <c r="A1014" s="18"/>
      <c r="B1014" s="18"/>
      <c r="C1014" s="18"/>
      <c r="D1014" s="18"/>
      <c r="E1014" s="18"/>
      <c r="F1014" s="18"/>
      <c r="G1014" s="18"/>
      <c r="H1014" s="18"/>
      <c r="I1014" s="19"/>
      <c r="J1014" s="19"/>
      <c r="K1014" s="19"/>
      <c r="L1014" s="18"/>
      <c r="M1014" s="18"/>
      <c r="N1014" s="18"/>
      <c r="O1014" s="18"/>
      <c r="P1014" s="18"/>
    </row>
    <row r="1015">
      <c r="A1015" s="18"/>
      <c r="B1015" s="18"/>
      <c r="C1015" s="18"/>
      <c r="D1015" s="18"/>
      <c r="E1015" s="18"/>
      <c r="F1015" s="18"/>
      <c r="G1015" s="18"/>
      <c r="H1015" s="18"/>
      <c r="I1015" s="19"/>
      <c r="J1015" s="19"/>
      <c r="K1015" s="19"/>
      <c r="L1015" s="18"/>
      <c r="M1015" s="18"/>
      <c r="N1015" s="18"/>
      <c r="O1015" s="18"/>
      <c r="P1015" s="18"/>
    </row>
    <row r="1016">
      <c r="A1016" s="18"/>
      <c r="B1016" s="18"/>
      <c r="C1016" s="18"/>
      <c r="D1016" s="18"/>
      <c r="E1016" s="18"/>
      <c r="F1016" s="18"/>
      <c r="G1016" s="18"/>
      <c r="H1016" s="18"/>
      <c r="I1016" s="19"/>
      <c r="J1016" s="19"/>
      <c r="K1016" s="19"/>
      <c r="L1016" s="18"/>
      <c r="M1016" s="18"/>
      <c r="N1016" s="18"/>
      <c r="O1016" s="18"/>
      <c r="P1016" s="18"/>
    </row>
    <row r="1017">
      <c r="A1017" s="18"/>
      <c r="B1017" s="18"/>
      <c r="C1017" s="18"/>
      <c r="D1017" s="18"/>
      <c r="E1017" s="18"/>
      <c r="F1017" s="18"/>
      <c r="G1017" s="18"/>
      <c r="H1017" s="18"/>
      <c r="I1017" s="19"/>
      <c r="J1017" s="19"/>
      <c r="K1017" s="19"/>
      <c r="L1017" s="18"/>
      <c r="M1017" s="18"/>
      <c r="N1017" s="18"/>
      <c r="O1017" s="18"/>
      <c r="P1017" s="18"/>
    </row>
    <row r="1018">
      <c r="A1018" s="18"/>
      <c r="B1018" s="18"/>
      <c r="C1018" s="18"/>
      <c r="D1018" s="18"/>
      <c r="E1018" s="18"/>
      <c r="F1018" s="18"/>
      <c r="G1018" s="18"/>
      <c r="H1018" s="18"/>
      <c r="I1018" s="19"/>
      <c r="J1018" s="19"/>
      <c r="K1018" s="19"/>
      <c r="L1018" s="18"/>
      <c r="M1018" s="18"/>
      <c r="N1018" s="18"/>
      <c r="O1018" s="18"/>
      <c r="P1018" s="18"/>
    </row>
    <row r="1019">
      <c r="A1019" s="18"/>
      <c r="B1019" s="18"/>
      <c r="C1019" s="18"/>
      <c r="D1019" s="18"/>
      <c r="E1019" s="18"/>
      <c r="F1019" s="18"/>
      <c r="G1019" s="18"/>
      <c r="H1019" s="18"/>
      <c r="I1019" s="19"/>
      <c r="J1019" s="19"/>
      <c r="K1019" s="19"/>
      <c r="L1019" s="18"/>
      <c r="M1019" s="18"/>
      <c r="N1019" s="18"/>
      <c r="O1019" s="18"/>
      <c r="P1019" s="18"/>
    </row>
    <row r="1020">
      <c r="A1020" s="18"/>
      <c r="B1020" s="18"/>
      <c r="C1020" s="18"/>
      <c r="D1020" s="18"/>
      <c r="E1020" s="18"/>
      <c r="F1020" s="18"/>
      <c r="G1020" s="18"/>
      <c r="H1020" s="18"/>
      <c r="I1020" s="19"/>
      <c r="J1020" s="19"/>
      <c r="K1020" s="19"/>
      <c r="L1020" s="18"/>
      <c r="M1020" s="18"/>
      <c r="N1020" s="18"/>
      <c r="O1020" s="18"/>
      <c r="P1020" s="18"/>
    </row>
    <row r="1021">
      <c r="A1021" s="18"/>
      <c r="B1021" s="18"/>
      <c r="C1021" s="18"/>
      <c r="D1021" s="18"/>
      <c r="E1021" s="18"/>
      <c r="F1021" s="18"/>
      <c r="G1021" s="18"/>
      <c r="H1021" s="18"/>
      <c r="I1021" s="19"/>
      <c r="J1021" s="19"/>
      <c r="K1021" s="19"/>
      <c r="L1021" s="18"/>
      <c r="M1021" s="18"/>
      <c r="N1021" s="18"/>
      <c r="O1021" s="18"/>
      <c r="P1021" s="18"/>
    </row>
    <row r="1022">
      <c r="A1022" s="18"/>
      <c r="B1022" s="18"/>
      <c r="C1022" s="18"/>
      <c r="D1022" s="18"/>
      <c r="E1022" s="18"/>
      <c r="F1022" s="18"/>
      <c r="G1022" s="18"/>
      <c r="H1022" s="18"/>
      <c r="I1022" s="19"/>
      <c r="J1022" s="19"/>
      <c r="K1022" s="19"/>
      <c r="L1022" s="18"/>
      <c r="M1022" s="18"/>
      <c r="N1022" s="18"/>
      <c r="O1022" s="18"/>
      <c r="P1022" s="18"/>
    </row>
    <row r="1023">
      <c r="A1023" s="18"/>
      <c r="B1023" s="18"/>
      <c r="C1023" s="18"/>
      <c r="D1023" s="18"/>
      <c r="E1023" s="18"/>
      <c r="F1023" s="18"/>
      <c r="G1023" s="18"/>
      <c r="H1023" s="18"/>
      <c r="I1023" s="19"/>
      <c r="J1023" s="19"/>
      <c r="K1023" s="19"/>
      <c r="L1023" s="18"/>
      <c r="M1023" s="18"/>
      <c r="N1023" s="18"/>
      <c r="O1023" s="18"/>
      <c r="P1023" s="18"/>
    </row>
    <row r="1024">
      <c r="A1024" s="18"/>
      <c r="B1024" s="18"/>
      <c r="C1024" s="18"/>
      <c r="D1024" s="18"/>
      <c r="E1024" s="18"/>
      <c r="F1024" s="18"/>
      <c r="G1024" s="18"/>
      <c r="H1024" s="18"/>
      <c r="I1024" s="19"/>
      <c r="J1024" s="19"/>
      <c r="K1024" s="19"/>
      <c r="L1024" s="18"/>
      <c r="M1024" s="18"/>
      <c r="N1024" s="18"/>
      <c r="O1024" s="18"/>
      <c r="P1024" s="18"/>
    </row>
    <row r="1025">
      <c r="A1025" s="18"/>
      <c r="B1025" s="18"/>
      <c r="C1025" s="18"/>
      <c r="D1025" s="18"/>
      <c r="E1025" s="18"/>
      <c r="F1025" s="18"/>
      <c r="G1025" s="18"/>
      <c r="H1025" s="18"/>
      <c r="I1025" s="19"/>
      <c r="J1025" s="19"/>
      <c r="K1025" s="19"/>
      <c r="L1025" s="18"/>
      <c r="M1025" s="18"/>
      <c r="N1025" s="18"/>
      <c r="O1025" s="18"/>
      <c r="P1025" s="18"/>
    </row>
    <row r="1026">
      <c r="A1026" s="18"/>
      <c r="B1026" s="18"/>
      <c r="C1026" s="18"/>
      <c r="D1026" s="18"/>
      <c r="E1026" s="18"/>
      <c r="F1026" s="18"/>
      <c r="G1026" s="18"/>
      <c r="H1026" s="18"/>
      <c r="I1026" s="19"/>
      <c r="J1026" s="19"/>
      <c r="K1026" s="19"/>
      <c r="L1026" s="18"/>
      <c r="M1026" s="18"/>
      <c r="N1026" s="18"/>
      <c r="O1026" s="18"/>
      <c r="P1026" s="18"/>
    </row>
    <row r="1027">
      <c r="A1027" s="18"/>
      <c r="B1027" s="18"/>
      <c r="C1027" s="18"/>
      <c r="D1027" s="18"/>
      <c r="E1027" s="18"/>
      <c r="F1027" s="18"/>
      <c r="G1027" s="18"/>
      <c r="H1027" s="18"/>
      <c r="I1027" s="19"/>
      <c r="J1027" s="19"/>
      <c r="K1027" s="19"/>
      <c r="L1027" s="18"/>
      <c r="M1027" s="18"/>
      <c r="N1027" s="18"/>
      <c r="O1027" s="18"/>
      <c r="P1027" s="18"/>
    </row>
    <row r="1028">
      <c r="A1028" s="18"/>
      <c r="B1028" s="18"/>
      <c r="C1028" s="18"/>
      <c r="D1028" s="18"/>
      <c r="E1028" s="18"/>
      <c r="F1028" s="18"/>
      <c r="G1028" s="18"/>
      <c r="H1028" s="18"/>
      <c r="I1028" s="19"/>
      <c r="J1028" s="19"/>
      <c r="K1028" s="19"/>
      <c r="L1028" s="18"/>
      <c r="M1028" s="18"/>
      <c r="N1028" s="18"/>
      <c r="O1028" s="18"/>
      <c r="P1028" s="18"/>
    </row>
    <row r="1029">
      <c r="A1029" s="18"/>
      <c r="B1029" s="18"/>
      <c r="C1029" s="18"/>
      <c r="D1029" s="18"/>
      <c r="E1029" s="18"/>
      <c r="F1029" s="18"/>
      <c r="G1029" s="18"/>
      <c r="H1029" s="18"/>
      <c r="I1029" s="19"/>
      <c r="J1029" s="19"/>
      <c r="K1029" s="19"/>
      <c r="L1029" s="18"/>
      <c r="M1029" s="18"/>
      <c r="N1029" s="18"/>
      <c r="O1029" s="18"/>
      <c r="P1029" s="18"/>
    </row>
    <row r="1030">
      <c r="A1030" s="18"/>
      <c r="B1030" s="18"/>
      <c r="C1030" s="18"/>
      <c r="D1030" s="18"/>
      <c r="E1030" s="18"/>
      <c r="F1030" s="18"/>
      <c r="G1030" s="18"/>
      <c r="H1030" s="18"/>
      <c r="I1030" s="19"/>
      <c r="J1030" s="19"/>
      <c r="K1030" s="19"/>
      <c r="L1030" s="18"/>
      <c r="M1030" s="18"/>
      <c r="N1030" s="18"/>
      <c r="O1030" s="18"/>
      <c r="P1030" s="18"/>
    </row>
    <row r="1031">
      <c r="A1031" s="18"/>
      <c r="B1031" s="18"/>
      <c r="C1031" s="18"/>
      <c r="D1031" s="18"/>
      <c r="E1031" s="18"/>
      <c r="F1031" s="18"/>
      <c r="G1031" s="18"/>
      <c r="H1031" s="18"/>
      <c r="I1031" s="19"/>
      <c r="J1031" s="19"/>
      <c r="K1031" s="19"/>
      <c r="L1031" s="18"/>
      <c r="M1031" s="18"/>
      <c r="N1031" s="18"/>
      <c r="O1031" s="18"/>
      <c r="P1031" s="18"/>
    </row>
    <row r="1032">
      <c r="A1032" s="18"/>
      <c r="B1032" s="18"/>
      <c r="C1032" s="18"/>
      <c r="D1032" s="18"/>
      <c r="E1032" s="18"/>
      <c r="F1032" s="18"/>
      <c r="G1032" s="18"/>
      <c r="H1032" s="18"/>
      <c r="I1032" s="19"/>
      <c r="J1032" s="19"/>
      <c r="K1032" s="19"/>
      <c r="L1032" s="18"/>
      <c r="M1032" s="18"/>
      <c r="N1032" s="18"/>
      <c r="O1032" s="18"/>
      <c r="P1032" s="18"/>
    </row>
    <row r="1033">
      <c r="A1033" s="18"/>
      <c r="B1033" s="18"/>
      <c r="C1033" s="18"/>
      <c r="D1033" s="18"/>
      <c r="E1033" s="18"/>
      <c r="F1033" s="18"/>
      <c r="G1033" s="18"/>
      <c r="H1033" s="18"/>
      <c r="I1033" s="19"/>
      <c r="J1033" s="19"/>
      <c r="K1033" s="19"/>
      <c r="L1033" s="18"/>
      <c r="M1033" s="18"/>
      <c r="N1033" s="18"/>
      <c r="O1033" s="18"/>
      <c r="P1033" s="18"/>
    </row>
    <row r="1034">
      <c r="A1034" s="18"/>
      <c r="B1034" s="18"/>
      <c r="C1034" s="18"/>
      <c r="D1034" s="18"/>
      <c r="E1034" s="18"/>
      <c r="F1034" s="18"/>
      <c r="G1034" s="18"/>
      <c r="H1034" s="18"/>
      <c r="I1034" s="19"/>
      <c r="J1034" s="19"/>
      <c r="K1034" s="19"/>
      <c r="L1034" s="18"/>
      <c r="M1034" s="18"/>
      <c r="N1034" s="18"/>
      <c r="O1034" s="18"/>
      <c r="P1034" s="18"/>
    </row>
    <row r="1035">
      <c r="A1035" s="18"/>
      <c r="B1035" s="18"/>
      <c r="C1035" s="18"/>
      <c r="D1035" s="18"/>
      <c r="E1035" s="18"/>
      <c r="F1035" s="18"/>
      <c r="G1035" s="18"/>
      <c r="H1035" s="18"/>
      <c r="I1035" s="19"/>
      <c r="J1035" s="19"/>
      <c r="K1035" s="19"/>
      <c r="L1035" s="18"/>
      <c r="M1035" s="18"/>
      <c r="N1035" s="18"/>
      <c r="O1035" s="18"/>
      <c r="P1035" s="18"/>
    </row>
    <row r="1036">
      <c r="A1036" s="18"/>
      <c r="B1036" s="18"/>
      <c r="C1036" s="18"/>
      <c r="D1036" s="18"/>
      <c r="E1036" s="18"/>
      <c r="F1036" s="18"/>
      <c r="G1036" s="18"/>
      <c r="H1036" s="18"/>
      <c r="I1036" s="19"/>
      <c r="J1036" s="19"/>
      <c r="K1036" s="19"/>
      <c r="L1036" s="18"/>
      <c r="M1036" s="18"/>
      <c r="N1036" s="18"/>
      <c r="O1036" s="18"/>
      <c r="P1036" s="18"/>
    </row>
    <row r="1037">
      <c r="A1037" s="18"/>
      <c r="B1037" s="18"/>
      <c r="C1037" s="18"/>
      <c r="D1037" s="18"/>
      <c r="E1037" s="18"/>
      <c r="F1037" s="18"/>
      <c r="G1037" s="18"/>
      <c r="H1037" s="18"/>
      <c r="I1037" s="19"/>
      <c r="J1037" s="19"/>
      <c r="K1037" s="19"/>
      <c r="L1037" s="18"/>
      <c r="M1037" s="18"/>
      <c r="N1037" s="18"/>
      <c r="O1037" s="18"/>
      <c r="P1037" s="18"/>
    </row>
    <row r="1038">
      <c r="A1038" s="18"/>
      <c r="B1038" s="18"/>
      <c r="C1038" s="18"/>
      <c r="D1038" s="18"/>
      <c r="E1038" s="18"/>
      <c r="F1038" s="18"/>
      <c r="G1038" s="18"/>
      <c r="H1038" s="18"/>
      <c r="I1038" s="19"/>
      <c r="J1038" s="19"/>
      <c r="K1038" s="19"/>
      <c r="L1038" s="18"/>
      <c r="M1038" s="18"/>
      <c r="N1038" s="18"/>
      <c r="O1038" s="18"/>
      <c r="P1038" s="18"/>
    </row>
    <row r="1039">
      <c r="A1039" s="18"/>
      <c r="B1039" s="18"/>
      <c r="C1039" s="18"/>
      <c r="D1039" s="18"/>
      <c r="E1039" s="18"/>
      <c r="F1039" s="18"/>
      <c r="G1039" s="18"/>
      <c r="H1039" s="18"/>
      <c r="I1039" s="19"/>
      <c r="J1039" s="19"/>
      <c r="K1039" s="19"/>
      <c r="L1039" s="18"/>
      <c r="M1039" s="18"/>
      <c r="N1039" s="18"/>
      <c r="O1039" s="18"/>
      <c r="P1039" s="18"/>
    </row>
    <row r="1040">
      <c r="A1040" s="18"/>
      <c r="B1040" s="18"/>
      <c r="C1040" s="18"/>
      <c r="D1040" s="18"/>
      <c r="E1040" s="18"/>
      <c r="F1040" s="18"/>
      <c r="G1040" s="18"/>
      <c r="H1040" s="18"/>
      <c r="I1040" s="19"/>
      <c r="J1040" s="19"/>
      <c r="K1040" s="19"/>
      <c r="L1040" s="18"/>
      <c r="M1040" s="18"/>
      <c r="N1040" s="18"/>
      <c r="O1040" s="18"/>
      <c r="P1040" s="18"/>
    </row>
    <row r="1041">
      <c r="A1041" s="18"/>
      <c r="B1041" s="18"/>
      <c r="C1041" s="18"/>
      <c r="D1041" s="18"/>
      <c r="E1041" s="18"/>
      <c r="F1041" s="18"/>
      <c r="G1041" s="18"/>
      <c r="H1041" s="18"/>
      <c r="I1041" s="19"/>
      <c r="J1041" s="19"/>
      <c r="K1041" s="19"/>
      <c r="L1041" s="18"/>
      <c r="M1041" s="18"/>
      <c r="N1041" s="18"/>
      <c r="O1041" s="18"/>
      <c r="P1041" s="18"/>
    </row>
    <row r="1042">
      <c r="A1042" s="18"/>
      <c r="B1042" s="18"/>
      <c r="C1042" s="18"/>
      <c r="D1042" s="18"/>
      <c r="E1042" s="18"/>
      <c r="F1042" s="18"/>
      <c r="G1042" s="18"/>
      <c r="H1042" s="18"/>
      <c r="I1042" s="19"/>
      <c r="J1042" s="19"/>
      <c r="K1042" s="19"/>
      <c r="L1042" s="18"/>
      <c r="M1042" s="18"/>
      <c r="N1042" s="18"/>
      <c r="O1042" s="18"/>
      <c r="P1042" s="18"/>
    </row>
    <row r="1043">
      <c r="A1043" s="18"/>
      <c r="B1043" s="18"/>
      <c r="C1043" s="18"/>
      <c r="D1043" s="18"/>
      <c r="E1043" s="18"/>
      <c r="F1043" s="18"/>
      <c r="G1043" s="18"/>
      <c r="H1043" s="18"/>
      <c r="I1043" s="19"/>
      <c r="J1043" s="19"/>
      <c r="K1043" s="19"/>
      <c r="L1043" s="18"/>
      <c r="M1043" s="18"/>
      <c r="N1043" s="18"/>
      <c r="O1043" s="18"/>
      <c r="P1043" s="18"/>
    </row>
    <row r="1044">
      <c r="A1044" s="18"/>
      <c r="B1044" s="18"/>
      <c r="C1044" s="18"/>
      <c r="D1044" s="18"/>
      <c r="E1044" s="18"/>
      <c r="F1044" s="18"/>
      <c r="G1044" s="18"/>
      <c r="H1044" s="18"/>
      <c r="I1044" s="19"/>
      <c r="J1044" s="19"/>
      <c r="K1044" s="19"/>
      <c r="L1044" s="18"/>
      <c r="M1044" s="18"/>
      <c r="N1044" s="18"/>
      <c r="O1044" s="18"/>
      <c r="P1044" s="18"/>
    </row>
    <row r="1045">
      <c r="A1045" s="18"/>
      <c r="B1045" s="18"/>
      <c r="C1045" s="18"/>
      <c r="D1045" s="18"/>
      <c r="E1045" s="18"/>
      <c r="F1045" s="18"/>
      <c r="G1045" s="18"/>
      <c r="H1045" s="18"/>
      <c r="I1045" s="19"/>
      <c r="J1045" s="19"/>
      <c r="K1045" s="19"/>
      <c r="L1045" s="18"/>
      <c r="M1045" s="18"/>
      <c r="N1045" s="18"/>
      <c r="O1045" s="18"/>
      <c r="P1045" s="18"/>
    </row>
    <row r="1046">
      <c r="A1046" s="18"/>
      <c r="B1046" s="18"/>
      <c r="C1046" s="18"/>
      <c r="D1046" s="18"/>
      <c r="E1046" s="18"/>
      <c r="F1046" s="18"/>
      <c r="G1046" s="18"/>
      <c r="H1046" s="18"/>
      <c r="I1046" s="19"/>
      <c r="J1046" s="19"/>
      <c r="K1046" s="19"/>
      <c r="L1046" s="18"/>
      <c r="M1046" s="18"/>
      <c r="N1046" s="18"/>
      <c r="O1046" s="18"/>
      <c r="P1046" s="18"/>
    </row>
    <row r="1047">
      <c r="A1047" s="18"/>
      <c r="B1047" s="18"/>
      <c r="C1047" s="18"/>
      <c r="D1047" s="18"/>
      <c r="E1047" s="18"/>
      <c r="F1047" s="18"/>
      <c r="G1047" s="18"/>
      <c r="H1047" s="18"/>
      <c r="I1047" s="19"/>
      <c r="J1047" s="19"/>
      <c r="K1047" s="19"/>
      <c r="L1047" s="18"/>
      <c r="M1047" s="18"/>
      <c r="N1047" s="18"/>
      <c r="O1047" s="18"/>
      <c r="P1047" s="18"/>
    </row>
    <row r="1048">
      <c r="A1048" s="18"/>
      <c r="B1048" s="18"/>
      <c r="C1048" s="18"/>
      <c r="D1048" s="18"/>
      <c r="E1048" s="18"/>
      <c r="F1048" s="18"/>
      <c r="G1048" s="18"/>
      <c r="H1048" s="18"/>
      <c r="I1048" s="19"/>
      <c r="J1048" s="19"/>
      <c r="K1048" s="19"/>
      <c r="L1048" s="18"/>
      <c r="M1048" s="18"/>
      <c r="N1048" s="18"/>
      <c r="O1048" s="18"/>
      <c r="P1048" s="18"/>
    </row>
    <row r="1049">
      <c r="A1049" s="18"/>
      <c r="B1049" s="18"/>
      <c r="C1049" s="18"/>
      <c r="D1049" s="18"/>
      <c r="E1049" s="18"/>
      <c r="F1049" s="18"/>
      <c r="G1049" s="18"/>
      <c r="H1049" s="18"/>
      <c r="I1049" s="19"/>
      <c r="J1049" s="19"/>
      <c r="K1049" s="19"/>
      <c r="L1049" s="18"/>
      <c r="M1049" s="18"/>
      <c r="N1049" s="18"/>
      <c r="O1049" s="18"/>
      <c r="P1049" s="18"/>
    </row>
    <row r="1050">
      <c r="A1050" s="18"/>
      <c r="B1050" s="18"/>
      <c r="C1050" s="18"/>
      <c r="D1050" s="18"/>
      <c r="E1050" s="18"/>
      <c r="F1050" s="18"/>
      <c r="G1050" s="18"/>
      <c r="H1050" s="18"/>
      <c r="I1050" s="19"/>
      <c r="J1050" s="19"/>
      <c r="K1050" s="19"/>
      <c r="L1050" s="18"/>
      <c r="M1050" s="18"/>
      <c r="N1050" s="18"/>
      <c r="O1050" s="18"/>
      <c r="P1050" s="18"/>
    </row>
    <row r="1051">
      <c r="A1051" s="18"/>
      <c r="B1051" s="18"/>
      <c r="C1051" s="18"/>
      <c r="D1051" s="18"/>
      <c r="E1051" s="18"/>
      <c r="F1051" s="18"/>
      <c r="G1051" s="18"/>
      <c r="H1051" s="18"/>
      <c r="I1051" s="19"/>
      <c r="J1051" s="19"/>
      <c r="K1051" s="19"/>
      <c r="L1051" s="18"/>
      <c r="M1051" s="18"/>
      <c r="N1051" s="18"/>
      <c r="O1051" s="18"/>
      <c r="P1051" s="18"/>
    </row>
    <row r="1052">
      <c r="A1052" s="18"/>
      <c r="B1052" s="18"/>
      <c r="C1052" s="18"/>
      <c r="D1052" s="18"/>
      <c r="E1052" s="18"/>
      <c r="F1052" s="18"/>
      <c r="G1052" s="18"/>
      <c r="H1052" s="18"/>
      <c r="I1052" s="19"/>
      <c r="J1052" s="19"/>
      <c r="K1052" s="19"/>
      <c r="L1052" s="18"/>
      <c r="M1052" s="18"/>
      <c r="N1052" s="18"/>
      <c r="O1052" s="18"/>
      <c r="P1052" s="18"/>
    </row>
    <row r="1053">
      <c r="A1053" s="18"/>
      <c r="B1053" s="18"/>
      <c r="C1053" s="18"/>
      <c r="D1053" s="18"/>
      <c r="E1053" s="18"/>
      <c r="F1053" s="18"/>
      <c r="G1053" s="18"/>
      <c r="H1053" s="18"/>
      <c r="I1053" s="19"/>
      <c r="J1053" s="19"/>
      <c r="K1053" s="19"/>
      <c r="L1053" s="18"/>
      <c r="M1053" s="18"/>
      <c r="N1053" s="18"/>
      <c r="O1053" s="18"/>
      <c r="P1053" s="18"/>
    </row>
    <row r="1054">
      <c r="A1054" s="18"/>
      <c r="B1054" s="18"/>
      <c r="C1054" s="18"/>
      <c r="D1054" s="18"/>
      <c r="E1054" s="18"/>
      <c r="F1054" s="18"/>
      <c r="G1054" s="18"/>
      <c r="H1054" s="18"/>
      <c r="I1054" s="19"/>
      <c r="J1054" s="19"/>
      <c r="K1054" s="19"/>
      <c r="L1054" s="18"/>
      <c r="M1054" s="18"/>
      <c r="N1054" s="18"/>
      <c r="O1054" s="18"/>
      <c r="P1054" s="18"/>
    </row>
    <row r="1055">
      <c r="A1055" s="18"/>
      <c r="B1055" s="18"/>
      <c r="C1055" s="18"/>
      <c r="D1055" s="18"/>
      <c r="E1055" s="18"/>
      <c r="F1055" s="18"/>
      <c r="G1055" s="18"/>
      <c r="H1055" s="18"/>
      <c r="I1055" s="19"/>
      <c r="J1055" s="19"/>
      <c r="K1055" s="19"/>
      <c r="L1055" s="18"/>
      <c r="M1055" s="18"/>
      <c r="N1055" s="18"/>
      <c r="O1055" s="18"/>
      <c r="P1055" s="18"/>
    </row>
    <row r="1056">
      <c r="A1056" s="18"/>
      <c r="B1056" s="18"/>
      <c r="C1056" s="18"/>
      <c r="D1056" s="18"/>
      <c r="E1056" s="18"/>
      <c r="F1056" s="18"/>
      <c r="G1056" s="18"/>
      <c r="H1056" s="18"/>
      <c r="I1056" s="19"/>
      <c r="J1056" s="19"/>
      <c r="K1056" s="19"/>
      <c r="L1056" s="18"/>
      <c r="M1056" s="18"/>
      <c r="N1056" s="18"/>
      <c r="O1056" s="18"/>
      <c r="P1056" s="18"/>
    </row>
    <row r="1057">
      <c r="A1057" s="18"/>
      <c r="B1057" s="18"/>
      <c r="C1057" s="18"/>
      <c r="D1057" s="18"/>
      <c r="E1057" s="18"/>
      <c r="F1057" s="18"/>
      <c r="G1057" s="18"/>
      <c r="H1057" s="18"/>
      <c r="I1057" s="19"/>
      <c r="J1057" s="19"/>
      <c r="K1057" s="19"/>
      <c r="L1057" s="18"/>
      <c r="M1057" s="18"/>
      <c r="N1057" s="18"/>
      <c r="O1057" s="18"/>
      <c r="P1057" s="18"/>
    </row>
    <row r="1058">
      <c r="A1058" s="18"/>
      <c r="B1058" s="18"/>
      <c r="C1058" s="18"/>
      <c r="D1058" s="18"/>
      <c r="E1058" s="18"/>
      <c r="F1058" s="18"/>
      <c r="G1058" s="18"/>
      <c r="H1058" s="18"/>
      <c r="I1058" s="19"/>
      <c r="J1058" s="19"/>
      <c r="K1058" s="19"/>
      <c r="L1058" s="18"/>
      <c r="M1058" s="18"/>
      <c r="N1058" s="18"/>
      <c r="O1058" s="18"/>
      <c r="P1058" s="18"/>
    </row>
    <row r="1059">
      <c r="A1059" s="18"/>
      <c r="B1059" s="18"/>
      <c r="C1059" s="18"/>
      <c r="D1059" s="18"/>
      <c r="E1059" s="18"/>
      <c r="F1059" s="18"/>
      <c r="G1059" s="18"/>
      <c r="H1059" s="18"/>
      <c r="I1059" s="19"/>
      <c r="J1059" s="19"/>
      <c r="K1059" s="19"/>
      <c r="L1059" s="18"/>
      <c r="M1059" s="18"/>
      <c r="N1059" s="18"/>
      <c r="O1059" s="18"/>
      <c r="P1059" s="18"/>
    </row>
    <row r="1060">
      <c r="A1060" s="18"/>
      <c r="B1060" s="18"/>
      <c r="C1060" s="18"/>
      <c r="D1060" s="18"/>
      <c r="E1060" s="18"/>
      <c r="F1060" s="18"/>
      <c r="G1060" s="18"/>
      <c r="H1060" s="18"/>
      <c r="I1060" s="19"/>
      <c r="J1060" s="19"/>
      <c r="K1060" s="19"/>
      <c r="L1060" s="18"/>
      <c r="M1060" s="18"/>
      <c r="N1060" s="18"/>
      <c r="O1060" s="18"/>
      <c r="P1060" s="18"/>
    </row>
    <row r="1061">
      <c r="A1061" s="18"/>
      <c r="B1061" s="18"/>
      <c r="C1061" s="18"/>
      <c r="D1061" s="18"/>
      <c r="E1061" s="18"/>
      <c r="F1061" s="18"/>
      <c r="G1061" s="18"/>
      <c r="H1061" s="18"/>
      <c r="I1061" s="19"/>
      <c r="J1061" s="19"/>
      <c r="K1061" s="19"/>
      <c r="L1061" s="18"/>
      <c r="M1061" s="18"/>
      <c r="N1061" s="18"/>
      <c r="O1061" s="18"/>
      <c r="P1061" s="18"/>
    </row>
    <row r="1062">
      <c r="A1062" s="18"/>
      <c r="B1062" s="18"/>
      <c r="C1062" s="18"/>
      <c r="D1062" s="18"/>
      <c r="E1062" s="18"/>
      <c r="F1062" s="18"/>
      <c r="G1062" s="18"/>
      <c r="H1062" s="18"/>
      <c r="I1062" s="19"/>
      <c r="J1062" s="19"/>
      <c r="K1062" s="19"/>
      <c r="L1062" s="18"/>
      <c r="M1062" s="18"/>
      <c r="N1062" s="18"/>
      <c r="O1062" s="18"/>
      <c r="P1062" s="18"/>
    </row>
    <row r="1063">
      <c r="A1063" s="18"/>
      <c r="B1063" s="18"/>
      <c r="C1063" s="18"/>
      <c r="D1063" s="18"/>
      <c r="E1063" s="18"/>
      <c r="F1063" s="18"/>
      <c r="G1063" s="18"/>
      <c r="H1063" s="18"/>
      <c r="I1063" s="19"/>
      <c r="J1063" s="19"/>
      <c r="K1063" s="19"/>
      <c r="L1063" s="18"/>
      <c r="M1063" s="18"/>
      <c r="N1063" s="18"/>
      <c r="O1063" s="18"/>
      <c r="P1063" s="18"/>
    </row>
    <row r="1064">
      <c r="A1064" s="18"/>
      <c r="B1064" s="18"/>
      <c r="C1064" s="18"/>
      <c r="D1064" s="18"/>
      <c r="E1064" s="18"/>
      <c r="F1064" s="18"/>
      <c r="G1064" s="18"/>
      <c r="H1064" s="18"/>
      <c r="I1064" s="19"/>
      <c r="J1064" s="19"/>
      <c r="K1064" s="19"/>
      <c r="L1064" s="18"/>
      <c r="M1064" s="18"/>
      <c r="N1064" s="18"/>
      <c r="O1064" s="18"/>
      <c r="P1064" s="18"/>
    </row>
    <row r="1065">
      <c r="A1065" s="18"/>
      <c r="B1065" s="18"/>
      <c r="C1065" s="18"/>
      <c r="D1065" s="18"/>
      <c r="E1065" s="18"/>
      <c r="F1065" s="18"/>
      <c r="G1065" s="18"/>
      <c r="H1065" s="18"/>
      <c r="I1065" s="19"/>
      <c r="J1065" s="19"/>
      <c r="K1065" s="19"/>
      <c r="L1065" s="18"/>
      <c r="M1065" s="18"/>
      <c r="N1065" s="18"/>
      <c r="O1065" s="18"/>
      <c r="P1065" s="18"/>
    </row>
    <row r="1066">
      <c r="A1066" s="18"/>
      <c r="B1066" s="18"/>
      <c r="C1066" s="18"/>
      <c r="D1066" s="18"/>
      <c r="E1066" s="18"/>
      <c r="F1066" s="18"/>
      <c r="G1066" s="18"/>
      <c r="H1066" s="18"/>
      <c r="I1066" s="19"/>
      <c r="J1066" s="19"/>
      <c r="K1066" s="19"/>
      <c r="L1066" s="18"/>
      <c r="M1066" s="18"/>
      <c r="N1066" s="18"/>
      <c r="O1066" s="18"/>
      <c r="P1066" s="18"/>
    </row>
    <row r="1067">
      <c r="A1067" s="18"/>
      <c r="B1067" s="18"/>
      <c r="C1067" s="18"/>
      <c r="D1067" s="18"/>
      <c r="E1067" s="18"/>
      <c r="F1067" s="18"/>
      <c r="G1067" s="18"/>
      <c r="H1067" s="18"/>
      <c r="I1067" s="19"/>
      <c r="J1067" s="19"/>
      <c r="K1067" s="19"/>
      <c r="L1067" s="18"/>
      <c r="M1067" s="18"/>
      <c r="N1067" s="18"/>
      <c r="O1067" s="18"/>
      <c r="P1067" s="18"/>
    </row>
    <row r="1068">
      <c r="A1068" s="18"/>
      <c r="B1068" s="18"/>
      <c r="C1068" s="18"/>
      <c r="D1068" s="18"/>
      <c r="E1068" s="18"/>
      <c r="F1068" s="18"/>
      <c r="G1068" s="18"/>
      <c r="H1068" s="18"/>
      <c r="I1068" s="19"/>
      <c r="J1068" s="19"/>
      <c r="K1068" s="19"/>
      <c r="L1068" s="18"/>
      <c r="M1068" s="18"/>
      <c r="N1068" s="18"/>
      <c r="O1068" s="18"/>
      <c r="P1068" s="18"/>
    </row>
    <row r="1069">
      <c r="A1069" s="18"/>
      <c r="B1069" s="18"/>
      <c r="C1069" s="18"/>
      <c r="D1069" s="18"/>
      <c r="E1069" s="18"/>
      <c r="F1069" s="18"/>
      <c r="G1069" s="18"/>
      <c r="H1069" s="18"/>
      <c r="I1069" s="19"/>
      <c r="J1069" s="19"/>
      <c r="K1069" s="19"/>
      <c r="L1069" s="18"/>
      <c r="M1069" s="18"/>
      <c r="N1069" s="18"/>
      <c r="O1069" s="18"/>
      <c r="P1069" s="18"/>
    </row>
    <row r="1070">
      <c r="A1070" s="18"/>
      <c r="B1070" s="18"/>
      <c r="C1070" s="18"/>
      <c r="D1070" s="18"/>
      <c r="E1070" s="18"/>
      <c r="F1070" s="18"/>
      <c r="G1070" s="18"/>
      <c r="H1070" s="18"/>
      <c r="I1070" s="19"/>
      <c r="J1070" s="19"/>
      <c r="K1070" s="19"/>
      <c r="L1070" s="18"/>
      <c r="M1070" s="18"/>
      <c r="N1070" s="18"/>
      <c r="O1070" s="18"/>
      <c r="P1070" s="18"/>
    </row>
    <row r="1071">
      <c r="A1071" s="18"/>
      <c r="B1071" s="18"/>
      <c r="C1071" s="18"/>
      <c r="D1071" s="18"/>
      <c r="E1071" s="18"/>
      <c r="F1071" s="18"/>
      <c r="G1071" s="18"/>
      <c r="H1071" s="18"/>
      <c r="I1071" s="19"/>
      <c r="J1071" s="19"/>
      <c r="K1071" s="19"/>
      <c r="L1071" s="18"/>
      <c r="M1071" s="18"/>
      <c r="N1071" s="18"/>
      <c r="O1071" s="18"/>
      <c r="P1071" s="18"/>
    </row>
    <row r="1072">
      <c r="A1072" s="18"/>
      <c r="B1072" s="18"/>
      <c r="C1072" s="18"/>
      <c r="D1072" s="18"/>
      <c r="E1072" s="18"/>
      <c r="F1072" s="18"/>
      <c r="G1072" s="18"/>
      <c r="H1072" s="18"/>
      <c r="I1072" s="19"/>
      <c r="J1072" s="19"/>
      <c r="K1072" s="19"/>
      <c r="L1072" s="18"/>
      <c r="M1072" s="18"/>
      <c r="N1072" s="18"/>
      <c r="O1072" s="18"/>
      <c r="P1072" s="18"/>
    </row>
    <row r="1073">
      <c r="A1073" s="18"/>
      <c r="B1073" s="18"/>
      <c r="C1073" s="18"/>
      <c r="D1073" s="18"/>
      <c r="E1073" s="18"/>
      <c r="F1073" s="18"/>
      <c r="G1073" s="18"/>
      <c r="H1073" s="18"/>
      <c r="I1073" s="19"/>
      <c r="J1073" s="19"/>
      <c r="K1073" s="19"/>
      <c r="L1073" s="18"/>
      <c r="M1073" s="18"/>
      <c r="N1073" s="18"/>
      <c r="O1073" s="18"/>
      <c r="P1073" s="18"/>
    </row>
    <row r="1074">
      <c r="A1074" s="18"/>
      <c r="B1074" s="18"/>
      <c r="C1074" s="18"/>
      <c r="D1074" s="18"/>
      <c r="E1074" s="18"/>
      <c r="F1074" s="18"/>
      <c r="G1074" s="18"/>
      <c r="H1074" s="18"/>
      <c r="I1074" s="19"/>
      <c r="J1074" s="19"/>
      <c r="K1074" s="19"/>
      <c r="L1074" s="18"/>
      <c r="M1074" s="18"/>
      <c r="N1074" s="18"/>
      <c r="O1074" s="18"/>
      <c r="P1074" s="18"/>
    </row>
    <row r="1075">
      <c r="A1075" s="18"/>
      <c r="B1075" s="18"/>
      <c r="C1075" s="18"/>
      <c r="D1075" s="18"/>
      <c r="E1075" s="18"/>
      <c r="F1075" s="18"/>
      <c r="G1075" s="18"/>
      <c r="H1075" s="18"/>
      <c r="I1075" s="19"/>
      <c r="J1075" s="19"/>
      <c r="K1075" s="19"/>
      <c r="L1075" s="18"/>
      <c r="M1075" s="18"/>
      <c r="N1075" s="18"/>
      <c r="O1075" s="18"/>
      <c r="P1075" s="18"/>
    </row>
    <row r="1076">
      <c r="A1076" s="18"/>
      <c r="B1076" s="18"/>
      <c r="C1076" s="18"/>
      <c r="D1076" s="18"/>
      <c r="E1076" s="18"/>
      <c r="F1076" s="18"/>
      <c r="G1076" s="18"/>
      <c r="H1076" s="18"/>
      <c r="I1076" s="19"/>
      <c r="J1076" s="19"/>
      <c r="K1076" s="19"/>
      <c r="L1076" s="18"/>
      <c r="M1076" s="18"/>
      <c r="N1076" s="18"/>
      <c r="O1076" s="18"/>
      <c r="P1076" s="18"/>
    </row>
    <row r="1077">
      <c r="A1077" s="18"/>
      <c r="B1077" s="18"/>
      <c r="C1077" s="18"/>
      <c r="D1077" s="18"/>
      <c r="E1077" s="18"/>
      <c r="F1077" s="18"/>
      <c r="G1077" s="18"/>
      <c r="H1077" s="18"/>
      <c r="I1077" s="19"/>
      <c r="J1077" s="19"/>
      <c r="K1077" s="19"/>
      <c r="L1077" s="18"/>
      <c r="M1077" s="18"/>
      <c r="N1077" s="18"/>
      <c r="O1077" s="18"/>
      <c r="P1077" s="18"/>
    </row>
    <row r="1078">
      <c r="A1078" s="18"/>
      <c r="B1078" s="18"/>
      <c r="C1078" s="18"/>
      <c r="D1078" s="18"/>
      <c r="E1078" s="18"/>
      <c r="F1078" s="18"/>
      <c r="G1078" s="18"/>
      <c r="H1078" s="18"/>
      <c r="I1078" s="19"/>
      <c r="J1078" s="19"/>
      <c r="K1078" s="19"/>
      <c r="L1078" s="18"/>
      <c r="M1078" s="18"/>
      <c r="N1078" s="18"/>
      <c r="O1078" s="18"/>
      <c r="P1078" s="18"/>
    </row>
    <row r="1079">
      <c r="A1079" s="18"/>
      <c r="B1079" s="18"/>
      <c r="C1079" s="18"/>
      <c r="D1079" s="18"/>
      <c r="E1079" s="18"/>
      <c r="F1079" s="18"/>
      <c r="G1079" s="18"/>
      <c r="H1079" s="18"/>
      <c r="I1079" s="19"/>
      <c r="J1079" s="19"/>
      <c r="K1079" s="19"/>
      <c r="L1079" s="18"/>
      <c r="M1079" s="18"/>
      <c r="N1079" s="18"/>
      <c r="O1079" s="18"/>
      <c r="P1079" s="18"/>
    </row>
    <row r="1080">
      <c r="A1080" s="18"/>
      <c r="B1080" s="18"/>
      <c r="C1080" s="18"/>
      <c r="D1080" s="18"/>
      <c r="E1080" s="18"/>
      <c r="F1080" s="18"/>
      <c r="G1080" s="18"/>
      <c r="H1080" s="18"/>
      <c r="I1080" s="19"/>
      <c r="J1080" s="19"/>
      <c r="K1080" s="19"/>
      <c r="L1080" s="18"/>
      <c r="M1080" s="18"/>
      <c r="N1080" s="18"/>
      <c r="O1080" s="18"/>
      <c r="P1080" s="18"/>
    </row>
    <row r="1081">
      <c r="A1081" s="18"/>
      <c r="B1081" s="18"/>
      <c r="C1081" s="18"/>
      <c r="D1081" s="18"/>
      <c r="E1081" s="18"/>
      <c r="F1081" s="18"/>
      <c r="G1081" s="18"/>
      <c r="H1081" s="18"/>
      <c r="I1081" s="19"/>
      <c r="J1081" s="19"/>
      <c r="K1081" s="19"/>
      <c r="L1081" s="18"/>
      <c r="M1081" s="18"/>
      <c r="N1081" s="18"/>
      <c r="O1081" s="18"/>
      <c r="P1081" s="18"/>
    </row>
    <row r="1082">
      <c r="A1082" s="18"/>
      <c r="B1082" s="18"/>
      <c r="C1082" s="18"/>
      <c r="D1082" s="18"/>
      <c r="E1082" s="18"/>
      <c r="F1082" s="18"/>
      <c r="G1082" s="18"/>
      <c r="H1082" s="18"/>
      <c r="I1082" s="19"/>
      <c r="J1082" s="19"/>
      <c r="K1082" s="19"/>
      <c r="L1082" s="18"/>
      <c r="M1082" s="18"/>
      <c r="N1082" s="18"/>
      <c r="O1082" s="18"/>
      <c r="P1082" s="18"/>
    </row>
    <row r="1083">
      <c r="A1083" s="18"/>
      <c r="B1083" s="18"/>
      <c r="C1083" s="18"/>
      <c r="D1083" s="18"/>
      <c r="E1083" s="18"/>
      <c r="F1083" s="18"/>
      <c r="G1083" s="18"/>
      <c r="H1083" s="18"/>
      <c r="I1083" s="19"/>
      <c r="J1083" s="19"/>
      <c r="K1083" s="19"/>
      <c r="L1083" s="18"/>
      <c r="M1083" s="18"/>
      <c r="N1083" s="18"/>
      <c r="O1083" s="18"/>
      <c r="P1083" s="18"/>
    </row>
    <row r="1084">
      <c r="A1084" s="18"/>
      <c r="B1084" s="18"/>
      <c r="C1084" s="18"/>
      <c r="D1084" s="18"/>
      <c r="E1084" s="18"/>
      <c r="F1084" s="18"/>
      <c r="G1084" s="18"/>
      <c r="H1084" s="18"/>
      <c r="I1084" s="19"/>
      <c r="J1084" s="19"/>
      <c r="K1084" s="19"/>
      <c r="L1084" s="18"/>
      <c r="M1084" s="18"/>
      <c r="N1084" s="18"/>
      <c r="O1084" s="18"/>
      <c r="P1084" s="18"/>
    </row>
    <row r="1085">
      <c r="A1085" s="18"/>
      <c r="B1085" s="18"/>
      <c r="C1085" s="18"/>
      <c r="D1085" s="18"/>
      <c r="E1085" s="18"/>
      <c r="F1085" s="18"/>
      <c r="G1085" s="18"/>
      <c r="H1085" s="18"/>
      <c r="I1085" s="19"/>
      <c r="J1085" s="19"/>
      <c r="K1085" s="19"/>
      <c r="L1085" s="18"/>
      <c r="M1085" s="18"/>
      <c r="N1085" s="18"/>
      <c r="O1085" s="18"/>
      <c r="P1085" s="18"/>
    </row>
    <row r="1086">
      <c r="A1086" s="18"/>
      <c r="B1086" s="18"/>
      <c r="C1086" s="18"/>
      <c r="D1086" s="18"/>
      <c r="E1086" s="18"/>
      <c r="F1086" s="18"/>
      <c r="G1086" s="18"/>
      <c r="H1086" s="18"/>
      <c r="I1086" s="19"/>
      <c r="J1086" s="19"/>
      <c r="K1086" s="19"/>
      <c r="L1086" s="18"/>
      <c r="M1086" s="18"/>
      <c r="N1086" s="18"/>
      <c r="O1086" s="18"/>
      <c r="P1086" s="18"/>
    </row>
    <row r="1087">
      <c r="A1087" s="18"/>
      <c r="B1087" s="18"/>
      <c r="C1087" s="18"/>
      <c r="D1087" s="18"/>
      <c r="E1087" s="18"/>
      <c r="F1087" s="18"/>
      <c r="G1087" s="18"/>
      <c r="H1087" s="18"/>
      <c r="I1087" s="19"/>
      <c r="J1087" s="19"/>
      <c r="K1087" s="19"/>
      <c r="L1087" s="18"/>
      <c r="M1087" s="18"/>
      <c r="N1087" s="18"/>
      <c r="O1087" s="18"/>
      <c r="P1087" s="18"/>
    </row>
    <row r="1088">
      <c r="A1088" s="18"/>
      <c r="B1088" s="18"/>
      <c r="C1088" s="18"/>
      <c r="D1088" s="18"/>
      <c r="E1088" s="18"/>
      <c r="F1088" s="18"/>
      <c r="G1088" s="18"/>
      <c r="H1088" s="18"/>
      <c r="I1088" s="19"/>
      <c r="J1088" s="19"/>
      <c r="K1088" s="19"/>
      <c r="L1088" s="18"/>
      <c r="M1088" s="18"/>
      <c r="N1088" s="18"/>
      <c r="O1088" s="18"/>
      <c r="P1088" s="18"/>
    </row>
    <row r="1089">
      <c r="A1089" s="18"/>
      <c r="B1089" s="18"/>
      <c r="C1089" s="18"/>
      <c r="D1089" s="18"/>
      <c r="E1089" s="18"/>
      <c r="F1089" s="18"/>
      <c r="G1089" s="18"/>
      <c r="H1089" s="18"/>
      <c r="I1089" s="19"/>
      <c r="J1089" s="19"/>
      <c r="K1089" s="19"/>
      <c r="L1089" s="18"/>
      <c r="M1089" s="18"/>
      <c r="N1089" s="18"/>
      <c r="O1089" s="18"/>
      <c r="P1089" s="18"/>
    </row>
    <row r="1090">
      <c r="A1090" s="18"/>
      <c r="B1090" s="18"/>
      <c r="C1090" s="18"/>
      <c r="D1090" s="18"/>
      <c r="E1090" s="18"/>
      <c r="F1090" s="18"/>
      <c r="G1090" s="18"/>
      <c r="H1090" s="18"/>
      <c r="I1090" s="19"/>
      <c r="J1090" s="19"/>
      <c r="K1090" s="19"/>
      <c r="L1090" s="18"/>
      <c r="M1090" s="18"/>
      <c r="N1090" s="18"/>
      <c r="O1090" s="18"/>
      <c r="P1090" s="18"/>
    </row>
    <row r="1091">
      <c r="A1091" s="18"/>
      <c r="B1091" s="18"/>
      <c r="C1091" s="18"/>
      <c r="D1091" s="18"/>
      <c r="E1091" s="18"/>
      <c r="F1091" s="18"/>
      <c r="G1091" s="18"/>
      <c r="H1091" s="18"/>
      <c r="I1091" s="19"/>
      <c r="J1091" s="19"/>
      <c r="K1091" s="19"/>
      <c r="L1091" s="18"/>
      <c r="M1091" s="18"/>
      <c r="N1091" s="18"/>
      <c r="O1091" s="18"/>
      <c r="P1091" s="18"/>
    </row>
    <row r="1092">
      <c r="A1092" s="18"/>
      <c r="B1092" s="18"/>
      <c r="C1092" s="18"/>
      <c r="D1092" s="18"/>
      <c r="E1092" s="18"/>
      <c r="F1092" s="18"/>
      <c r="G1092" s="18"/>
      <c r="H1092" s="18"/>
      <c r="I1092" s="19"/>
      <c r="J1092" s="19"/>
      <c r="K1092" s="19"/>
      <c r="L1092" s="18"/>
      <c r="M1092" s="18"/>
      <c r="N1092" s="18"/>
      <c r="O1092" s="18"/>
      <c r="P1092" s="18"/>
    </row>
    <row r="1093">
      <c r="A1093" s="18"/>
      <c r="B1093" s="18"/>
      <c r="C1093" s="18"/>
      <c r="D1093" s="18"/>
      <c r="E1093" s="18"/>
      <c r="F1093" s="18"/>
      <c r="G1093" s="18"/>
      <c r="H1093" s="18"/>
      <c r="I1093" s="19"/>
      <c r="J1093" s="19"/>
      <c r="K1093" s="19"/>
      <c r="L1093" s="18"/>
      <c r="M1093" s="18"/>
      <c r="N1093" s="18"/>
      <c r="O1093" s="18"/>
      <c r="P1093" s="18"/>
    </row>
    <row r="1094">
      <c r="A1094" s="18"/>
      <c r="B1094" s="18"/>
      <c r="C1094" s="18"/>
      <c r="D1094" s="18"/>
      <c r="E1094" s="18"/>
      <c r="F1094" s="18"/>
      <c r="G1094" s="18"/>
      <c r="H1094" s="18"/>
      <c r="I1094" s="19"/>
      <c r="J1094" s="19"/>
      <c r="K1094" s="19"/>
      <c r="L1094" s="18"/>
      <c r="M1094" s="18"/>
      <c r="N1094" s="18"/>
      <c r="O1094" s="18"/>
      <c r="P1094" s="18"/>
    </row>
    <row r="1095">
      <c r="A1095" s="18"/>
      <c r="B1095" s="18"/>
      <c r="C1095" s="18"/>
      <c r="D1095" s="18"/>
      <c r="E1095" s="18"/>
      <c r="F1095" s="18"/>
      <c r="G1095" s="18"/>
      <c r="H1095" s="18"/>
      <c r="I1095" s="19"/>
      <c r="J1095" s="19"/>
      <c r="K1095" s="19"/>
      <c r="L1095" s="18"/>
      <c r="M1095" s="18"/>
      <c r="N1095" s="18"/>
      <c r="O1095" s="18"/>
      <c r="P1095" s="18"/>
    </row>
    <row r="1096">
      <c r="A1096" s="18"/>
      <c r="B1096" s="18"/>
      <c r="C1096" s="18"/>
      <c r="D1096" s="18"/>
      <c r="E1096" s="18"/>
      <c r="F1096" s="18"/>
      <c r="G1096" s="18"/>
      <c r="H1096" s="18"/>
      <c r="I1096" s="19"/>
      <c r="J1096" s="19"/>
      <c r="K1096" s="19"/>
      <c r="L1096" s="18"/>
      <c r="M1096" s="18"/>
      <c r="N1096" s="18"/>
      <c r="O1096" s="18"/>
      <c r="P1096" s="18"/>
    </row>
    <row r="1097">
      <c r="A1097" s="18"/>
      <c r="B1097" s="18"/>
      <c r="C1097" s="18"/>
      <c r="D1097" s="18"/>
      <c r="E1097" s="18"/>
      <c r="F1097" s="18"/>
      <c r="G1097" s="18"/>
      <c r="H1097" s="18"/>
      <c r="I1097" s="19"/>
      <c r="J1097" s="19"/>
      <c r="K1097" s="19"/>
      <c r="L1097" s="18"/>
      <c r="M1097" s="18"/>
      <c r="N1097" s="18"/>
      <c r="O1097" s="18"/>
      <c r="P1097" s="18"/>
    </row>
    <row r="1098">
      <c r="A1098" s="18"/>
      <c r="B1098" s="18"/>
      <c r="C1098" s="18"/>
      <c r="D1098" s="18"/>
      <c r="E1098" s="18"/>
      <c r="F1098" s="18"/>
      <c r="G1098" s="18"/>
      <c r="H1098" s="18"/>
      <c r="I1098" s="19"/>
      <c r="J1098" s="19"/>
      <c r="K1098" s="19"/>
      <c r="L1098" s="18"/>
      <c r="M1098" s="18"/>
      <c r="N1098" s="18"/>
      <c r="O1098" s="18"/>
      <c r="P1098" s="18"/>
    </row>
    <row r="1099">
      <c r="A1099" s="18"/>
      <c r="B1099" s="18"/>
      <c r="C1099" s="18"/>
      <c r="D1099" s="18"/>
      <c r="E1099" s="18"/>
      <c r="F1099" s="18"/>
      <c r="G1099" s="18"/>
      <c r="H1099" s="18"/>
      <c r="I1099" s="19"/>
      <c r="J1099" s="19"/>
      <c r="K1099" s="19"/>
      <c r="L1099" s="18"/>
      <c r="M1099" s="18"/>
      <c r="N1099" s="18"/>
      <c r="O1099" s="18"/>
      <c r="P1099" s="18"/>
    </row>
    <row r="1100">
      <c r="A1100" s="18"/>
      <c r="B1100" s="18"/>
      <c r="C1100" s="18"/>
      <c r="D1100" s="18"/>
      <c r="E1100" s="18"/>
      <c r="F1100" s="18"/>
      <c r="G1100" s="18"/>
      <c r="H1100" s="18"/>
      <c r="I1100" s="19"/>
      <c r="J1100" s="19"/>
      <c r="K1100" s="19"/>
      <c r="L1100" s="18"/>
      <c r="M1100" s="18"/>
      <c r="N1100" s="18"/>
      <c r="O1100" s="18"/>
      <c r="P1100" s="18"/>
    </row>
    <row r="1101">
      <c r="A1101" s="18"/>
      <c r="B1101" s="18"/>
      <c r="C1101" s="18"/>
      <c r="D1101" s="18"/>
      <c r="E1101" s="18"/>
      <c r="F1101" s="18"/>
      <c r="G1101" s="18"/>
      <c r="H1101" s="18"/>
      <c r="I1101" s="19"/>
      <c r="J1101" s="19"/>
      <c r="K1101" s="19"/>
      <c r="L1101" s="18"/>
      <c r="M1101" s="18"/>
      <c r="N1101" s="18"/>
      <c r="O1101" s="18"/>
      <c r="P1101" s="18"/>
    </row>
    <row r="1102">
      <c r="A1102" s="18"/>
      <c r="B1102" s="18"/>
      <c r="C1102" s="18"/>
      <c r="D1102" s="18"/>
      <c r="E1102" s="18"/>
      <c r="F1102" s="18"/>
      <c r="G1102" s="18"/>
      <c r="H1102" s="18"/>
      <c r="I1102" s="19"/>
      <c r="J1102" s="19"/>
      <c r="K1102" s="19"/>
      <c r="L1102" s="18"/>
      <c r="M1102" s="18"/>
      <c r="N1102" s="18"/>
      <c r="O1102" s="18"/>
      <c r="P1102" s="18"/>
    </row>
    <row r="1103">
      <c r="A1103" s="18"/>
      <c r="B1103" s="18"/>
      <c r="C1103" s="18"/>
      <c r="D1103" s="18"/>
      <c r="E1103" s="18"/>
      <c r="F1103" s="18"/>
      <c r="G1103" s="18"/>
      <c r="H1103" s="18"/>
      <c r="I1103" s="19"/>
      <c r="J1103" s="19"/>
      <c r="K1103" s="19"/>
      <c r="L1103" s="18"/>
      <c r="M1103" s="18"/>
      <c r="N1103" s="18"/>
      <c r="O1103" s="18"/>
      <c r="P1103" s="18"/>
    </row>
    <row r="1104">
      <c r="A1104" s="18"/>
      <c r="B1104" s="18"/>
      <c r="C1104" s="18"/>
      <c r="D1104" s="18"/>
      <c r="E1104" s="18"/>
      <c r="F1104" s="18"/>
      <c r="G1104" s="18"/>
      <c r="H1104" s="18"/>
      <c r="I1104" s="19"/>
      <c r="J1104" s="19"/>
      <c r="K1104" s="19"/>
      <c r="L1104" s="18"/>
      <c r="M1104" s="18"/>
      <c r="N1104" s="18"/>
      <c r="O1104" s="18"/>
      <c r="P1104" s="18"/>
    </row>
    <row r="1105">
      <c r="A1105" s="18"/>
      <c r="B1105" s="18"/>
      <c r="C1105" s="18"/>
      <c r="D1105" s="18"/>
      <c r="E1105" s="18"/>
      <c r="F1105" s="18"/>
      <c r="G1105" s="18"/>
      <c r="H1105" s="18"/>
      <c r="I1105" s="19"/>
      <c r="J1105" s="19"/>
      <c r="K1105" s="19"/>
      <c r="L1105" s="18"/>
      <c r="M1105" s="18"/>
      <c r="N1105" s="18"/>
      <c r="O1105" s="18"/>
      <c r="P1105" s="18"/>
    </row>
    <row r="1106">
      <c r="A1106" s="18"/>
      <c r="B1106" s="18"/>
      <c r="C1106" s="18"/>
      <c r="D1106" s="18"/>
      <c r="E1106" s="18"/>
      <c r="F1106" s="18"/>
      <c r="G1106" s="18"/>
      <c r="H1106" s="18"/>
      <c r="I1106" s="19"/>
      <c r="J1106" s="19"/>
      <c r="K1106" s="19"/>
      <c r="L1106" s="18"/>
      <c r="M1106" s="18"/>
      <c r="N1106" s="18"/>
      <c r="O1106" s="18"/>
      <c r="P1106" s="18"/>
    </row>
    <row r="1107">
      <c r="A1107" s="18"/>
      <c r="B1107" s="18"/>
      <c r="C1107" s="18"/>
      <c r="D1107" s="18"/>
      <c r="E1107" s="18"/>
      <c r="F1107" s="18"/>
      <c r="G1107" s="18"/>
      <c r="H1107" s="18"/>
      <c r="I1107" s="19"/>
      <c r="J1107" s="19"/>
      <c r="K1107" s="19"/>
      <c r="L1107" s="18"/>
      <c r="M1107" s="18"/>
      <c r="N1107" s="18"/>
      <c r="O1107" s="18"/>
      <c r="P1107" s="18"/>
    </row>
    <row r="1108">
      <c r="A1108" s="18"/>
      <c r="B1108" s="18"/>
      <c r="C1108" s="18"/>
      <c r="D1108" s="18"/>
      <c r="E1108" s="18"/>
      <c r="F1108" s="18"/>
      <c r="G1108" s="18"/>
      <c r="H1108" s="18"/>
      <c r="I1108" s="19"/>
      <c r="J1108" s="19"/>
      <c r="K1108" s="19"/>
      <c r="L1108" s="18"/>
      <c r="M1108" s="18"/>
      <c r="N1108" s="18"/>
      <c r="O1108" s="18"/>
      <c r="P1108" s="18"/>
    </row>
    <row r="1109">
      <c r="A1109" s="18"/>
      <c r="B1109" s="18"/>
      <c r="C1109" s="18"/>
      <c r="D1109" s="18"/>
      <c r="E1109" s="18"/>
      <c r="F1109" s="18"/>
      <c r="G1109" s="18"/>
      <c r="H1109" s="18"/>
      <c r="I1109" s="19"/>
      <c r="J1109" s="19"/>
      <c r="K1109" s="19"/>
      <c r="L1109" s="18"/>
      <c r="M1109" s="18"/>
      <c r="N1109" s="18"/>
      <c r="O1109" s="18"/>
      <c r="P1109" s="18"/>
    </row>
    <row r="1110">
      <c r="A1110" s="18"/>
      <c r="B1110" s="18"/>
      <c r="C1110" s="18"/>
      <c r="D1110" s="18"/>
      <c r="E1110" s="18"/>
      <c r="F1110" s="18"/>
      <c r="G1110" s="18"/>
      <c r="H1110" s="18"/>
      <c r="I1110" s="19"/>
      <c r="J1110" s="19"/>
      <c r="K1110" s="19"/>
      <c r="L1110" s="18"/>
      <c r="M1110" s="18"/>
      <c r="N1110" s="18"/>
      <c r="O1110" s="18"/>
      <c r="P1110" s="18"/>
    </row>
    <row r="1111">
      <c r="A1111" s="18"/>
      <c r="B1111" s="18"/>
      <c r="C1111" s="18"/>
      <c r="D1111" s="18"/>
      <c r="E1111" s="18"/>
      <c r="F1111" s="18"/>
      <c r="G1111" s="18"/>
      <c r="H1111" s="18"/>
      <c r="I1111" s="19"/>
      <c r="J1111" s="19"/>
      <c r="K1111" s="19"/>
      <c r="L1111" s="18"/>
      <c r="M1111" s="18"/>
      <c r="N1111" s="18"/>
      <c r="O1111" s="18"/>
      <c r="P1111" s="18"/>
    </row>
    <row r="1112">
      <c r="A1112" s="18"/>
      <c r="B1112" s="18"/>
      <c r="C1112" s="18"/>
      <c r="D1112" s="18"/>
      <c r="E1112" s="18"/>
      <c r="F1112" s="18"/>
      <c r="G1112" s="18"/>
      <c r="H1112" s="18"/>
      <c r="I1112" s="19"/>
      <c r="J1112" s="19"/>
      <c r="K1112" s="19"/>
      <c r="L1112" s="18"/>
      <c r="M1112" s="18"/>
      <c r="N1112" s="18"/>
      <c r="O1112" s="18"/>
      <c r="P1112" s="18"/>
    </row>
    <row r="1113">
      <c r="A1113" s="18"/>
      <c r="B1113" s="18"/>
      <c r="C1113" s="18"/>
      <c r="D1113" s="18"/>
      <c r="E1113" s="18"/>
      <c r="F1113" s="18"/>
      <c r="G1113" s="18"/>
      <c r="H1113" s="18"/>
      <c r="I1113" s="19"/>
      <c r="J1113" s="19"/>
      <c r="K1113" s="19"/>
      <c r="L1113" s="18"/>
      <c r="M1113" s="18"/>
      <c r="N1113" s="18"/>
      <c r="O1113" s="18"/>
      <c r="P1113" s="18"/>
    </row>
    <row r="1114">
      <c r="A1114" s="18"/>
      <c r="B1114" s="18"/>
      <c r="C1114" s="18"/>
      <c r="D1114" s="18"/>
      <c r="E1114" s="18"/>
      <c r="F1114" s="18"/>
      <c r="G1114" s="18"/>
      <c r="H1114" s="18"/>
      <c r="I1114" s="19"/>
      <c r="J1114" s="19"/>
      <c r="K1114" s="19"/>
      <c r="L1114" s="18"/>
      <c r="M1114" s="18"/>
      <c r="N1114" s="18"/>
      <c r="O1114" s="18"/>
      <c r="P1114" s="18"/>
    </row>
    <row r="1115">
      <c r="A1115" s="18"/>
      <c r="B1115" s="18"/>
      <c r="C1115" s="18"/>
      <c r="D1115" s="18"/>
      <c r="E1115" s="18"/>
      <c r="F1115" s="18"/>
      <c r="G1115" s="18"/>
      <c r="H1115" s="18"/>
      <c r="I1115" s="19"/>
      <c r="J1115" s="19"/>
      <c r="K1115" s="19"/>
      <c r="L1115" s="18"/>
      <c r="M1115" s="18"/>
      <c r="N1115" s="18"/>
      <c r="O1115" s="18"/>
      <c r="P1115" s="18"/>
    </row>
    <row r="1116">
      <c r="A1116" s="18"/>
      <c r="B1116" s="18"/>
      <c r="C1116" s="18"/>
      <c r="D1116" s="18"/>
      <c r="E1116" s="18"/>
      <c r="F1116" s="18"/>
      <c r="G1116" s="18"/>
      <c r="H1116" s="18"/>
      <c r="I1116" s="19"/>
      <c r="J1116" s="19"/>
      <c r="K1116" s="19"/>
      <c r="L1116" s="18"/>
      <c r="M1116" s="18"/>
      <c r="N1116" s="18"/>
      <c r="O1116" s="18"/>
      <c r="P1116" s="18"/>
    </row>
    <row r="1117">
      <c r="A1117" s="18"/>
      <c r="B1117" s="18"/>
      <c r="C1117" s="18"/>
      <c r="D1117" s="18"/>
      <c r="E1117" s="18"/>
      <c r="F1117" s="18"/>
      <c r="G1117" s="18"/>
      <c r="H1117" s="18"/>
      <c r="I1117" s="19"/>
      <c r="J1117" s="19"/>
      <c r="K1117" s="19"/>
      <c r="L1117" s="18"/>
      <c r="M1117" s="18"/>
      <c r="N1117" s="18"/>
      <c r="O1117" s="18"/>
      <c r="P1117" s="18"/>
    </row>
    <row r="1118">
      <c r="A1118" s="18"/>
      <c r="B1118" s="18"/>
      <c r="C1118" s="18"/>
      <c r="D1118" s="18"/>
      <c r="E1118" s="18"/>
      <c r="F1118" s="18"/>
      <c r="G1118" s="18"/>
      <c r="H1118" s="18"/>
      <c r="I1118" s="19"/>
      <c r="J1118" s="19"/>
      <c r="K1118" s="19"/>
      <c r="L1118" s="18"/>
      <c r="M1118" s="18"/>
      <c r="N1118" s="18"/>
      <c r="O1118" s="18"/>
      <c r="P1118" s="18"/>
    </row>
    <row r="1119">
      <c r="A1119" s="18"/>
      <c r="B1119" s="18"/>
      <c r="C1119" s="18"/>
      <c r="D1119" s="18"/>
      <c r="E1119" s="18"/>
      <c r="F1119" s="18"/>
      <c r="G1119" s="18"/>
      <c r="H1119" s="18"/>
      <c r="I1119" s="19"/>
      <c r="J1119" s="19"/>
      <c r="K1119" s="19"/>
      <c r="L1119" s="18"/>
      <c r="M1119" s="18"/>
      <c r="N1119" s="18"/>
      <c r="O1119" s="18"/>
      <c r="P1119" s="18"/>
    </row>
    <row r="1120">
      <c r="A1120" s="18"/>
      <c r="B1120" s="18"/>
      <c r="C1120" s="18"/>
      <c r="D1120" s="18"/>
      <c r="E1120" s="18"/>
      <c r="F1120" s="18"/>
      <c r="G1120" s="18"/>
      <c r="H1120" s="18"/>
      <c r="I1120" s="19"/>
      <c r="J1120" s="19"/>
      <c r="K1120" s="19"/>
      <c r="L1120" s="18"/>
      <c r="M1120" s="18"/>
      <c r="N1120" s="18"/>
      <c r="O1120" s="18"/>
      <c r="P1120" s="18"/>
    </row>
    <row r="1121">
      <c r="A1121" s="18"/>
      <c r="B1121" s="18"/>
      <c r="C1121" s="18"/>
      <c r="D1121" s="18"/>
      <c r="E1121" s="18"/>
      <c r="F1121" s="18"/>
      <c r="G1121" s="18"/>
      <c r="H1121" s="18"/>
      <c r="I1121" s="19"/>
      <c r="J1121" s="19"/>
      <c r="K1121" s="19"/>
      <c r="L1121" s="18"/>
      <c r="M1121" s="18"/>
      <c r="N1121" s="18"/>
      <c r="O1121" s="18"/>
      <c r="P1121" s="18"/>
    </row>
    <row r="1122">
      <c r="A1122" s="18"/>
      <c r="B1122" s="18"/>
      <c r="C1122" s="18"/>
      <c r="D1122" s="18"/>
      <c r="E1122" s="18"/>
      <c r="F1122" s="18"/>
      <c r="G1122" s="18"/>
      <c r="H1122" s="18"/>
      <c r="I1122" s="19"/>
      <c r="J1122" s="19"/>
      <c r="K1122" s="19"/>
      <c r="L1122" s="18"/>
      <c r="M1122" s="18"/>
      <c r="N1122" s="18"/>
      <c r="O1122" s="18"/>
      <c r="P1122" s="18"/>
    </row>
    <row r="1123">
      <c r="A1123" s="18"/>
      <c r="B1123" s="18"/>
      <c r="C1123" s="18"/>
      <c r="D1123" s="18"/>
      <c r="E1123" s="18"/>
      <c r="F1123" s="18"/>
      <c r="G1123" s="18"/>
      <c r="H1123" s="18"/>
      <c r="I1123" s="19"/>
      <c r="J1123" s="19"/>
      <c r="K1123" s="19"/>
      <c r="L1123" s="18"/>
      <c r="M1123" s="18"/>
      <c r="N1123" s="18"/>
      <c r="O1123" s="18"/>
      <c r="P1123" s="18"/>
    </row>
    <row r="1124">
      <c r="A1124" s="18"/>
      <c r="B1124" s="18"/>
      <c r="C1124" s="18"/>
      <c r="D1124" s="18"/>
      <c r="E1124" s="18"/>
      <c r="F1124" s="18"/>
      <c r="G1124" s="18"/>
      <c r="H1124" s="18"/>
      <c r="I1124" s="19"/>
      <c r="J1124" s="19"/>
      <c r="K1124" s="19"/>
      <c r="L1124" s="18"/>
      <c r="M1124" s="18"/>
      <c r="N1124" s="18"/>
      <c r="O1124" s="18"/>
      <c r="P1124" s="18"/>
    </row>
    <row r="1125">
      <c r="A1125" s="18"/>
      <c r="B1125" s="18"/>
      <c r="C1125" s="18"/>
      <c r="D1125" s="18"/>
      <c r="E1125" s="18"/>
      <c r="F1125" s="18"/>
      <c r="G1125" s="18"/>
      <c r="H1125" s="18"/>
      <c r="I1125" s="19"/>
      <c r="J1125" s="19"/>
      <c r="K1125" s="19"/>
      <c r="L1125" s="18"/>
      <c r="M1125" s="18"/>
      <c r="N1125" s="18"/>
      <c r="O1125" s="18"/>
      <c r="P1125" s="18"/>
    </row>
    <row r="1126">
      <c r="A1126" s="18"/>
      <c r="B1126" s="18"/>
      <c r="C1126" s="18"/>
      <c r="D1126" s="18"/>
      <c r="E1126" s="18"/>
      <c r="F1126" s="18"/>
      <c r="G1126" s="18"/>
      <c r="H1126" s="18"/>
      <c r="I1126" s="19"/>
      <c r="J1126" s="19"/>
      <c r="K1126" s="19"/>
      <c r="L1126" s="18"/>
      <c r="M1126" s="18"/>
      <c r="N1126" s="18"/>
      <c r="O1126" s="18"/>
      <c r="P1126" s="18"/>
    </row>
    <row r="1127">
      <c r="A1127" s="18"/>
      <c r="B1127" s="18"/>
      <c r="C1127" s="18"/>
      <c r="D1127" s="18"/>
      <c r="E1127" s="18"/>
      <c r="F1127" s="18"/>
      <c r="G1127" s="18"/>
      <c r="H1127" s="18"/>
      <c r="I1127" s="19"/>
      <c r="J1127" s="19"/>
      <c r="K1127" s="19"/>
      <c r="L1127" s="18"/>
      <c r="M1127" s="18"/>
      <c r="N1127" s="18"/>
      <c r="O1127" s="18"/>
      <c r="P1127" s="18"/>
    </row>
    <row r="1128">
      <c r="A1128" s="18"/>
      <c r="B1128" s="18"/>
      <c r="C1128" s="18"/>
      <c r="D1128" s="18"/>
      <c r="E1128" s="18"/>
      <c r="F1128" s="18"/>
      <c r="G1128" s="18"/>
      <c r="H1128" s="18"/>
      <c r="I1128" s="19"/>
      <c r="J1128" s="19"/>
      <c r="K1128" s="19"/>
      <c r="L1128" s="18"/>
      <c r="M1128" s="18"/>
      <c r="N1128" s="18"/>
      <c r="O1128" s="18"/>
      <c r="P1128" s="18"/>
    </row>
    <row r="1129">
      <c r="A1129" s="18"/>
      <c r="B1129" s="18"/>
      <c r="C1129" s="18"/>
      <c r="D1129" s="18"/>
      <c r="E1129" s="18"/>
      <c r="F1129" s="18"/>
      <c r="G1129" s="18"/>
      <c r="H1129" s="18"/>
      <c r="I1129" s="19"/>
      <c r="J1129" s="19"/>
      <c r="K1129" s="19"/>
      <c r="L1129" s="18"/>
      <c r="M1129" s="18"/>
      <c r="N1129" s="18"/>
      <c r="O1129" s="18"/>
      <c r="P1129" s="18"/>
    </row>
    <row r="1130">
      <c r="A1130" s="18"/>
      <c r="B1130" s="18"/>
      <c r="C1130" s="18"/>
      <c r="D1130" s="18"/>
      <c r="E1130" s="18"/>
      <c r="F1130" s="18"/>
      <c r="G1130" s="18"/>
      <c r="H1130" s="18"/>
      <c r="I1130" s="19"/>
      <c r="J1130" s="19"/>
      <c r="K1130" s="19"/>
      <c r="L1130" s="18"/>
      <c r="M1130" s="18"/>
      <c r="N1130" s="18"/>
      <c r="O1130" s="18"/>
      <c r="P1130" s="18"/>
    </row>
    <row r="1131">
      <c r="A1131" s="18"/>
      <c r="B1131" s="18"/>
      <c r="C1131" s="18"/>
      <c r="D1131" s="18"/>
      <c r="E1131" s="18"/>
      <c r="F1131" s="18"/>
      <c r="G1131" s="18"/>
      <c r="H1131" s="18"/>
      <c r="I1131" s="19"/>
      <c r="J1131" s="19"/>
      <c r="K1131" s="19"/>
      <c r="L1131" s="18"/>
      <c r="M1131" s="18"/>
      <c r="N1131" s="18"/>
      <c r="O1131" s="18"/>
      <c r="P1131" s="18"/>
    </row>
    <row r="1132">
      <c r="A1132" s="18"/>
      <c r="B1132" s="18"/>
      <c r="C1132" s="18"/>
      <c r="D1132" s="18"/>
      <c r="E1132" s="18"/>
      <c r="F1132" s="18"/>
      <c r="G1132" s="18"/>
      <c r="H1132" s="18"/>
      <c r="I1132" s="19"/>
      <c r="J1132" s="19"/>
      <c r="K1132" s="19"/>
      <c r="L1132" s="18"/>
      <c r="M1132" s="18"/>
      <c r="N1132" s="18"/>
      <c r="O1132" s="18"/>
      <c r="P1132" s="18"/>
    </row>
    <row r="1133">
      <c r="A1133" s="18"/>
      <c r="B1133" s="18"/>
      <c r="C1133" s="18"/>
      <c r="D1133" s="18"/>
      <c r="E1133" s="18"/>
      <c r="F1133" s="18"/>
      <c r="G1133" s="18"/>
      <c r="H1133" s="18"/>
      <c r="I1133" s="19"/>
      <c r="J1133" s="19"/>
      <c r="K1133" s="19"/>
      <c r="L1133" s="18"/>
      <c r="M1133" s="18"/>
      <c r="N1133" s="18"/>
      <c r="O1133" s="18"/>
      <c r="P1133" s="18"/>
    </row>
    <row r="1134">
      <c r="A1134" s="18"/>
      <c r="B1134" s="18"/>
      <c r="C1134" s="18"/>
      <c r="D1134" s="18"/>
      <c r="E1134" s="18"/>
      <c r="F1134" s="18"/>
      <c r="G1134" s="18"/>
      <c r="H1134" s="18"/>
      <c r="I1134" s="19"/>
      <c r="J1134" s="19"/>
      <c r="K1134" s="19"/>
      <c r="L1134" s="18"/>
      <c r="M1134" s="18"/>
      <c r="N1134" s="18"/>
      <c r="O1134" s="18"/>
      <c r="P1134" s="18"/>
    </row>
    <row r="1135">
      <c r="A1135" s="18"/>
      <c r="B1135" s="18"/>
      <c r="C1135" s="18"/>
      <c r="D1135" s="18"/>
      <c r="E1135" s="18"/>
      <c r="F1135" s="18"/>
      <c r="G1135" s="18"/>
      <c r="H1135" s="18"/>
      <c r="I1135" s="19"/>
      <c r="J1135" s="19"/>
      <c r="K1135" s="19"/>
      <c r="L1135" s="18"/>
      <c r="M1135" s="18"/>
      <c r="N1135" s="18"/>
      <c r="O1135" s="18"/>
      <c r="P1135" s="18"/>
    </row>
    <row r="1136">
      <c r="A1136" s="18"/>
      <c r="B1136" s="18"/>
      <c r="C1136" s="18"/>
      <c r="D1136" s="18"/>
      <c r="E1136" s="18"/>
      <c r="F1136" s="18"/>
      <c r="G1136" s="18"/>
      <c r="H1136" s="18"/>
      <c r="I1136" s="19"/>
      <c r="J1136" s="19"/>
      <c r="K1136" s="19"/>
      <c r="L1136" s="18"/>
      <c r="M1136" s="18"/>
      <c r="N1136" s="18"/>
      <c r="O1136" s="18"/>
      <c r="P1136" s="18"/>
    </row>
    <row r="1137">
      <c r="A1137" s="18"/>
      <c r="B1137" s="18"/>
      <c r="C1137" s="18"/>
      <c r="D1137" s="18"/>
      <c r="E1137" s="18"/>
      <c r="F1137" s="18"/>
      <c r="G1137" s="18"/>
      <c r="H1137" s="18"/>
      <c r="I1137" s="19"/>
      <c r="J1137" s="19"/>
      <c r="K1137" s="19"/>
      <c r="L1137" s="18"/>
      <c r="M1137" s="18"/>
      <c r="N1137" s="18"/>
      <c r="O1137" s="18"/>
      <c r="P1137" s="18"/>
    </row>
    <row r="1138">
      <c r="A1138" s="18"/>
      <c r="B1138" s="18"/>
      <c r="C1138" s="18"/>
      <c r="D1138" s="18"/>
      <c r="E1138" s="18"/>
      <c r="F1138" s="18"/>
      <c r="G1138" s="18"/>
      <c r="H1138" s="18"/>
      <c r="I1138" s="19"/>
      <c r="J1138" s="19"/>
      <c r="K1138" s="19"/>
      <c r="L1138" s="18"/>
      <c r="M1138" s="18"/>
      <c r="N1138" s="18"/>
      <c r="O1138" s="18"/>
      <c r="P1138" s="18"/>
    </row>
    <row r="1139">
      <c r="A1139" s="18"/>
      <c r="B1139" s="18"/>
      <c r="C1139" s="18"/>
      <c r="D1139" s="18"/>
      <c r="E1139" s="18"/>
      <c r="F1139" s="18"/>
      <c r="G1139" s="18"/>
      <c r="H1139" s="18"/>
      <c r="I1139" s="19"/>
      <c r="J1139" s="19"/>
      <c r="K1139" s="19"/>
      <c r="L1139" s="18"/>
      <c r="M1139" s="18"/>
      <c r="N1139" s="18"/>
      <c r="O1139" s="18"/>
      <c r="P1139" s="18"/>
    </row>
    <row r="1140">
      <c r="A1140" s="18"/>
      <c r="B1140" s="18"/>
      <c r="C1140" s="18"/>
      <c r="D1140" s="18"/>
      <c r="E1140" s="18"/>
      <c r="F1140" s="18"/>
      <c r="G1140" s="18"/>
      <c r="H1140" s="18"/>
      <c r="I1140" s="19"/>
      <c r="J1140" s="19"/>
      <c r="K1140" s="19"/>
      <c r="L1140" s="18"/>
      <c r="M1140" s="18"/>
      <c r="N1140" s="18"/>
      <c r="O1140" s="18"/>
      <c r="P1140" s="18"/>
    </row>
    <row r="1141">
      <c r="A1141" s="18"/>
      <c r="B1141" s="18"/>
      <c r="C1141" s="18"/>
      <c r="D1141" s="18"/>
      <c r="E1141" s="18"/>
      <c r="F1141" s="18"/>
      <c r="G1141" s="18"/>
      <c r="H1141" s="18"/>
      <c r="I1141" s="19"/>
      <c r="J1141" s="19"/>
      <c r="K1141" s="19"/>
      <c r="L1141" s="18"/>
      <c r="M1141" s="18"/>
      <c r="N1141" s="18"/>
      <c r="O1141" s="18"/>
      <c r="P1141" s="18"/>
    </row>
    <row r="1142">
      <c r="A1142" s="18"/>
      <c r="B1142" s="18"/>
      <c r="C1142" s="18"/>
      <c r="D1142" s="18"/>
      <c r="E1142" s="18"/>
      <c r="F1142" s="18"/>
      <c r="G1142" s="18"/>
      <c r="H1142" s="18"/>
      <c r="I1142" s="19"/>
      <c r="J1142" s="19"/>
      <c r="K1142" s="19"/>
      <c r="L1142" s="18"/>
      <c r="M1142" s="18"/>
      <c r="N1142" s="18"/>
      <c r="O1142" s="18"/>
      <c r="P1142" s="18"/>
    </row>
    <row r="1143">
      <c r="A1143" s="18"/>
      <c r="B1143" s="18"/>
      <c r="C1143" s="18"/>
      <c r="D1143" s="18"/>
      <c r="E1143" s="18"/>
      <c r="F1143" s="18"/>
      <c r="G1143" s="18"/>
      <c r="H1143" s="18"/>
      <c r="I1143" s="19"/>
      <c r="J1143" s="19"/>
      <c r="K1143" s="19"/>
      <c r="L1143" s="18"/>
      <c r="M1143" s="18"/>
      <c r="N1143" s="18"/>
      <c r="O1143" s="18"/>
      <c r="P1143" s="18"/>
    </row>
    <row r="1144">
      <c r="A1144" s="18"/>
      <c r="B1144" s="18"/>
      <c r="C1144" s="18"/>
      <c r="D1144" s="18"/>
      <c r="E1144" s="18"/>
      <c r="F1144" s="18"/>
      <c r="G1144" s="18"/>
      <c r="H1144" s="18"/>
      <c r="I1144" s="19"/>
      <c r="J1144" s="19"/>
      <c r="K1144" s="19"/>
      <c r="L1144" s="18"/>
      <c r="M1144" s="18"/>
      <c r="N1144" s="18"/>
      <c r="O1144" s="18"/>
      <c r="P1144" s="18"/>
    </row>
    <row r="1145">
      <c r="A1145" s="18"/>
      <c r="B1145" s="18"/>
      <c r="C1145" s="18"/>
      <c r="D1145" s="18"/>
      <c r="E1145" s="18"/>
      <c r="F1145" s="18"/>
      <c r="G1145" s="18"/>
      <c r="H1145" s="18"/>
      <c r="I1145" s="19"/>
      <c r="J1145" s="19"/>
      <c r="K1145" s="19"/>
      <c r="L1145" s="18"/>
      <c r="M1145" s="18"/>
      <c r="N1145" s="18"/>
      <c r="O1145" s="18"/>
      <c r="P1145" s="18"/>
    </row>
    <row r="1146">
      <c r="A1146" s="18"/>
      <c r="B1146" s="18"/>
      <c r="C1146" s="18"/>
      <c r="D1146" s="18"/>
      <c r="E1146" s="18"/>
      <c r="F1146" s="18"/>
      <c r="G1146" s="18"/>
      <c r="H1146" s="18"/>
      <c r="I1146" s="19"/>
      <c r="J1146" s="19"/>
      <c r="K1146" s="19"/>
      <c r="L1146" s="18"/>
      <c r="M1146" s="18"/>
      <c r="N1146" s="18"/>
      <c r="O1146" s="18"/>
      <c r="P1146" s="18"/>
    </row>
    <row r="1147">
      <c r="A1147" s="18"/>
      <c r="B1147" s="18"/>
      <c r="C1147" s="18"/>
      <c r="D1147" s="18"/>
      <c r="E1147" s="18"/>
      <c r="F1147" s="18"/>
      <c r="G1147" s="18"/>
      <c r="H1147" s="18"/>
      <c r="I1147" s="19"/>
      <c r="J1147" s="19"/>
      <c r="K1147" s="19"/>
      <c r="L1147" s="18"/>
      <c r="M1147" s="18"/>
      <c r="N1147" s="18"/>
      <c r="O1147" s="18"/>
      <c r="P1147" s="18"/>
    </row>
    <row r="1148">
      <c r="A1148" s="18"/>
      <c r="B1148" s="18"/>
      <c r="C1148" s="18"/>
      <c r="D1148" s="18"/>
      <c r="E1148" s="18"/>
      <c r="F1148" s="18"/>
      <c r="G1148" s="18"/>
      <c r="H1148" s="18"/>
      <c r="I1148" s="19"/>
      <c r="J1148" s="19"/>
      <c r="K1148" s="19"/>
      <c r="L1148" s="18"/>
      <c r="M1148" s="18"/>
      <c r="N1148" s="18"/>
      <c r="O1148" s="18"/>
      <c r="P1148" s="18"/>
    </row>
    <row r="1149">
      <c r="A1149" s="18"/>
      <c r="B1149" s="18"/>
      <c r="C1149" s="18"/>
      <c r="D1149" s="18"/>
      <c r="E1149" s="18"/>
      <c r="F1149" s="18"/>
      <c r="G1149" s="18"/>
      <c r="H1149" s="18"/>
      <c r="I1149" s="19"/>
      <c r="J1149" s="19"/>
      <c r="K1149" s="19"/>
      <c r="L1149" s="18"/>
      <c r="M1149" s="18"/>
      <c r="N1149" s="18"/>
      <c r="O1149" s="18"/>
      <c r="P1149" s="18"/>
    </row>
    <row r="1150">
      <c r="A1150" s="18"/>
      <c r="B1150" s="18"/>
      <c r="C1150" s="18"/>
      <c r="D1150" s="18"/>
      <c r="E1150" s="18"/>
      <c r="F1150" s="18"/>
      <c r="G1150" s="18"/>
      <c r="H1150" s="18"/>
      <c r="I1150" s="19"/>
      <c r="J1150" s="19"/>
      <c r="K1150" s="19"/>
      <c r="L1150" s="18"/>
      <c r="M1150" s="18"/>
      <c r="N1150" s="18"/>
      <c r="O1150" s="18"/>
      <c r="P1150" s="18"/>
    </row>
    <row r="1151">
      <c r="A1151" s="18"/>
      <c r="B1151" s="18"/>
      <c r="C1151" s="18"/>
      <c r="D1151" s="18"/>
      <c r="E1151" s="18"/>
      <c r="F1151" s="18"/>
      <c r="G1151" s="18"/>
      <c r="H1151" s="18"/>
      <c r="I1151" s="19"/>
      <c r="J1151" s="19"/>
      <c r="K1151" s="19"/>
      <c r="L1151" s="18"/>
      <c r="M1151" s="18"/>
      <c r="N1151" s="18"/>
      <c r="O1151" s="18"/>
      <c r="P1151" s="18"/>
    </row>
    <row r="1152">
      <c r="A1152" s="18"/>
      <c r="B1152" s="18"/>
      <c r="C1152" s="18"/>
      <c r="D1152" s="18"/>
      <c r="E1152" s="18"/>
      <c r="F1152" s="18"/>
      <c r="G1152" s="18"/>
      <c r="H1152" s="18"/>
      <c r="I1152" s="19"/>
      <c r="J1152" s="19"/>
      <c r="K1152" s="19"/>
      <c r="L1152" s="18"/>
      <c r="M1152" s="18"/>
      <c r="N1152" s="18"/>
      <c r="O1152" s="18"/>
      <c r="P1152" s="18"/>
    </row>
    <row r="1153">
      <c r="A1153" s="18"/>
      <c r="B1153" s="18"/>
      <c r="C1153" s="18"/>
      <c r="D1153" s="18"/>
      <c r="E1153" s="18"/>
      <c r="F1153" s="18"/>
      <c r="G1153" s="18"/>
      <c r="H1153" s="18"/>
      <c r="I1153" s="19"/>
      <c r="J1153" s="19"/>
      <c r="K1153" s="19"/>
      <c r="L1153" s="18"/>
      <c r="M1153" s="18"/>
      <c r="N1153" s="18"/>
      <c r="O1153" s="18"/>
      <c r="P1153" s="18"/>
    </row>
    <row r="1154">
      <c r="A1154" s="18"/>
      <c r="B1154" s="18"/>
      <c r="C1154" s="18"/>
      <c r="D1154" s="18"/>
      <c r="E1154" s="18"/>
      <c r="F1154" s="18"/>
      <c r="G1154" s="18"/>
      <c r="H1154" s="18"/>
      <c r="I1154" s="19"/>
      <c r="J1154" s="19"/>
      <c r="K1154" s="19"/>
      <c r="L1154" s="18"/>
      <c r="M1154" s="18"/>
      <c r="N1154" s="18"/>
      <c r="O1154" s="18"/>
      <c r="P1154" s="18"/>
    </row>
    <row r="1155">
      <c r="A1155" s="18"/>
      <c r="B1155" s="18"/>
      <c r="C1155" s="18"/>
      <c r="D1155" s="18"/>
      <c r="E1155" s="18"/>
      <c r="F1155" s="18"/>
      <c r="G1155" s="18"/>
      <c r="H1155" s="18"/>
      <c r="I1155" s="19"/>
      <c r="J1155" s="19"/>
      <c r="K1155" s="19"/>
      <c r="L1155" s="18"/>
      <c r="M1155" s="18"/>
      <c r="N1155" s="18"/>
      <c r="O1155" s="18"/>
      <c r="P1155" s="18"/>
    </row>
    <row r="1156">
      <c r="A1156" s="18"/>
      <c r="B1156" s="18"/>
      <c r="C1156" s="18"/>
      <c r="D1156" s="18"/>
      <c r="E1156" s="18"/>
      <c r="F1156" s="18"/>
      <c r="G1156" s="18"/>
      <c r="H1156" s="18"/>
      <c r="I1156" s="19"/>
      <c r="J1156" s="19"/>
      <c r="K1156" s="19"/>
      <c r="L1156" s="18"/>
      <c r="M1156" s="18"/>
      <c r="N1156" s="18"/>
      <c r="O1156" s="18"/>
      <c r="P1156" s="18"/>
    </row>
    <row r="1157">
      <c r="A1157" s="18"/>
      <c r="B1157" s="18"/>
      <c r="C1157" s="18"/>
      <c r="D1157" s="18"/>
      <c r="E1157" s="18"/>
      <c r="F1157" s="18"/>
      <c r="G1157" s="18"/>
      <c r="H1157" s="18"/>
      <c r="I1157" s="19"/>
      <c r="J1157" s="19"/>
      <c r="K1157" s="19"/>
      <c r="L1157" s="18"/>
      <c r="M1157" s="18"/>
      <c r="N1157" s="18"/>
      <c r="O1157" s="18"/>
      <c r="P1157" s="18"/>
    </row>
    <row r="1158">
      <c r="A1158" s="18"/>
      <c r="B1158" s="18"/>
      <c r="C1158" s="18"/>
      <c r="D1158" s="18"/>
      <c r="E1158" s="18"/>
      <c r="F1158" s="18"/>
      <c r="G1158" s="18"/>
      <c r="H1158" s="18"/>
      <c r="I1158" s="19"/>
      <c r="J1158" s="19"/>
      <c r="K1158" s="19"/>
      <c r="L1158" s="18"/>
      <c r="M1158" s="18"/>
      <c r="N1158" s="18"/>
      <c r="O1158" s="18"/>
      <c r="P1158" s="18"/>
    </row>
    <row r="1159">
      <c r="A1159" s="18"/>
      <c r="B1159" s="18"/>
      <c r="C1159" s="18"/>
      <c r="D1159" s="18"/>
      <c r="E1159" s="18"/>
      <c r="F1159" s="18"/>
      <c r="G1159" s="18"/>
      <c r="H1159" s="18"/>
      <c r="I1159" s="19"/>
      <c r="J1159" s="19"/>
      <c r="K1159" s="19"/>
      <c r="L1159" s="18"/>
      <c r="M1159" s="18"/>
      <c r="N1159" s="18"/>
      <c r="O1159" s="18"/>
      <c r="P1159" s="18"/>
    </row>
    <row r="1160">
      <c r="A1160" s="18"/>
      <c r="B1160" s="18"/>
      <c r="C1160" s="18"/>
      <c r="D1160" s="18"/>
      <c r="E1160" s="18"/>
      <c r="F1160" s="18"/>
      <c r="G1160" s="18"/>
      <c r="H1160" s="18"/>
      <c r="I1160" s="19"/>
      <c r="J1160" s="19"/>
      <c r="K1160" s="19"/>
      <c r="L1160" s="18"/>
      <c r="M1160" s="18"/>
      <c r="N1160" s="18"/>
      <c r="O1160" s="18"/>
      <c r="P1160" s="18"/>
    </row>
    <row r="1161">
      <c r="A1161" s="18"/>
      <c r="B1161" s="18"/>
      <c r="C1161" s="18"/>
      <c r="D1161" s="18"/>
      <c r="E1161" s="18"/>
      <c r="F1161" s="18"/>
      <c r="G1161" s="18"/>
      <c r="H1161" s="18"/>
      <c r="I1161" s="19"/>
      <c r="J1161" s="19"/>
      <c r="K1161" s="19"/>
      <c r="L1161" s="18"/>
      <c r="M1161" s="18"/>
      <c r="N1161" s="18"/>
      <c r="O1161" s="18"/>
      <c r="P1161" s="18"/>
    </row>
    <row r="1162">
      <c r="A1162" s="18"/>
      <c r="B1162" s="18"/>
      <c r="C1162" s="18"/>
      <c r="D1162" s="18"/>
      <c r="E1162" s="18"/>
      <c r="F1162" s="18"/>
      <c r="G1162" s="18"/>
      <c r="H1162" s="18"/>
      <c r="I1162" s="19"/>
      <c r="J1162" s="19"/>
      <c r="K1162" s="19"/>
      <c r="L1162" s="18"/>
      <c r="M1162" s="18"/>
      <c r="N1162" s="18"/>
      <c r="O1162" s="18"/>
      <c r="P1162" s="18"/>
    </row>
    <row r="1163">
      <c r="A1163" s="18"/>
      <c r="B1163" s="18"/>
      <c r="C1163" s="18"/>
      <c r="D1163" s="18"/>
      <c r="E1163" s="18"/>
      <c r="F1163" s="18"/>
      <c r="G1163" s="18"/>
      <c r="H1163" s="18"/>
      <c r="I1163" s="19"/>
      <c r="J1163" s="19"/>
      <c r="K1163" s="19"/>
      <c r="L1163" s="18"/>
      <c r="M1163" s="18"/>
      <c r="N1163" s="18"/>
      <c r="O1163" s="18"/>
      <c r="P1163" s="18"/>
    </row>
    <row r="1164">
      <c r="A1164" s="18"/>
      <c r="B1164" s="18"/>
      <c r="C1164" s="18"/>
      <c r="D1164" s="18"/>
      <c r="E1164" s="18"/>
      <c r="F1164" s="18"/>
      <c r="G1164" s="18"/>
      <c r="H1164" s="18"/>
      <c r="I1164" s="19"/>
      <c r="J1164" s="19"/>
      <c r="K1164" s="19"/>
      <c r="L1164" s="18"/>
      <c r="M1164" s="18"/>
      <c r="N1164" s="18"/>
      <c r="O1164" s="18"/>
      <c r="P1164" s="18"/>
    </row>
    <row r="1165">
      <c r="A1165" s="18"/>
      <c r="B1165" s="18"/>
      <c r="C1165" s="18"/>
      <c r="D1165" s="18"/>
      <c r="E1165" s="18"/>
      <c r="F1165" s="18"/>
      <c r="G1165" s="18"/>
      <c r="H1165" s="18"/>
      <c r="I1165" s="19"/>
      <c r="J1165" s="19"/>
      <c r="K1165" s="19"/>
      <c r="L1165" s="18"/>
      <c r="M1165" s="18"/>
      <c r="N1165" s="18"/>
      <c r="O1165" s="18"/>
      <c r="P1165" s="18"/>
    </row>
    <row r="1166">
      <c r="A1166" s="18"/>
      <c r="B1166" s="18"/>
      <c r="C1166" s="18"/>
      <c r="D1166" s="18"/>
      <c r="E1166" s="18"/>
      <c r="F1166" s="18"/>
      <c r="G1166" s="18"/>
      <c r="H1166" s="18"/>
      <c r="I1166" s="19"/>
      <c r="J1166" s="19"/>
      <c r="K1166" s="19"/>
      <c r="L1166" s="18"/>
      <c r="M1166" s="18"/>
      <c r="N1166" s="18"/>
      <c r="O1166" s="18"/>
      <c r="P1166" s="18"/>
    </row>
    <row r="1167">
      <c r="A1167" s="18"/>
      <c r="B1167" s="18"/>
      <c r="C1167" s="18"/>
      <c r="D1167" s="18"/>
      <c r="E1167" s="18"/>
      <c r="F1167" s="18"/>
      <c r="G1167" s="18"/>
      <c r="H1167" s="18"/>
      <c r="I1167" s="19"/>
      <c r="J1167" s="19"/>
      <c r="K1167" s="19"/>
      <c r="L1167" s="18"/>
      <c r="M1167" s="18"/>
      <c r="N1167" s="18"/>
      <c r="O1167" s="18"/>
      <c r="P1167" s="18"/>
    </row>
    <row r="1168">
      <c r="A1168" s="18"/>
      <c r="B1168" s="18"/>
      <c r="C1168" s="18"/>
      <c r="D1168" s="18"/>
      <c r="E1168" s="18"/>
      <c r="F1168" s="18"/>
      <c r="G1168" s="18"/>
      <c r="H1168" s="18"/>
      <c r="I1168" s="19"/>
      <c r="J1168" s="19"/>
      <c r="K1168" s="19"/>
      <c r="L1168" s="18"/>
      <c r="M1168" s="18"/>
      <c r="N1168" s="18"/>
      <c r="O1168" s="18"/>
      <c r="P1168" s="18"/>
    </row>
    <row r="1169">
      <c r="A1169" s="18"/>
      <c r="B1169" s="18"/>
      <c r="C1169" s="18"/>
      <c r="D1169" s="18"/>
      <c r="E1169" s="18"/>
      <c r="F1169" s="18"/>
      <c r="G1169" s="18"/>
      <c r="H1169" s="18"/>
      <c r="I1169" s="19"/>
      <c r="J1169" s="19"/>
      <c r="K1169" s="19"/>
      <c r="L1169" s="18"/>
      <c r="M1169" s="18"/>
      <c r="N1169" s="18"/>
      <c r="O1169" s="18"/>
      <c r="P1169" s="18"/>
    </row>
    <row r="1170">
      <c r="A1170" s="18"/>
      <c r="B1170" s="18"/>
      <c r="C1170" s="18"/>
      <c r="D1170" s="18"/>
      <c r="E1170" s="18"/>
      <c r="F1170" s="18"/>
      <c r="G1170" s="18"/>
      <c r="H1170" s="18"/>
      <c r="I1170" s="19"/>
      <c r="J1170" s="19"/>
      <c r="K1170" s="19"/>
      <c r="L1170" s="18"/>
      <c r="M1170" s="18"/>
      <c r="N1170" s="18"/>
      <c r="O1170" s="18"/>
      <c r="P1170" s="18"/>
    </row>
    <row r="1171">
      <c r="A1171" s="18"/>
      <c r="B1171" s="18"/>
      <c r="C1171" s="18"/>
      <c r="D1171" s="18"/>
      <c r="E1171" s="18"/>
      <c r="F1171" s="18"/>
      <c r="G1171" s="18"/>
      <c r="H1171" s="18"/>
      <c r="I1171" s="19"/>
      <c r="J1171" s="19"/>
      <c r="K1171" s="19"/>
      <c r="L1171" s="18"/>
      <c r="M1171" s="18"/>
      <c r="N1171" s="18"/>
      <c r="O1171" s="18"/>
      <c r="P1171" s="18"/>
    </row>
    <row r="1172">
      <c r="A1172" s="18"/>
      <c r="B1172" s="18"/>
      <c r="C1172" s="18"/>
      <c r="D1172" s="18"/>
      <c r="E1172" s="18"/>
      <c r="F1172" s="18"/>
      <c r="G1172" s="18"/>
      <c r="H1172" s="18"/>
      <c r="I1172" s="19"/>
      <c r="J1172" s="19"/>
      <c r="K1172" s="19"/>
      <c r="L1172" s="18"/>
      <c r="M1172" s="18"/>
      <c r="N1172" s="18"/>
      <c r="O1172" s="18"/>
      <c r="P1172" s="18"/>
    </row>
    <row r="1173">
      <c r="A1173" s="18"/>
      <c r="B1173" s="18"/>
      <c r="C1173" s="18"/>
      <c r="D1173" s="18"/>
      <c r="E1173" s="18"/>
      <c r="F1173" s="18"/>
      <c r="G1173" s="18"/>
      <c r="H1173" s="18"/>
      <c r="I1173" s="19"/>
      <c r="J1173" s="19"/>
      <c r="K1173" s="19"/>
      <c r="L1173" s="18"/>
      <c r="M1173" s="18"/>
      <c r="N1173" s="18"/>
      <c r="O1173" s="18"/>
      <c r="P1173" s="18"/>
    </row>
    <row r="1174">
      <c r="A1174" s="18"/>
      <c r="B1174" s="18"/>
      <c r="C1174" s="18"/>
      <c r="D1174" s="18"/>
      <c r="E1174" s="18"/>
      <c r="F1174" s="18"/>
      <c r="G1174" s="18"/>
      <c r="H1174" s="18"/>
      <c r="I1174" s="19"/>
      <c r="J1174" s="19"/>
      <c r="K1174" s="19"/>
      <c r="L1174" s="18"/>
      <c r="M1174" s="18"/>
      <c r="N1174" s="18"/>
      <c r="O1174" s="18"/>
      <c r="P1174" s="18"/>
    </row>
    <row r="1175">
      <c r="A1175" s="18"/>
      <c r="B1175" s="18"/>
      <c r="C1175" s="18"/>
      <c r="D1175" s="18"/>
      <c r="E1175" s="18"/>
      <c r="F1175" s="18"/>
      <c r="G1175" s="18"/>
      <c r="H1175" s="18"/>
      <c r="I1175" s="19"/>
      <c r="J1175" s="19"/>
      <c r="K1175" s="19"/>
      <c r="L1175" s="18"/>
      <c r="M1175" s="18"/>
      <c r="N1175" s="18"/>
      <c r="O1175" s="18"/>
      <c r="P1175" s="18"/>
    </row>
    <row r="1176">
      <c r="A1176" s="18"/>
      <c r="B1176" s="18"/>
      <c r="C1176" s="18"/>
      <c r="D1176" s="18"/>
      <c r="E1176" s="18"/>
      <c r="F1176" s="18"/>
      <c r="G1176" s="18"/>
      <c r="H1176" s="18"/>
      <c r="I1176" s="19"/>
      <c r="J1176" s="19"/>
      <c r="K1176" s="19"/>
      <c r="L1176" s="18"/>
      <c r="M1176" s="18"/>
      <c r="N1176" s="18"/>
      <c r="O1176" s="18"/>
      <c r="P1176" s="18"/>
    </row>
    <row r="1177">
      <c r="A1177" s="18"/>
      <c r="B1177" s="18"/>
      <c r="C1177" s="18"/>
      <c r="D1177" s="18"/>
      <c r="E1177" s="18"/>
      <c r="F1177" s="18"/>
      <c r="G1177" s="18"/>
      <c r="H1177" s="18"/>
      <c r="I1177" s="19"/>
      <c r="J1177" s="19"/>
      <c r="K1177" s="19"/>
      <c r="L1177" s="18"/>
      <c r="M1177" s="18"/>
      <c r="N1177" s="18"/>
      <c r="O1177" s="18"/>
      <c r="P1177" s="18"/>
    </row>
    <row r="1178">
      <c r="A1178" s="18"/>
      <c r="B1178" s="18"/>
      <c r="C1178" s="18"/>
      <c r="D1178" s="18"/>
      <c r="E1178" s="18"/>
      <c r="F1178" s="18"/>
      <c r="G1178" s="18"/>
      <c r="H1178" s="18"/>
      <c r="I1178" s="19"/>
      <c r="J1178" s="19"/>
      <c r="K1178" s="19"/>
      <c r="L1178" s="18"/>
      <c r="M1178" s="18"/>
      <c r="N1178" s="18"/>
      <c r="O1178" s="18"/>
      <c r="P1178" s="18"/>
    </row>
    <row r="1179">
      <c r="A1179" s="18"/>
      <c r="B1179" s="18"/>
      <c r="C1179" s="18"/>
      <c r="D1179" s="18"/>
      <c r="E1179" s="18"/>
      <c r="F1179" s="18"/>
      <c r="G1179" s="18"/>
      <c r="H1179" s="18"/>
      <c r="I1179" s="19"/>
      <c r="J1179" s="19"/>
      <c r="K1179" s="19"/>
      <c r="L1179" s="18"/>
      <c r="M1179" s="18"/>
      <c r="N1179" s="18"/>
      <c r="O1179" s="18"/>
      <c r="P1179" s="18"/>
    </row>
    <row r="1180">
      <c r="A1180" s="18"/>
      <c r="B1180" s="18"/>
      <c r="C1180" s="18"/>
      <c r="D1180" s="18"/>
      <c r="E1180" s="18"/>
      <c r="F1180" s="18"/>
      <c r="G1180" s="18"/>
      <c r="H1180" s="18"/>
      <c r="I1180" s="19"/>
      <c r="J1180" s="19"/>
      <c r="K1180" s="19"/>
      <c r="L1180" s="18"/>
      <c r="M1180" s="18"/>
      <c r="N1180" s="18"/>
      <c r="O1180" s="18"/>
      <c r="P1180" s="18"/>
    </row>
    <row r="1181">
      <c r="A1181" s="18"/>
      <c r="B1181" s="18"/>
      <c r="C1181" s="18"/>
      <c r="D1181" s="18"/>
      <c r="E1181" s="18"/>
      <c r="F1181" s="18"/>
      <c r="G1181" s="18"/>
      <c r="H1181" s="18"/>
      <c r="I1181" s="19"/>
      <c r="J1181" s="19"/>
      <c r="K1181" s="19"/>
      <c r="L1181" s="18"/>
      <c r="M1181" s="18"/>
      <c r="N1181" s="18"/>
      <c r="O1181" s="18"/>
      <c r="P1181" s="18"/>
    </row>
    <row r="1182">
      <c r="A1182" s="18"/>
      <c r="B1182" s="18"/>
      <c r="C1182" s="18"/>
      <c r="D1182" s="18"/>
      <c r="E1182" s="18"/>
      <c r="F1182" s="18"/>
      <c r="G1182" s="18"/>
      <c r="H1182" s="18"/>
      <c r="I1182" s="19"/>
      <c r="J1182" s="19"/>
      <c r="K1182" s="19"/>
      <c r="L1182" s="18"/>
      <c r="M1182" s="18"/>
      <c r="N1182" s="18"/>
      <c r="O1182" s="18"/>
      <c r="P1182" s="18"/>
    </row>
    <row r="1183">
      <c r="A1183" s="18"/>
      <c r="B1183" s="18"/>
      <c r="C1183" s="18"/>
      <c r="D1183" s="18"/>
      <c r="E1183" s="18"/>
      <c r="F1183" s="18"/>
      <c r="G1183" s="18"/>
      <c r="H1183" s="18"/>
      <c r="I1183" s="19"/>
      <c r="J1183" s="19"/>
      <c r="K1183" s="19"/>
      <c r="L1183" s="18"/>
      <c r="M1183" s="18"/>
      <c r="N1183" s="18"/>
      <c r="O1183" s="18"/>
      <c r="P1183" s="18"/>
    </row>
    <row r="1184">
      <c r="A1184" s="18"/>
      <c r="B1184" s="18"/>
      <c r="C1184" s="18"/>
      <c r="D1184" s="18"/>
      <c r="E1184" s="18"/>
      <c r="F1184" s="18"/>
      <c r="G1184" s="18"/>
      <c r="H1184" s="18"/>
      <c r="I1184" s="19"/>
      <c r="J1184" s="19"/>
      <c r="K1184" s="19"/>
      <c r="L1184" s="18"/>
      <c r="M1184" s="18"/>
      <c r="N1184" s="18"/>
      <c r="O1184" s="18"/>
      <c r="P1184" s="18"/>
    </row>
    <row r="1185">
      <c r="A1185" s="18"/>
      <c r="B1185" s="18"/>
      <c r="C1185" s="18"/>
      <c r="D1185" s="18"/>
      <c r="E1185" s="18"/>
      <c r="F1185" s="18"/>
      <c r="G1185" s="18"/>
      <c r="H1185" s="18"/>
      <c r="I1185" s="19"/>
      <c r="J1185" s="19"/>
      <c r="K1185" s="19"/>
      <c r="L1185" s="18"/>
      <c r="M1185" s="18"/>
      <c r="N1185" s="18"/>
      <c r="O1185" s="18"/>
      <c r="P1185" s="18"/>
    </row>
    <row r="1186">
      <c r="A1186" s="18"/>
      <c r="B1186" s="18"/>
      <c r="C1186" s="18"/>
      <c r="D1186" s="18"/>
      <c r="E1186" s="18"/>
      <c r="F1186" s="18"/>
      <c r="G1186" s="18"/>
      <c r="H1186" s="18"/>
      <c r="I1186" s="19"/>
      <c r="J1186" s="19"/>
      <c r="K1186" s="19"/>
      <c r="L1186" s="18"/>
      <c r="M1186" s="18"/>
      <c r="N1186" s="18"/>
      <c r="O1186" s="18"/>
      <c r="P1186" s="18"/>
    </row>
    <row r="1187">
      <c r="A1187" s="18"/>
      <c r="B1187" s="18"/>
      <c r="C1187" s="18"/>
      <c r="D1187" s="18"/>
      <c r="E1187" s="18"/>
      <c r="F1187" s="18"/>
      <c r="G1187" s="18"/>
      <c r="H1187" s="18"/>
      <c r="I1187" s="19"/>
      <c r="J1187" s="19"/>
      <c r="K1187" s="19"/>
      <c r="L1187" s="18"/>
      <c r="M1187" s="18"/>
      <c r="N1187" s="18"/>
      <c r="O1187" s="18"/>
      <c r="P1187" s="18"/>
    </row>
    <row r="1188">
      <c r="A1188" s="18"/>
      <c r="B1188" s="18"/>
      <c r="C1188" s="18"/>
      <c r="D1188" s="18"/>
      <c r="E1188" s="18"/>
      <c r="F1188" s="18"/>
      <c r="G1188" s="18"/>
      <c r="H1188" s="18"/>
      <c r="I1188" s="19"/>
      <c r="J1188" s="19"/>
      <c r="K1188" s="19"/>
      <c r="L1188" s="18"/>
      <c r="M1188" s="18"/>
      <c r="N1188" s="18"/>
      <c r="O1188" s="18"/>
      <c r="P1188" s="18"/>
    </row>
    <row r="1189">
      <c r="A1189" s="18"/>
      <c r="B1189" s="18"/>
      <c r="C1189" s="18"/>
      <c r="D1189" s="18"/>
      <c r="E1189" s="18"/>
      <c r="F1189" s="18"/>
      <c r="G1189" s="18"/>
      <c r="H1189" s="18"/>
      <c r="I1189" s="19"/>
      <c r="J1189" s="19"/>
      <c r="K1189" s="19"/>
      <c r="L1189" s="18"/>
      <c r="M1189" s="18"/>
      <c r="N1189" s="18"/>
      <c r="O1189" s="18"/>
      <c r="P1189" s="18"/>
    </row>
    <row r="1190">
      <c r="A1190" s="18"/>
      <c r="B1190" s="18"/>
      <c r="C1190" s="18"/>
      <c r="D1190" s="18"/>
      <c r="E1190" s="18"/>
      <c r="F1190" s="18"/>
      <c r="G1190" s="18"/>
      <c r="H1190" s="18"/>
      <c r="I1190" s="19"/>
      <c r="J1190" s="19"/>
      <c r="K1190" s="19"/>
      <c r="L1190" s="18"/>
      <c r="M1190" s="18"/>
      <c r="N1190" s="18"/>
      <c r="O1190" s="18"/>
      <c r="P1190" s="18"/>
    </row>
    <row r="1191">
      <c r="A1191" s="18"/>
      <c r="B1191" s="18"/>
      <c r="C1191" s="18"/>
      <c r="D1191" s="18"/>
      <c r="E1191" s="18"/>
      <c r="F1191" s="18"/>
      <c r="G1191" s="18"/>
      <c r="H1191" s="18"/>
      <c r="I1191" s="19"/>
      <c r="J1191" s="19"/>
      <c r="K1191" s="19"/>
      <c r="L1191" s="18"/>
      <c r="M1191" s="18"/>
      <c r="N1191" s="18"/>
      <c r="O1191" s="18"/>
      <c r="P1191" s="18"/>
    </row>
    <row r="1192">
      <c r="A1192" s="18"/>
      <c r="B1192" s="18"/>
      <c r="C1192" s="18"/>
      <c r="D1192" s="18"/>
      <c r="E1192" s="18"/>
      <c r="F1192" s="18"/>
      <c r="G1192" s="18"/>
      <c r="H1192" s="18"/>
      <c r="I1192" s="19"/>
      <c r="J1192" s="19"/>
      <c r="K1192" s="19"/>
      <c r="L1192" s="18"/>
      <c r="M1192" s="18"/>
      <c r="N1192" s="18"/>
      <c r="O1192" s="18"/>
      <c r="P1192" s="18"/>
    </row>
    <row r="1193">
      <c r="A1193" s="18"/>
      <c r="B1193" s="18"/>
      <c r="C1193" s="18"/>
      <c r="D1193" s="18"/>
      <c r="E1193" s="18"/>
      <c r="F1193" s="18"/>
      <c r="G1193" s="18"/>
      <c r="H1193" s="18"/>
      <c r="I1193" s="19"/>
      <c r="J1193" s="19"/>
      <c r="K1193" s="19"/>
      <c r="L1193" s="18"/>
      <c r="M1193" s="18"/>
      <c r="N1193" s="18"/>
      <c r="O1193" s="18"/>
      <c r="P1193" s="18"/>
    </row>
    <row r="1194">
      <c r="A1194" s="18"/>
      <c r="B1194" s="18"/>
      <c r="C1194" s="18"/>
      <c r="D1194" s="18"/>
      <c r="E1194" s="18"/>
      <c r="F1194" s="18"/>
      <c r="G1194" s="18"/>
      <c r="H1194" s="18"/>
      <c r="I1194" s="19"/>
      <c r="J1194" s="19"/>
      <c r="K1194" s="19"/>
      <c r="L1194" s="18"/>
      <c r="M1194" s="18"/>
      <c r="N1194" s="18"/>
      <c r="O1194" s="18"/>
      <c r="P1194" s="18"/>
    </row>
    <row r="1195">
      <c r="A1195" s="18"/>
      <c r="B1195" s="18"/>
      <c r="C1195" s="18"/>
      <c r="D1195" s="18"/>
      <c r="E1195" s="18"/>
      <c r="F1195" s="18"/>
      <c r="G1195" s="18"/>
      <c r="H1195" s="18"/>
      <c r="I1195" s="19"/>
      <c r="J1195" s="19"/>
      <c r="K1195" s="19"/>
      <c r="L1195" s="18"/>
      <c r="M1195" s="18"/>
      <c r="N1195" s="18"/>
      <c r="O1195" s="18"/>
      <c r="P1195" s="18"/>
    </row>
    <row r="1196">
      <c r="A1196" s="18"/>
      <c r="B1196" s="18"/>
      <c r="C1196" s="18"/>
      <c r="D1196" s="18"/>
      <c r="E1196" s="18"/>
      <c r="F1196" s="18"/>
      <c r="G1196" s="18"/>
      <c r="H1196" s="18"/>
      <c r="I1196" s="19"/>
      <c r="J1196" s="19"/>
      <c r="K1196" s="19"/>
      <c r="L1196" s="18"/>
      <c r="M1196" s="18"/>
      <c r="N1196" s="18"/>
      <c r="O1196" s="18"/>
      <c r="P1196" s="18"/>
    </row>
    <row r="1197">
      <c r="A1197" s="18"/>
      <c r="B1197" s="18"/>
      <c r="C1197" s="18"/>
      <c r="D1197" s="18"/>
      <c r="E1197" s="18"/>
      <c r="F1197" s="18"/>
      <c r="G1197" s="18"/>
      <c r="H1197" s="18"/>
      <c r="I1197" s="19"/>
      <c r="J1197" s="19"/>
      <c r="K1197" s="19"/>
      <c r="L1197" s="18"/>
      <c r="M1197" s="18"/>
      <c r="N1197" s="18"/>
      <c r="O1197" s="18"/>
      <c r="P1197" s="18"/>
    </row>
    <row r="1198">
      <c r="A1198" s="18"/>
      <c r="B1198" s="18"/>
      <c r="C1198" s="18"/>
      <c r="D1198" s="18"/>
      <c r="E1198" s="18"/>
      <c r="F1198" s="18"/>
      <c r="G1198" s="18"/>
      <c r="H1198" s="18"/>
      <c r="I1198" s="19"/>
      <c r="J1198" s="19"/>
      <c r="K1198" s="19"/>
      <c r="L1198" s="18"/>
      <c r="M1198" s="18"/>
      <c r="N1198" s="18"/>
      <c r="O1198" s="18"/>
      <c r="P1198" s="18"/>
    </row>
    <row r="1199">
      <c r="A1199" s="18"/>
      <c r="B1199" s="18"/>
      <c r="C1199" s="18"/>
      <c r="D1199" s="18"/>
      <c r="E1199" s="18"/>
      <c r="F1199" s="18"/>
      <c r="G1199" s="18"/>
      <c r="H1199" s="18"/>
      <c r="I1199" s="19"/>
      <c r="J1199" s="19"/>
      <c r="K1199" s="19"/>
      <c r="L1199" s="18"/>
      <c r="M1199" s="18"/>
      <c r="N1199" s="18"/>
      <c r="O1199" s="18"/>
      <c r="P1199" s="18"/>
    </row>
    <row r="1200">
      <c r="A1200" s="18"/>
      <c r="B1200" s="18"/>
      <c r="C1200" s="18"/>
      <c r="D1200" s="18"/>
      <c r="E1200" s="18"/>
      <c r="F1200" s="18"/>
      <c r="G1200" s="18"/>
      <c r="H1200" s="18"/>
      <c r="I1200" s="19"/>
      <c r="J1200" s="19"/>
      <c r="K1200" s="19"/>
      <c r="L1200" s="18"/>
      <c r="M1200" s="18"/>
      <c r="N1200" s="18"/>
      <c r="O1200" s="18"/>
      <c r="P1200" s="18"/>
    </row>
    <row r="1201">
      <c r="A1201" s="18"/>
      <c r="B1201" s="18"/>
      <c r="C1201" s="18"/>
      <c r="D1201" s="18"/>
      <c r="E1201" s="18"/>
      <c r="F1201" s="18"/>
      <c r="G1201" s="18"/>
      <c r="H1201" s="18"/>
      <c r="I1201" s="19"/>
      <c r="J1201" s="19"/>
      <c r="K1201" s="19"/>
      <c r="L1201" s="18"/>
      <c r="M1201" s="18"/>
      <c r="N1201" s="18"/>
      <c r="O1201" s="18"/>
      <c r="P1201" s="18"/>
    </row>
    <row r="1202">
      <c r="A1202" s="18"/>
      <c r="B1202" s="18"/>
      <c r="C1202" s="18"/>
      <c r="D1202" s="18"/>
      <c r="E1202" s="18"/>
      <c r="F1202" s="18"/>
      <c r="G1202" s="18"/>
      <c r="H1202" s="18"/>
      <c r="I1202" s="19"/>
      <c r="J1202" s="19"/>
      <c r="K1202" s="19"/>
      <c r="L1202" s="18"/>
      <c r="M1202" s="18"/>
      <c r="N1202" s="18"/>
      <c r="O1202" s="18"/>
      <c r="P1202" s="18"/>
    </row>
    <row r="1203">
      <c r="A1203" s="18"/>
      <c r="B1203" s="18"/>
      <c r="C1203" s="18"/>
      <c r="D1203" s="18"/>
      <c r="E1203" s="18"/>
      <c r="F1203" s="18"/>
      <c r="G1203" s="18"/>
      <c r="H1203" s="18"/>
      <c r="I1203" s="19"/>
      <c r="J1203" s="19"/>
      <c r="K1203" s="19"/>
      <c r="L1203" s="18"/>
      <c r="M1203" s="18"/>
      <c r="N1203" s="18"/>
      <c r="O1203" s="18"/>
      <c r="P1203" s="18"/>
    </row>
    <row r="1204">
      <c r="A1204" s="18"/>
      <c r="B1204" s="18"/>
      <c r="C1204" s="18"/>
      <c r="D1204" s="18"/>
      <c r="E1204" s="18"/>
      <c r="F1204" s="18"/>
      <c r="G1204" s="18"/>
      <c r="H1204" s="18"/>
      <c r="I1204" s="19"/>
      <c r="J1204" s="19"/>
      <c r="K1204" s="19"/>
      <c r="L1204" s="18"/>
      <c r="M1204" s="18"/>
      <c r="N1204" s="18"/>
      <c r="O1204" s="18"/>
      <c r="P1204" s="18"/>
    </row>
    <row r="1205">
      <c r="A1205" s="18"/>
      <c r="B1205" s="18"/>
      <c r="C1205" s="18"/>
      <c r="D1205" s="18"/>
      <c r="E1205" s="18"/>
      <c r="F1205" s="18"/>
      <c r="G1205" s="18"/>
      <c r="H1205" s="18"/>
      <c r="I1205" s="19"/>
      <c r="J1205" s="19"/>
      <c r="K1205" s="19"/>
      <c r="L1205" s="18"/>
      <c r="M1205" s="18"/>
      <c r="N1205" s="18"/>
      <c r="O1205" s="18"/>
      <c r="P1205" s="18"/>
    </row>
    <row r="1206">
      <c r="A1206" s="18"/>
      <c r="B1206" s="18"/>
      <c r="C1206" s="18"/>
      <c r="D1206" s="18"/>
      <c r="E1206" s="18"/>
      <c r="F1206" s="18"/>
      <c r="G1206" s="18"/>
      <c r="H1206" s="18"/>
      <c r="I1206" s="19"/>
      <c r="J1206" s="19"/>
      <c r="K1206" s="19"/>
      <c r="L1206" s="18"/>
      <c r="M1206" s="18"/>
      <c r="N1206" s="18"/>
      <c r="O1206" s="18"/>
      <c r="P1206" s="18"/>
    </row>
    <row r="1207">
      <c r="A1207" s="18"/>
      <c r="B1207" s="18"/>
      <c r="C1207" s="18"/>
      <c r="D1207" s="18"/>
      <c r="E1207" s="18"/>
      <c r="F1207" s="18"/>
      <c r="G1207" s="18"/>
      <c r="H1207" s="18"/>
      <c r="I1207" s="19"/>
      <c r="J1207" s="19"/>
      <c r="K1207" s="19"/>
      <c r="L1207" s="18"/>
      <c r="M1207" s="18"/>
      <c r="N1207" s="18"/>
      <c r="O1207" s="18"/>
      <c r="P1207" s="18"/>
    </row>
    <row r="1208">
      <c r="A1208" s="18"/>
      <c r="B1208" s="18"/>
      <c r="C1208" s="18"/>
      <c r="D1208" s="18"/>
      <c r="E1208" s="18"/>
      <c r="F1208" s="18"/>
      <c r="G1208" s="18"/>
      <c r="H1208" s="18"/>
      <c r="I1208" s="19"/>
      <c r="J1208" s="19"/>
      <c r="K1208" s="19"/>
      <c r="L1208" s="18"/>
      <c r="M1208" s="18"/>
      <c r="N1208" s="18"/>
      <c r="O1208" s="18"/>
      <c r="P1208" s="18"/>
    </row>
    <row r="1209">
      <c r="A1209" s="18"/>
      <c r="B1209" s="18"/>
      <c r="C1209" s="18"/>
      <c r="D1209" s="18"/>
      <c r="E1209" s="18"/>
      <c r="F1209" s="18"/>
      <c r="G1209" s="18"/>
      <c r="H1209" s="18"/>
      <c r="I1209" s="19"/>
      <c r="J1209" s="19"/>
      <c r="K1209" s="19"/>
      <c r="L1209" s="18"/>
      <c r="M1209" s="18"/>
      <c r="N1209" s="18"/>
      <c r="O1209" s="18"/>
      <c r="P1209" s="18"/>
    </row>
    <row r="1210">
      <c r="A1210" s="18"/>
      <c r="B1210" s="18"/>
      <c r="C1210" s="18"/>
      <c r="D1210" s="18"/>
      <c r="E1210" s="18"/>
      <c r="F1210" s="18"/>
      <c r="G1210" s="18"/>
      <c r="H1210" s="18"/>
      <c r="I1210" s="19"/>
      <c r="J1210" s="19"/>
      <c r="K1210" s="19"/>
      <c r="L1210" s="18"/>
      <c r="M1210" s="18"/>
      <c r="N1210" s="18"/>
      <c r="O1210" s="18"/>
      <c r="P1210" s="18"/>
    </row>
    <row r="1211">
      <c r="A1211" s="18"/>
      <c r="B1211" s="18"/>
      <c r="C1211" s="18"/>
      <c r="D1211" s="18"/>
      <c r="E1211" s="18"/>
      <c r="F1211" s="18"/>
      <c r="G1211" s="18"/>
      <c r="H1211" s="18"/>
      <c r="I1211" s="19"/>
      <c r="J1211" s="19"/>
      <c r="K1211" s="19"/>
      <c r="L1211" s="18"/>
      <c r="M1211" s="18"/>
      <c r="N1211" s="18"/>
      <c r="O1211" s="18"/>
      <c r="P1211" s="18"/>
    </row>
    <row r="1212">
      <c r="A1212" s="18"/>
      <c r="B1212" s="18"/>
      <c r="C1212" s="18"/>
      <c r="D1212" s="18"/>
      <c r="E1212" s="18"/>
      <c r="F1212" s="18"/>
      <c r="G1212" s="18"/>
      <c r="H1212" s="18"/>
      <c r="I1212" s="19"/>
      <c r="J1212" s="19"/>
      <c r="K1212" s="19"/>
      <c r="L1212" s="18"/>
      <c r="M1212" s="18"/>
      <c r="N1212" s="18"/>
      <c r="O1212" s="18"/>
      <c r="P1212" s="18"/>
    </row>
    <row r="1213">
      <c r="A1213" s="18"/>
      <c r="B1213" s="18"/>
      <c r="C1213" s="18"/>
      <c r="D1213" s="18"/>
      <c r="E1213" s="18"/>
      <c r="F1213" s="18"/>
      <c r="G1213" s="18"/>
      <c r="H1213" s="18"/>
      <c r="I1213" s="19"/>
      <c r="J1213" s="19"/>
      <c r="K1213" s="19"/>
      <c r="L1213" s="18"/>
      <c r="M1213" s="18"/>
      <c r="N1213" s="18"/>
      <c r="O1213" s="18"/>
      <c r="P1213" s="18"/>
    </row>
    <row r="1214">
      <c r="A1214" s="18"/>
      <c r="B1214" s="18"/>
      <c r="C1214" s="18"/>
      <c r="D1214" s="18"/>
      <c r="E1214" s="18"/>
      <c r="F1214" s="18"/>
      <c r="G1214" s="18"/>
      <c r="H1214" s="18"/>
      <c r="I1214" s="19"/>
      <c r="J1214" s="19"/>
      <c r="K1214" s="19"/>
      <c r="L1214" s="18"/>
      <c r="M1214" s="18"/>
      <c r="N1214" s="18"/>
      <c r="O1214" s="18"/>
      <c r="P1214" s="18"/>
    </row>
    <row r="1215">
      <c r="A1215" s="18"/>
      <c r="B1215" s="18"/>
      <c r="C1215" s="18"/>
      <c r="D1215" s="18"/>
      <c r="E1215" s="18"/>
      <c r="F1215" s="18"/>
      <c r="G1215" s="18"/>
      <c r="H1215" s="18"/>
      <c r="I1215" s="19"/>
      <c r="J1215" s="19"/>
      <c r="K1215" s="19"/>
      <c r="L1215" s="18"/>
      <c r="M1215" s="18"/>
      <c r="N1215" s="18"/>
      <c r="O1215" s="18"/>
      <c r="P1215" s="18"/>
    </row>
    <row r="1216">
      <c r="A1216" s="18"/>
      <c r="B1216" s="18"/>
      <c r="C1216" s="18"/>
      <c r="D1216" s="18"/>
      <c r="E1216" s="18"/>
      <c r="F1216" s="18"/>
      <c r="G1216" s="18"/>
      <c r="H1216" s="18"/>
      <c r="I1216" s="19"/>
      <c r="J1216" s="19"/>
      <c r="K1216" s="19"/>
      <c r="L1216" s="18"/>
      <c r="M1216" s="18"/>
      <c r="N1216" s="18"/>
      <c r="O1216" s="18"/>
      <c r="P1216" s="18"/>
    </row>
    <row r="1217">
      <c r="A1217" s="18"/>
      <c r="B1217" s="18"/>
      <c r="C1217" s="18"/>
      <c r="D1217" s="18"/>
      <c r="E1217" s="18"/>
      <c r="F1217" s="18"/>
      <c r="G1217" s="18"/>
      <c r="H1217" s="18"/>
      <c r="I1217" s="19"/>
      <c r="J1217" s="19"/>
      <c r="K1217" s="19"/>
      <c r="L1217" s="18"/>
      <c r="M1217" s="18"/>
      <c r="N1217" s="18"/>
      <c r="O1217" s="18"/>
      <c r="P1217" s="18"/>
    </row>
    <row r="1218">
      <c r="A1218" s="18"/>
      <c r="B1218" s="18"/>
      <c r="C1218" s="18"/>
      <c r="D1218" s="18"/>
      <c r="E1218" s="18"/>
      <c r="F1218" s="18"/>
      <c r="G1218" s="18"/>
      <c r="H1218" s="18"/>
      <c r="I1218" s="19"/>
      <c r="J1218" s="19"/>
      <c r="K1218" s="19"/>
      <c r="L1218" s="18"/>
      <c r="M1218" s="18"/>
      <c r="N1218" s="18"/>
      <c r="O1218" s="18"/>
      <c r="P1218" s="18"/>
    </row>
    <row r="1219">
      <c r="A1219" s="18"/>
      <c r="B1219" s="18"/>
      <c r="C1219" s="18"/>
      <c r="D1219" s="18"/>
      <c r="E1219" s="18"/>
      <c r="F1219" s="18"/>
      <c r="G1219" s="18"/>
      <c r="H1219" s="18"/>
      <c r="I1219" s="19"/>
      <c r="J1219" s="19"/>
      <c r="K1219" s="19"/>
      <c r="L1219" s="18"/>
      <c r="M1219" s="18"/>
      <c r="N1219" s="18"/>
      <c r="O1219" s="18"/>
      <c r="P1219" s="18"/>
    </row>
    <row r="1220">
      <c r="A1220" s="18"/>
      <c r="B1220" s="18"/>
      <c r="C1220" s="18"/>
      <c r="D1220" s="18"/>
      <c r="E1220" s="18"/>
      <c r="F1220" s="18"/>
      <c r="G1220" s="18"/>
      <c r="H1220" s="18"/>
      <c r="I1220" s="19"/>
      <c r="J1220" s="19"/>
      <c r="K1220" s="19"/>
      <c r="L1220" s="18"/>
      <c r="M1220" s="18"/>
      <c r="N1220" s="18"/>
      <c r="O1220" s="18"/>
      <c r="P1220" s="18"/>
    </row>
    <row r="1221">
      <c r="A1221" s="18"/>
      <c r="B1221" s="18"/>
      <c r="C1221" s="18"/>
      <c r="D1221" s="18"/>
      <c r="E1221" s="18"/>
      <c r="F1221" s="18"/>
      <c r="G1221" s="18"/>
      <c r="H1221" s="18"/>
      <c r="I1221" s="19"/>
      <c r="J1221" s="19"/>
      <c r="K1221" s="19"/>
      <c r="L1221" s="18"/>
      <c r="M1221" s="18"/>
      <c r="N1221" s="18"/>
      <c r="O1221" s="18"/>
      <c r="P1221" s="18"/>
    </row>
    <row r="1222">
      <c r="A1222" s="18"/>
      <c r="B1222" s="18"/>
      <c r="C1222" s="18"/>
      <c r="D1222" s="18"/>
      <c r="E1222" s="18"/>
      <c r="F1222" s="18"/>
      <c r="G1222" s="18"/>
      <c r="H1222" s="18"/>
      <c r="I1222" s="19"/>
      <c r="J1222" s="19"/>
      <c r="K1222" s="19"/>
      <c r="L1222" s="18"/>
      <c r="M1222" s="18"/>
      <c r="N1222" s="18"/>
      <c r="O1222" s="18"/>
      <c r="P1222" s="18"/>
    </row>
    <row r="1223">
      <c r="A1223" s="18"/>
      <c r="B1223" s="18"/>
      <c r="C1223" s="18"/>
      <c r="D1223" s="18"/>
      <c r="E1223" s="18"/>
      <c r="F1223" s="18"/>
      <c r="G1223" s="18"/>
      <c r="H1223" s="18"/>
      <c r="I1223" s="19"/>
      <c r="J1223" s="19"/>
      <c r="K1223" s="19"/>
      <c r="L1223" s="18"/>
      <c r="M1223" s="18"/>
      <c r="N1223" s="18"/>
      <c r="O1223" s="18"/>
      <c r="P1223" s="18"/>
    </row>
    <row r="1224">
      <c r="A1224" s="18"/>
      <c r="B1224" s="18"/>
      <c r="C1224" s="18"/>
      <c r="D1224" s="18"/>
      <c r="E1224" s="18"/>
      <c r="F1224" s="18"/>
      <c r="G1224" s="18"/>
      <c r="H1224" s="18"/>
      <c r="I1224" s="19"/>
      <c r="J1224" s="19"/>
      <c r="K1224" s="19"/>
      <c r="L1224" s="18"/>
      <c r="M1224" s="18"/>
      <c r="N1224" s="18"/>
      <c r="O1224" s="18"/>
      <c r="P1224" s="18"/>
    </row>
    <row r="1225">
      <c r="A1225" s="18"/>
      <c r="B1225" s="18"/>
      <c r="C1225" s="18"/>
      <c r="D1225" s="18"/>
      <c r="E1225" s="18"/>
      <c r="F1225" s="18"/>
      <c r="G1225" s="18"/>
      <c r="H1225" s="18"/>
      <c r="I1225" s="19"/>
      <c r="J1225" s="19"/>
      <c r="K1225" s="19"/>
      <c r="L1225" s="18"/>
      <c r="M1225" s="18"/>
      <c r="N1225" s="18"/>
      <c r="O1225" s="18"/>
      <c r="P1225" s="18"/>
    </row>
    <row r="1226">
      <c r="A1226" s="18"/>
      <c r="B1226" s="18"/>
      <c r="C1226" s="18"/>
      <c r="D1226" s="18"/>
      <c r="E1226" s="18"/>
      <c r="F1226" s="18"/>
      <c r="G1226" s="18"/>
      <c r="H1226" s="18"/>
      <c r="I1226" s="19"/>
      <c r="J1226" s="19"/>
      <c r="K1226" s="19"/>
      <c r="L1226" s="18"/>
      <c r="M1226" s="18"/>
      <c r="N1226" s="18"/>
      <c r="O1226" s="18"/>
      <c r="P1226" s="18"/>
    </row>
    <row r="1227">
      <c r="A1227" s="18"/>
      <c r="B1227" s="18"/>
      <c r="C1227" s="18"/>
      <c r="D1227" s="18"/>
      <c r="E1227" s="18"/>
      <c r="F1227" s="18"/>
      <c r="G1227" s="18"/>
      <c r="H1227" s="18"/>
      <c r="I1227" s="19"/>
      <c r="J1227" s="19"/>
      <c r="K1227" s="19"/>
      <c r="L1227" s="18"/>
      <c r="M1227" s="18"/>
      <c r="N1227" s="18"/>
      <c r="O1227" s="18"/>
      <c r="P1227" s="18"/>
    </row>
    <row r="1228">
      <c r="A1228" s="18"/>
      <c r="B1228" s="18"/>
      <c r="C1228" s="18"/>
      <c r="D1228" s="18"/>
      <c r="E1228" s="18"/>
      <c r="F1228" s="18"/>
      <c r="G1228" s="18"/>
      <c r="H1228" s="18"/>
      <c r="I1228" s="19"/>
      <c r="J1228" s="19"/>
      <c r="K1228" s="19"/>
      <c r="L1228" s="18"/>
      <c r="M1228" s="18"/>
      <c r="N1228" s="18"/>
      <c r="O1228" s="18"/>
      <c r="P1228" s="18"/>
    </row>
    <row r="1229">
      <c r="A1229" s="18"/>
      <c r="B1229" s="18"/>
      <c r="C1229" s="18"/>
      <c r="D1229" s="18"/>
      <c r="E1229" s="18"/>
      <c r="F1229" s="18"/>
      <c r="G1229" s="18"/>
      <c r="H1229" s="18"/>
      <c r="I1229" s="19"/>
      <c r="J1229" s="19"/>
      <c r="K1229" s="19"/>
      <c r="L1229" s="18"/>
      <c r="M1229" s="18"/>
      <c r="N1229" s="18"/>
      <c r="O1229" s="18"/>
      <c r="P1229" s="18"/>
    </row>
    <row r="1230">
      <c r="A1230" s="18"/>
      <c r="B1230" s="18"/>
      <c r="C1230" s="18"/>
      <c r="D1230" s="18"/>
      <c r="E1230" s="18"/>
      <c r="F1230" s="18"/>
      <c r="G1230" s="18"/>
      <c r="H1230" s="18"/>
      <c r="I1230" s="19"/>
      <c r="J1230" s="19"/>
      <c r="K1230" s="19"/>
      <c r="L1230" s="18"/>
      <c r="M1230" s="18"/>
      <c r="N1230" s="18"/>
      <c r="O1230" s="18"/>
      <c r="P1230" s="18"/>
    </row>
    <row r="1231">
      <c r="A1231" s="18"/>
      <c r="B1231" s="18"/>
      <c r="C1231" s="18"/>
      <c r="D1231" s="18"/>
      <c r="E1231" s="18"/>
      <c r="F1231" s="18"/>
      <c r="G1231" s="18"/>
      <c r="H1231" s="18"/>
      <c r="I1231" s="19"/>
      <c r="J1231" s="19"/>
      <c r="K1231" s="19"/>
      <c r="L1231" s="18"/>
      <c r="M1231" s="18"/>
      <c r="N1231" s="18"/>
      <c r="O1231" s="18"/>
      <c r="P1231" s="18"/>
    </row>
    <row r="1232">
      <c r="A1232" s="18"/>
      <c r="B1232" s="18"/>
      <c r="C1232" s="18"/>
      <c r="D1232" s="18"/>
      <c r="E1232" s="18"/>
      <c r="F1232" s="18"/>
      <c r="G1232" s="18"/>
      <c r="H1232" s="18"/>
      <c r="I1232" s="19"/>
      <c r="J1232" s="19"/>
      <c r="K1232" s="19"/>
      <c r="L1232" s="18"/>
      <c r="M1232" s="18"/>
      <c r="N1232" s="18"/>
      <c r="O1232" s="18"/>
      <c r="P1232" s="18"/>
    </row>
    <row r="1233">
      <c r="A1233" s="18"/>
      <c r="B1233" s="18"/>
      <c r="C1233" s="18"/>
      <c r="D1233" s="18"/>
      <c r="E1233" s="18"/>
      <c r="F1233" s="18"/>
      <c r="G1233" s="18"/>
      <c r="H1233" s="18"/>
      <c r="I1233" s="19"/>
      <c r="J1233" s="19"/>
      <c r="K1233" s="19"/>
      <c r="L1233" s="18"/>
      <c r="M1233" s="18"/>
      <c r="N1233" s="18"/>
      <c r="O1233" s="18"/>
      <c r="P1233" s="18"/>
    </row>
    <row r="1234">
      <c r="A1234" s="18"/>
      <c r="B1234" s="18"/>
      <c r="C1234" s="18"/>
      <c r="D1234" s="18"/>
      <c r="E1234" s="18"/>
      <c r="F1234" s="18"/>
      <c r="G1234" s="18"/>
      <c r="H1234" s="18"/>
      <c r="I1234" s="19"/>
      <c r="J1234" s="19"/>
      <c r="K1234" s="19"/>
      <c r="L1234" s="18"/>
      <c r="M1234" s="18"/>
      <c r="N1234" s="18"/>
      <c r="O1234" s="18"/>
      <c r="P1234" s="18"/>
    </row>
    <row r="1235">
      <c r="A1235" s="18"/>
      <c r="B1235" s="18"/>
      <c r="C1235" s="18"/>
      <c r="D1235" s="18"/>
      <c r="E1235" s="18"/>
      <c r="F1235" s="18"/>
      <c r="G1235" s="18"/>
      <c r="H1235" s="18"/>
      <c r="I1235" s="19"/>
      <c r="J1235" s="19"/>
      <c r="K1235" s="19"/>
      <c r="L1235" s="18"/>
      <c r="M1235" s="18"/>
      <c r="N1235" s="18"/>
      <c r="O1235" s="18"/>
      <c r="P1235" s="18"/>
    </row>
    <row r="1236">
      <c r="A1236" s="18"/>
      <c r="B1236" s="18"/>
      <c r="C1236" s="18"/>
      <c r="D1236" s="18"/>
      <c r="E1236" s="18"/>
      <c r="F1236" s="18"/>
      <c r="G1236" s="18"/>
      <c r="H1236" s="18"/>
      <c r="I1236" s="19"/>
      <c r="J1236" s="19"/>
      <c r="K1236" s="19"/>
      <c r="L1236" s="18"/>
      <c r="M1236" s="18"/>
      <c r="N1236" s="18"/>
      <c r="O1236" s="18"/>
      <c r="P1236" s="18"/>
    </row>
    <row r="1237">
      <c r="A1237" s="18"/>
      <c r="B1237" s="18"/>
      <c r="C1237" s="18"/>
      <c r="D1237" s="18"/>
      <c r="E1237" s="18"/>
      <c r="F1237" s="18"/>
      <c r="G1237" s="18"/>
      <c r="H1237" s="18"/>
      <c r="I1237" s="19"/>
      <c r="J1237" s="19"/>
      <c r="K1237" s="19"/>
      <c r="L1237" s="18"/>
      <c r="M1237" s="18"/>
      <c r="N1237" s="18"/>
      <c r="O1237" s="18"/>
      <c r="P1237" s="18"/>
    </row>
    <row r="1238">
      <c r="A1238" s="18"/>
      <c r="B1238" s="18"/>
      <c r="C1238" s="18"/>
      <c r="D1238" s="18"/>
      <c r="E1238" s="18"/>
      <c r="F1238" s="18"/>
      <c r="G1238" s="18"/>
      <c r="H1238" s="18"/>
      <c r="I1238" s="19"/>
      <c r="J1238" s="19"/>
      <c r="K1238" s="19"/>
      <c r="L1238" s="18"/>
      <c r="M1238" s="18"/>
      <c r="N1238" s="18"/>
      <c r="O1238" s="18"/>
      <c r="P1238" s="18"/>
    </row>
    <row r="1239">
      <c r="A1239" s="18"/>
      <c r="B1239" s="18"/>
      <c r="C1239" s="18"/>
      <c r="D1239" s="18"/>
      <c r="E1239" s="18"/>
      <c r="F1239" s="18"/>
      <c r="G1239" s="18"/>
      <c r="H1239" s="18"/>
      <c r="I1239" s="19"/>
      <c r="J1239" s="19"/>
      <c r="K1239" s="19"/>
      <c r="L1239" s="18"/>
      <c r="M1239" s="18"/>
      <c r="N1239" s="18"/>
      <c r="O1239" s="18"/>
      <c r="P1239" s="18"/>
    </row>
    <row r="1240">
      <c r="A1240" s="18"/>
      <c r="B1240" s="18"/>
      <c r="C1240" s="18"/>
      <c r="D1240" s="18"/>
      <c r="E1240" s="18"/>
      <c r="F1240" s="18"/>
      <c r="G1240" s="18"/>
      <c r="H1240" s="18"/>
      <c r="I1240" s="19"/>
      <c r="J1240" s="19"/>
      <c r="K1240" s="19"/>
      <c r="L1240" s="18"/>
      <c r="M1240" s="18"/>
      <c r="N1240" s="18"/>
      <c r="O1240" s="18"/>
      <c r="P1240" s="18"/>
    </row>
    <row r="1241">
      <c r="A1241" s="18"/>
      <c r="B1241" s="18"/>
      <c r="C1241" s="18"/>
      <c r="D1241" s="18"/>
      <c r="E1241" s="18"/>
      <c r="F1241" s="18"/>
      <c r="G1241" s="18"/>
      <c r="H1241" s="18"/>
      <c r="I1241" s="19"/>
      <c r="J1241" s="19"/>
      <c r="K1241" s="19"/>
      <c r="L1241" s="18"/>
      <c r="M1241" s="18"/>
      <c r="N1241" s="18"/>
      <c r="O1241" s="18"/>
      <c r="P1241" s="18"/>
    </row>
    <row r="1242">
      <c r="A1242" s="18"/>
      <c r="B1242" s="18"/>
      <c r="C1242" s="18"/>
      <c r="D1242" s="18"/>
      <c r="E1242" s="18"/>
      <c r="F1242" s="18"/>
      <c r="G1242" s="18"/>
      <c r="H1242" s="18"/>
      <c r="I1242" s="19"/>
      <c r="J1242" s="19"/>
      <c r="K1242" s="19"/>
      <c r="L1242" s="18"/>
      <c r="M1242" s="18"/>
      <c r="N1242" s="18"/>
      <c r="O1242" s="18"/>
      <c r="P1242" s="18"/>
    </row>
    <row r="1243">
      <c r="A1243" s="18"/>
      <c r="B1243" s="18"/>
      <c r="C1243" s="18"/>
      <c r="D1243" s="18"/>
      <c r="E1243" s="18"/>
      <c r="F1243" s="18"/>
      <c r="G1243" s="18"/>
      <c r="H1243" s="18"/>
      <c r="I1243" s="19"/>
      <c r="J1243" s="19"/>
      <c r="K1243" s="19"/>
      <c r="L1243" s="18"/>
      <c r="M1243" s="18"/>
      <c r="N1243" s="18"/>
      <c r="O1243" s="18"/>
      <c r="P1243" s="18"/>
    </row>
    <row r="1244">
      <c r="A1244" s="18"/>
      <c r="B1244" s="18"/>
      <c r="C1244" s="18"/>
      <c r="D1244" s="18"/>
      <c r="E1244" s="18"/>
      <c r="F1244" s="18"/>
      <c r="G1244" s="18"/>
      <c r="H1244" s="18"/>
      <c r="I1244" s="19"/>
      <c r="J1244" s="19"/>
      <c r="K1244" s="19"/>
      <c r="L1244" s="18"/>
      <c r="M1244" s="18"/>
      <c r="N1244" s="18"/>
      <c r="O1244" s="18"/>
      <c r="P1244" s="18"/>
    </row>
    <row r="1245">
      <c r="A1245" s="18"/>
      <c r="B1245" s="18"/>
      <c r="C1245" s="18"/>
      <c r="D1245" s="18"/>
      <c r="E1245" s="18"/>
      <c r="F1245" s="18"/>
      <c r="G1245" s="18"/>
      <c r="H1245" s="18"/>
      <c r="I1245" s="19"/>
      <c r="J1245" s="19"/>
      <c r="K1245" s="19"/>
      <c r="L1245" s="18"/>
      <c r="M1245" s="18"/>
      <c r="N1245" s="18"/>
      <c r="O1245" s="18"/>
      <c r="P1245" s="18"/>
    </row>
    <row r="1246">
      <c r="A1246" s="18"/>
      <c r="B1246" s="18"/>
      <c r="C1246" s="18"/>
      <c r="D1246" s="18"/>
      <c r="E1246" s="18"/>
      <c r="F1246" s="18"/>
      <c r="G1246" s="18"/>
      <c r="H1246" s="18"/>
      <c r="I1246" s="19"/>
      <c r="J1246" s="19"/>
      <c r="K1246" s="19"/>
      <c r="L1246" s="18"/>
      <c r="M1246" s="18"/>
      <c r="N1246" s="18"/>
      <c r="O1246" s="18"/>
      <c r="P1246" s="18"/>
    </row>
    <row r="1247">
      <c r="A1247" s="18"/>
      <c r="B1247" s="18"/>
      <c r="C1247" s="18"/>
      <c r="D1247" s="18"/>
      <c r="E1247" s="18"/>
      <c r="F1247" s="18"/>
      <c r="G1247" s="18"/>
      <c r="H1247" s="18"/>
      <c r="I1247" s="19"/>
      <c r="J1247" s="19"/>
      <c r="K1247" s="19"/>
      <c r="L1247" s="18"/>
      <c r="M1247" s="18"/>
      <c r="N1247" s="18"/>
      <c r="O1247" s="18"/>
      <c r="P1247" s="18"/>
    </row>
    <row r="1248">
      <c r="A1248" s="18"/>
      <c r="B1248" s="18"/>
      <c r="C1248" s="18"/>
      <c r="D1248" s="18"/>
      <c r="E1248" s="18"/>
      <c r="F1248" s="18"/>
      <c r="G1248" s="18"/>
      <c r="H1248" s="18"/>
      <c r="I1248" s="19"/>
      <c r="J1248" s="19"/>
      <c r="K1248" s="19"/>
      <c r="L1248" s="18"/>
      <c r="M1248" s="18"/>
      <c r="N1248" s="18"/>
      <c r="O1248" s="18"/>
      <c r="P1248" s="18"/>
    </row>
    <row r="1249">
      <c r="A1249" s="18"/>
      <c r="B1249" s="18"/>
      <c r="C1249" s="18"/>
      <c r="D1249" s="18"/>
      <c r="E1249" s="18"/>
      <c r="F1249" s="18"/>
      <c r="G1249" s="18"/>
      <c r="H1249" s="18"/>
      <c r="I1249" s="19"/>
      <c r="J1249" s="19"/>
      <c r="K1249" s="19"/>
      <c r="L1249" s="18"/>
      <c r="M1249" s="18"/>
      <c r="N1249" s="18"/>
      <c r="O1249" s="18"/>
      <c r="P1249" s="18"/>
    </row>
    <row r="1250">
      <c r="A1250" s="18"/>
      <c r="B1250" s="18"/>
      <c r="C1250" s="18"/>
      <c r="D1250" s="18"/>
      <c r="E1250" s="18"/>
      <c r="F1250" s="18"/>
      <c r="G1250" s="18"/>
      <c r="H1250" s="18"/>
      <c r="I1250" s="19"/>
      <c r="J1250" s="19"/>
      <c r="K1250" s="19"/>
      <c r="L1250" s="18"/>
      <c r="M1250" s="18"/>
      <c r="N1250" s="18"/>
      <c r="O1250" s="18"/>
      <c r="P1250" s="18"/>
    </row>
    <row r="1251">
      <c r="A1251" s="18"/>
      <c r="B1251" s="18"/>
      <c r="C1251" s="18"/>
      <c r="D1251" s="18"/>
      <c r="E1251" s="18"/>
      <c r="F1251" s="18"/>
      <c r="G1251" s="18"/>
      <c r="H1251" s="18"/>
      <c r="I1251" s="19"/>
      <c r="J1251" s="19"/>
      <c r="K1251" s="19"/>
      <c r="L1251" s="18"/>
      <c r="M1251" s="18"/>
      <c r="N1251" s="18"/>
      <c r="O1251" s="18"/>
      <c r="P1251" s="18"/>
    </row>
    <row r="1252">
      <c r="A1252" s="18"/>
      <c r="B1252" s="18"/>
      <c r="C1252" s="18"/>
      <c r="D1252" s="18"/>
      <c r="E1252" s="18"/>
      <c r="F1252" s="18"/>
      <c r="G1252" s="18"/>
      <c r="H1252" s="18"/>
      <c r="I1252" s="19"/>
      <c r="J1252" s="19"/>
      <c r="K1252" s="19"/>
      <c r="L1252" s="18"/>
      <c r="M1252" s="18"/>
      <c r="N1252" s="18"/>
      <c r="O1252" s="18"/>
      <c r="P1252" s="18"/>
    </row>
    <row r="1253">
      <c r="A1253" s="18"/>
      <c r="B1253" s="18"/>
      <c r="C1253" s="18"/>
      <c r="D1253" s="18"/>
      <c r="E1253" s="18"/>
      <c r="F1253" s="18"/>
      <c r="G1253" s="18"/>
      <c r="H1253" s="18"/>
      <c r="I1253" s="19"/>
      <c r="J1253" s="19"/>
      <c r="K1253" s="19"/>
      <c r="L1253" s="18"/>
      <c r="M1253" s="18"/>
      <c r="N1253" s="18"/>
      <c r="O1253" s="18"/>
      <c r="P1253" s="18"/>
    </row>
    <row r="1254">
      <c r="A1254" s="18"/>
      <c r="B1254" s="18"/>
      <c r="C1254" s="18"/>
      <c r="D1254" s="18"/>
      <c r="E1254" s="18"/>
      <c r="F1254" s="18"/>
      <c r="G1254" s="18"/>
      <c r="H1254" s="18"/>
      <c r="I1254" s="19"/>
      <c r="J1254" s="19"/>
      <c r="K1254" s="19"/>
      <c r="L1254" s="18"/>
      <c r="M1254" s="18"/>
      <c r="N1254" s="18"/>
      <c r="O1254" s="18"/>
      <c r="P1254" s="18"/>
    </row>
    <row r="1255">
      <c r="A1255" s="18"/>
      <c r="B1255" s="18"/>
      <c r="C1255" s="18"/>
      <c r="D1255" s="18"/>
      <c r="E1255" s="18"/>
      <c r="F1255" s="18"/>
      <c r="G1255" s="18"/>
      <c r="H1255" s="18"/>
      <c r="I1255" s="19"/>
      <c r="J1255" s="19"/>
      <c r="K1255" s="19"/>
      <c r="L1255" s="18"/>
      <c r="M1255" s="18"/>
      <c r="N1255" s="18"/>
      <c r="O1255" s="18"/>
      <c r="P1255" s="18"/>
    </row>
    <row r="1256">
      <c r="A1256" s="18"/>
      <c r="B1256" s="18"/>
      <c r="C1256" s="18"/>
      <c r="D1256" s="18"/>
      <c r="E1256" s="18"/>
      <c r="F1256" s="18"/>
      <c r="G1256" s="18"/>
      <c r="H1256" s="18"/>
      <c r="I1256" s="19"/>
      <c r="J1256" s="19"/>
      <c r="K1256" s="19"/>
      <c r="L1256" s="18"/>
      <c r="M1256" s="18"/>
      <c r="N1256" s="18"/>
      <c r="O1256" s="18"/>
      <c r="P1256" s="18"/>
    </row>
    <row r="1257">
      <c r="A1257" s="18"/>
      <c r="B1257" s="18"/>
      <c r="C1257" s="18"/>
      <c r="D1257" s="18"/>
      <c r="E1257" s="18"/>
      <c r="F1257" s="18"/>
      <c r="G1257" s="18"/>
      <c r="H1257" s="18"/>
      <c r="I1257" s="19"/>
      <c r="J1257" s="19"/>
      <c r="K1257" s="19"/>
      <c r="L1257" s="18"/>
      <c r="M1257" s="18"/>
      <c r="N1257" s="18"/>
      <c r="O1257" s="18"/>
      <c r="P1257" s="18"/>
    </row>
    <row r="1258">
      <c r="A1258" s="18"/>
      <c r="B1258" s="18"/>
      <c r="C1258" s="18"/>
      <c r="D1258" s="18"/>
      <c r="E1258" s="18"/>
      <c r="F1258" s="18"/>
      <c r="G1258" s="18"/>
      <c r="H1258" s="18"/>
      <c r="I1258" s="19"/>
      <c r="J1258" s="19"/>
      <c r="K1258" s="19"/>
      <c r="L1258" s="18"/>
      <c r="M1258" s="18"/>
      <c r="N1258" s="18"/>
      <c r="O1258" s="18"/>
      <c r="P1258" s="18"/>
    </row>
    <row r="1259">
      <c r="A1259" s="18"/>
      <c r="B1259" s="18"/>
      <c r="C1259" s="18"/>
      <c r="D1259" s="18"/>
      <c r="E1259" s="18"/>
      <c r="F1259" s="18"/>
      <c r="G1259" s="18"/>
      <c r="H1259" s="18"/>
      <c r="I1259" s="19"/>
      <c r="J1259" s="19"/>
      <c r="K1259" s="19"/>
      <c r="L1259" s="18"/>
      <c r="M1259" s="18"/>
      <c r="N1259" s="18"/>
      <c r="O1259" s="18"/>
      <c r="P1259" s="18"/>
    </row>
    <row r="1260">
      <c r="A1260" s="18"/>
      <c r="B1260" s="18"/>
      <c r="C1260" s="18"/>
      <c r="D1260" s="18"/>
      <c r="E1260" s="18"/>
      <c r="F1260" s="18"/>
      <c r="G1260" s="18"/>
      <c r="H1260" s="18"/>
      <c r="I1260" s="19"/>
      <c r="J1260" s="19"/>
      <c r="K1260" s="19"/>
      <c r="L1260" s="18"/>
      <c r="M1260" s="18"/>
      <c r="N1260" s="18"/>
      <c r="O1260" s="18"/>
      <c r="P1260" s="18"/>
    </row>
    <row r="1261">
      <c r="A1261" s="18"/>
      <c r="B1261" s="18"/>
      <c r="C1261" s="18"/>
      <c r="D1261" s="18"/>
      <c r="E1261" s="18"/>
      <c r="F1261" s="18"/>
      <c r="G1261" s="18"/>
      <c r="H1261" s="18"/>
      <c r="I1261" s="19"/>
      <c r="J1261" s="19"/>
      <c r="K1261" s="19"/>
      <c r="L1261" s="18"/>
      <c r="M1261" s="18"/>
      <c r="N1261" s="18"/>
      <c r="O1261" s="18"/>
      <c r="P1261" s="18"/>
    </row>
    <row r="1262">
      <c r="A1262" s="18"/>
      <c r="B1262" s="18"/>
      <c r="C1262" s="18"/>
      <c r="D1262" s="18"/>
      <c r="E1262" s="18"/>
      <c r="F1262" s="18"/>
      <c r="G1262" s="18"/>
      <c r="H1262" s="18"/>
      <c r="I1262" s="19"/>
      <c r="J1262" s="19"/>
      <c r="K1262" s="19"/>
      <c r="L1262" s="18"/>
      <c r="M1262" s="18"/>
      <c r="N1262" s="18"/>
      <c r="O1262" s="18"/>
      <c r="P1262" s="18"/>
    </row>
    <row r="1263">
      <c r="A1263" s="18"/>
      <c r="B1263" s="18"/>
      <c r="C1263" s="18"/>
      <c r="D1263" s="18"/>
      <c r="E1263" s="18"/>
      <c r="F1263" s="18"/>
      <c r="G1263" s="18"/>
      <c r="H1263" s="18"/>
      <c r="I1263" s="19"/>
      <c r="J1263" s="19"/>
      <c r="K1263" s="19"/>
      <c r="L1263" s="18"/>
      <c r="M1263" s="18"/>
      <c r="N1263" s="18"/>
      <c r="O1263" s="18"/>
      <c r="P1263" s="18"/>
    </row>
    <row r="1264">
      <c r="A1264" s="18"/>
      <c r="B1264" s="18"/>
      <c r="C1264" s="18"/>
      <c r="D1264" s="18"/>
      <c r="E1264" s="18"/>
      <c r="F1264" s="18"/>
      <c r="G1264" s="18"/>
      <c r="H1264" s="18"/>
      <c r="I1264" s="19"/>
      <c r="J1264" s="19"/>
      <c r="K1264" s="19"/>
      <c r="L1264" s="18"/>
      <c r="M1264" s="18"/>
      <c r="N1264" s="18"/>
      <c r="O1264" s="18"/>
      <c r="P1264" s="18"/>
    </row>
    <row r="1265">
      <c r="A1265" s="18"/>
      <c r="B1265" s="18"/>
      <c r="C1265" s="18"/>
      <c r="D1265" s="18"/>
      <c r="E1265" s="18"/>
      <c r="F1265" s="18"/>
      <c r="G1265" s="18"/>
      <c r="H1265" s="18"/>
      <c r="I1265" s="19"/>
      <c r="J1265" s="19"/>
      <c r="K1265" s="19"/>
      <c r="L1265" s="18"/>
      <c r="M1265" s="18"/>
      <c r="N1265" s="18"/>
      <c r="O1265" s="18"/>
      <c r="P1265" s="18"/>
    </row>
    <row r="1266">
      <c r="A1266" s="18"/>
      <c r="B1266" s="18"/>
      <c r="C1266" s="18"/>
      <c r="D1266" s="18"/>
      <c r="E1266" s="18"/>
      <c r="F1266" s="18"/>
      <c r="G1266" s="18"/>
      <c r="H1266" s="18"/>
      <c r="I1266" s="19"/>
      <c r="J1266" s="19"/>
      <c r="K1266" s="19"/>
      <c r="L1266" s="18"/>
      <c r="M1266" s="18"/>
      <c r="N1266" s="18"/>
      <c r="O1266" s="18"/>
      <c r="P1266" s="18"/>
    </row>
    <row r="1267">
      <c r="A1267" s="18"/>
      <c r="B1267" s="18"/>
      <c r="C1267" s="18"/>
      <c r="D1267" s="18"/>
      <c r="E1267" s="18"/>
      <c r="F1267" s="18"/>
      <c r="G1267" s="18"/>
      <c r="H1267" s="18"/>
      <c r="I1267" s="19"/>
      <c r="J1267" s="19"/>
      <c r="K1267" s="19"/>
      <c r="L1267" s="18"/>
      <c r="M1267" s="18"/>
      <c r="N1267" s="18"/>
      <c r="O1267" s="18"/>
      <c r="P1267" s="18"/>
    </row>
    <row r="1268">
      <c r="A1268" s="18"/>
      <c r="B1268" s="18"/>
      <c r="C1268" s="18"/>
      <c r="D1268" s="18"/>
      <c r="E1268" s="18"/>
      <c r="F1268" s="18"/>
      <c r="G1268" s="18"/>
      <c r="H1268" s="18"/>
      <c r="I1268" s="19"/>
      <c r="J1268" s="19"/>
      <c r="K1268" s="19"/>
      <c r="L1268" s="18"/>
      <c r="M1268" s="18"/>
      <c r="N1268" s="18"/>
      <c r="O1268" s="18"/>
      <c r="P1268" s="18"/>
    </row>
    <row r="1269">
      <c r="A1269" s="18"/>
      <c r="B1269" s="18"/>
      <c r="C1269" s="18"/>
      <c r="D1269" s="18"/>
      <c r="E1269" s="18"/>
      <c r="F1269" s="18"/>
      <c r="G1269" s="18"/>
      <c r="H1269" s="18"/>
      <c r="I1269" s="19"/>
      <c r="J1269" s="19"/>
      <c r="K1269" s="19"/>
      <c r="L1269" s="18"/>
      <c r="M1269" s="18"/>
      <c r="N1269" s="18"/>
      <c r="O1269" s="18"/>
      <c r="P1269" s="18"/>
    </row>
    <row r="1270">
      <c r="A1270" s="18"/>
      <c r="B1270" s="18"/>
      <c r="C1270" s="18"/>
      <c r="D1270" s="18"/>
      <c r="E1270" s="18"/>
      <c r="F1270" s="18"/>
      <c r="G1270" s="18"/>
      <c r="H1270" s="18"/>
      <c r="I1270" s="19"/>
      <c r="J1270" s="19"/>
      <c r="K1270" s="19"/>
      <c r="L1270" s="18"/>
      <c r="M1270" s="18"/>
      <c r="N1270" s="18"/>
      <c r="O1270" s="18"/>
      <c r="P1270" s="18"/>
    </row>
    <row r="1271">
      <c r="A1271" s="18"/>
      <c r="B1271" s="18"/>
      <c r="C1271" s="18"/>
      <c r="D1271" s="18"/>
      <c r="E1271" s="18"/>
      <c r="F1271" s="18"/>
      <c r="G1271" s="18"/>
      <c r="H1271" s="18"/>
      <c r="I1271" s="19"/>
      <c r="J1271" s="19"/>
      <c r="K1271" s="19"/>
      <c r="L1271" s="18"/>
      <c r="M1271" s="18"/>
      <c r="N1271" s="18"/>
      <c r="O1271" s="18"/>
      <c r="P1271" s="18"/>
    </row>
    <row r="1272">
      <c r="A1272" s="18"/>
      <c r="B1272" s="18"/>
      <c r="C1272" s="18"/>
      <c r="D1272" s="18"/>
      <c r="E1272" s="18"/>
      <c r="F1272" s="18"/>
      <c r="G1272" s="18"/>
      <c r="H1272" s="18"/>
      <c r="I1272" s="19"/>
      <c r="J1272" s="19"/>
      <c r="K1272" s="19"/>
      <c r="L1272" s="18"/>
      <c r="M1272" s="18"/>
      <c r="N1272" s="18"/>
      <c r="O1272" s="18"/>
      <c r="P1272" s="18"/>
    </row>
    <row r="1273">
      <c r="A1273" s="18"/>
      <c r="B1273" s="18"/>
      <c r="C1273" s="18"/>
      <c r="D1273" s="18"/>
      <c r="E1273" s="18"/>
      <c r="F1273" s="18"/>
      <c r="G1273" s="18"/>
      <c r="H1273" s="18"/>
      <c r="I1273" s="19"/>
      <c r="J1273" s="19"/>
      <c r="K1273" s="19"/>
      <c r="L1273" s="18"/>
      <c r="M1273" s="18"/>
      <c r="N1273" s="18"/>
      <c r="O1273" s="18"/>
      <c r="P1273" s="18"/>
    </row>
    <row r="1274">
      <c r="A1274" s="18"/>
      <c r="B1274" s="18"/>
      <c r="C1274" s="18"/>
      <c r="D1274" s="18"/>
      <c r="E1274" s="18"/>
      <c r="F1274" s="18"/>
      <c r="G1274" s="18"/>
      <c r="H1274" s="18"/>
      <c r="I1274" s="19"/>
      <c r="J1274" s="19"/>
      <c r="K1274" s="19"/>
      <c r="L1274" s="18"/>
      <c r="M1274" s="18"/>
      <c r="N1274" s="18"/>
      <c r="O1274" s="18"/>
      <c r="P1274" s="18"/>
    </row>
    <row r="1275">
      <c r="A1275" s="18"/>
      <c r="B1275" s="18"/>
      <c r="C1275" s="18"/>
      <c r="D1275" s="18"/>
      <c r="E1275" s="18"/>
      <c r="F1275" s="18"/>
      <c r="G1275" s="18"/>
      <c r="H1275" s="18"/>
      <c r="I1275" s="19"/>
      <c r="J1275" s="19"/>
      <c r="K1275" s="19"/>
      <c r="L1275" s="18"/>
      <c r="M1275" s="18"/>
      <c r="N1275" s="18"/>
      <c r="O1275" s="18"/>
      <c r="P1275" s="18"/>
    </row>
    <row r="1276">
      <c r="A1276" s="18"/>
      <c r="B1276" s="18"/>
      <c r="C1276" s="18"/>
      <c r="D1276" s="18"/>
      <c r="E1276" s="18"/>
      <c r="F1276" s="18"/>
      <c r="G1276" s="18"/>
      <c r="H1276" s="18"/>
      <c r="I1276" s="19"/>
      <c r="J1276" s="19"/>
      <c r="K1276" s="19"/>
      <c r="L1276" s="18"/>
      <c r="M1276" s="18"/>
      <c r="N1276" s="18"/>
      <c r="O1276" s="18"/>
      <c r="P1276" s="18"/>
    </row>
    <row r="1277">
      <c r="A1277" s="18"/>
      <c r="B1277" s="18"/>
      <c r="C1277" s="18"/>
      <c r="D1277" s="18"/>
      <c r="E1277" s="18"/>
      <c r="F1277" s="18"/>
      <c r="G1277" s="18"/>
      <c r="H1277" s="18"/>
      <c r="I1277" s="19"/>
      <c r="J1277" s="19"/>
      <c r="K1277" s="19"/>
      <c r="L1277" s="18"/>
      <c r="M1277" s="18"/>
      <c r="N1277" s="18"/>
      <c r="O1277" s="18"/>
      <c r="P1277" s="18"/>
    </row>
    <row r="1278">
      <c r="A1278" s="18"/>
      <c r="B1278" s="18"/>
      <c r="C1278" s="18"/>
      <c r="D1278" s="18"/>
      <c r="E1278" s="18"/>
      <c r="F1278" s="18"/>
      <c r="G1278" s="18"/>
      <c r="H1278" s="18"/>
      <c r="I1278" s="19"/>
      <c r="J1278" s="19"/>
      <c r="K1278" s="19"/>
      <c r="L1278" s="18"/>
      <c r="M1278" s="18"/>
      <c r="N1278" s="18"/>
      <c r="O1278" s="18"/>
      <c r="P1278" s="18"/>
    </row>
    <row r="1279">
      <c r="A1279" s="18"/>
      <c r="B1279" s="18"/>
      <c r="C1279" s="18"/>
      <c r="D1279" s="18"/>
      <c r="E1279" s="18"/>
      <c r="F1279" s="18"/>
      <c r="G1279" s="18"/>
      <c r="H1279" s="18"/>
      <c r="I1279" s="19"/>
      <c r="J1279" s="19"/>
      <c r="K1279" s="19"/>
      <c r="L1279" s="18"/>
      <c r="M1279" s="18"/>
      <c r="N1279" s="18"/>
      <c r="O1279" s="18"/>
      <c r="P1279" s="18"/>
    </row>
    <row r="1280">
      <c r="A1280" s="18"/>
      <c r="B1280" s="18"/>
      <c r="C1280" s="18"/>
      <c r="D1280" s="18"/>
      <c r="E1280" s="18"/>
      <c r="F1280" s="18"/>
      <c r="G1280" s="18"/>
      <c r="H1280" s="18"/>
      <c r="I1280" s="19"/>
      <c r="J1280" s="19"/>
      <c r="K1280" s="19"/>
      <c r="L1280" s="18"/>
      <c r="M1280" s="18"/>
      <c r="N1280" s="18"/>
      <c r="O1280" s="18"/>
      <c r="P1280" s="18"/>
    </row>
    <row r="1281">
      <c r="A1281" s="18"/>
      <c r="B1281" s="18"/>
      <c r="C1281" s="18"/>
      <c r="D1281" s="18"/>
      <c r="E1281" s="18"/>
      <c r="F1281" s="18"/>
      <c r="G1281" s="18"/>
      <c r="H1281" s="18"/>
      <c r="I1281" s="19"/>
      <c r="J1281" s="19"/>
      <c r="K1281" s="19"/>
      <c r="L1281" s="18"/>
      <c r="M1281" s="18"/>
      <c r="N1281" s="18"/>
      <c r="O1281" s="18"/>
      <c r="P1281" s="18"/>
    </row>
    <row r="1282">
      <c r="A1282" s="18"/>
      <c r="B1282" s="18"/>
      <c r="C1282" s="18"/>
      <c r="D1282" s="18"/>
      <c r="E1282" s="18"/>
      <c r="F1282" s="18"/>
      <c r="G1282" s="18"/>
      <c r="H1282" s="18"/>
      <c r="I1282" s="19"/>
      <c r="J1282" s="19"/>
      <c r="K1282" s="19"/>
      <c r="L1282" s="18"/>
      <c r="M1282" s="18"/>
      <c r="N1282" s="18"/>
      <c r="O1282" s="18"/>
      <c r="P1282" s="18"/>
    </row>
    <row r="1283">
      <c r="A1283" s="18"/>
      <c r="B1283" s="18"/>
      <c r="C1283" s="18"/>
      <c r="D1283" s="18"/>
      <c r="E1283" s="18"/>
      <c r="F1283" s="18"/>
      <c r="G1283" s="18"/>
      <c r="H1283" s="18"/>
      <c r="I1283" s="19"/>
      <c r="J1283" s="19"/>
      <c r="K1283" s="19"/>
      <c r="L1283" s="18"/>
      <c r="M1283" s="18"/>
      <c r="N1283" s="18"/>
      <c r="O1283" s="18"/>
      <c r="P1283" s="18"/>
    </row>
    <row r="1284">
      <c r="A1284" s="18"/>
      <c r="B1284" s="18"/>
      <c r="C1284" s="18"/>
      <c r="D1284" s="18"/>
      <c r="E1284" s="18"/>
      <c r="F1284" s="18"/>
      <c r="G1284" s="18"/>
      <c r="H1284" s="18"/>
      <c r="I1284" s="19"/>
      <c r="J1284" s="19"/>
      <c r="K1284" s="19"/>
      <c r="L1284" s="18"/>
      <c r="M1284" s="18"/>
      <c r="N1284" s="18"/>
      <c r="O1284" s="18"/>
      <c r="P1284" s="18"/>
    </row>
    <row r="1285">
      <c r="A1285" s="18"/>
      <c r="B1285" s="18"/>
      <c r="C1285" s="18"/>
      <c r="D1285" s="18"/>
      <c r="E1285" s="18"/>
      <c r="F1285" s="18"/>
      <c r="G1285" s="18"/>
      <c r="H1285" s="18"/>
      <c r="I1285" s="19"/>
      <c r="J1285" s="19"/>
      <c r="K1285" s="19"/>
      <c r="L1285" s="18"/>
      <c r="M1285" s="18"/>
      <c r="N1285" s="18"/>
      <c r="O1285" s="18"/>
      <c r="P1285" s="18"/>
    </row>
    <row r="1286">
      <c r="A1286" s="18"/>
      <c r="B1286" s="18"/>
      <c r="C1286" s="18"/>
      <c r="D1286" s="18"/>
      <c r="E1286" s="18"/>
      <c r="F1286" s="18"/>
      <c r="G1286" s="18"/>
      <c r="H1286" s="18"/>
      <c r="I1286" s="19"/>
      <c r="J1286" s="19"/>
      <c r="K1286" s="19"/>
      <c r="L1286" s="18"/>
      <c r="M1286" s="18"/>
      <c r="N1286" s="18"/>
      <c r="O1286" s="18"/>
      <c r="P1286" s="18"/>
    </row>
    <row r="1287">
      <c r="A1287" s="18"/>
      <c r="B1287" s="18"/>
      <c r="C1287" s="18"/>
      <c r="D1287" s="18"/>
      <c r="E1287" s="18"/>
      <c r="F1287" s="18"/>
      <c r="G1287" s="18"/>
      <c r="H1287" s="18"/>
      <c r="I1287" s="19"/>
      <c r="J1287" s="19"/>
      <c r="K1287" s="19"/>
      <c r="L1287" s="18"/>
      <c r="M1287" s="18"/>
      <c r="N1287" s="18"/>
      <c r="O1287" s="18"/>
      <c r="P1287" s="18"/>
    </row>
    <row r="1288">
      <c r="A1288" s="18"/>
      <c r="B1288" s="18"/>
      <c r="C1288" s="18"/>
      <c r="D1288" s="18"/>
      <c r="E1288" s="18"/>
      <c r="F1288" s="18"/>
      <c r="G1288" s="18"/>
      <c r="H1288" s="18"/>
      <c r="I1288" s="19"/>
      <c r="J1288" s="19"/>
      <c r="K1288" s="19"/>
      <c r="L1288" s="18"/>
      <c r="M1288" s="18"/>
      <c r="N1288" s="18"/>
      <c r="O1288" s="18"/>
      <c r="P1288" s="18"/>
    </row>
    <row r="1289">
      <c r="A1289" s="18"/>
      <c r="B1289" s="18"/>
      <c r="C1289" s="18"/>
      <c r="D1289" s="18"/>
      <c r="E1289" s="18"/>
      <c r="F1289" s="18"/>
      <c r="G1289" s="18"/>
      <c r="H1289" s="18"/>
      <c r="I1289" s="19"/>
      <c r="J1289" s="19"/>
      <c r="K1289" s="19"/>
      <c r="L1289" s="18"/>
      <c r="M1289" s="18"/>
      <c r="N1289" s="18"/>
      <c r="O1289" s="18"/>
      <c r="P1289" s="18"/>
    </row>
    <row r="1290">
      <c r="A1290" s="18"/>
      <c r="B1290" s="18"/>
      <c r="C1290" s="18"/>
      <c r="D1290" s="18"/>
      <c r="E1290" s="18"/>
      <c r="F1290" s="18"/>
      <c r="G1290" s="18"/>
      <c r="H1290" s="18"/>
      <c r="I1290" s="19"/>
      <c r="J1290" s="19"/>
      <c r="K1290" s="19"/>
      <c r="L1290" s="18"/>
      <c r="M1290" s="18"/>
      <c r="N1290" s="18"/>
      <c r="O1290" s="18"/>
      <c r="P1290" s="18"/>
    </row>
    <row r="1291">
      <c r="A1291" s="18"/>
      <c r="B1291" s="18"/>
      <c r="C1291" s="18"/>
      <c r="D1291" s="18"/>
      <c r="E1291" s="18"/>
      <c r="F1291" s="18"/>
      <c r="G1291" s="18"/>
      <c r="H1291" s="18"/>
      <c r="I1291" s="19"/>
      <c r="J1291" s="19"/>
      <c r="K1291" s="19"/>
      <c r="L1291" s="18"/>
      <c r="M1291" s="18"/>
      <c r="N1291" s="18"/>
      <c r="O1291" s="18"/>
      <c r="P1291" s="18"/>
    </row>
    <row r="1292">
      <c r="A1292" s="18"/>
      <c r="B1292" s="18"/>
      <c r="C1292" s="18"/>
      <c r="D1292" s="18"/>
      <c r="E1292" s="18"/>
      <c r="F1292" s="18"/>
      <c r="G1292" s="18"/>
      <c r="H1292" s="18"/>
      <c r="I1292" s="19"/>
      <c r="J1292" s="19"/>
      <c r="K1292" s="19"/>
      <c r="L1292" s="18"/>
      <c r="M1292" s="18"/>
      <c r="N1292" s="18"/>
      <c r="O1292" s="18"/>
      <c r="P1292" s="18"/>
    </row>
    <row r="1293">
      <c r="A1293" s="18"/>
      <c r="B1293" s="18"/>
      <c r="C1293" s="18"/>
      <c r="D1293" s="18"/>
      <c r="E1293" s="18"/>
      <c r="F1293" s="18"/>
      <c r="G1293" s="18"/>
      <c r="H1293" s="18"/>
      <c r="I1293" s="19"/>
      <c r="J1293" s="19"/>
      <c r="K1293" s="19"/>
      <c r="L1293" s="18"/>
      <c r="M1293" s="18"/>
      <c r="N1293" s="18"/>
      <c r="O1293" s="18"/>
      <c r="P1293" s="18"/>
    </row>
    <row r="1294">
      <c r="A1294" s="18"/>
      <c r="B1294" s="18"/>
      <c r="C1294" s="18"/>
      <c r="D1294" s="18"/>
      <c r="E1294" s="18"/>
      <c r="F1294" s="18"/>
      <c r="G1294" s="18"/>
      <c r="H1294" s="18"/>
      <c r="I1294" s="19"/>
      <c r="J1294" s="19"/>
      <c r="K1294" s="19"/>
      <c r="L1294" s="18"/>
      <c r="M1294" s="18"/>
      <c r="N1294" s="18"/>
      <c r="O1294" s="18"/>
      <c r="P1294" s="18"/>
    </row>
    <row r="1295">
      <c r="A1295" s="18"/>
      <c r="B1295" s="18"/>
      <c r="C1295" s="18"/>
      <c r="D1295" s="18"/>
      <c r="E1295" s="18"/>
      <c r="F1295" s="18"/>
      <c r="G1295" s="18"/>
      <c r="H1295" s="18"/>
      <c r="I1295" s="19"/>
      <c r="J1295" s="19"/>
      <c r="K1295" s="19"/>
      <c r="L1295" s="18"/>
      <c r="M1295" s="18"/>
      <c r="N1295" s="18"/>
      <c r="O1295" s="18"/>
      <c r="P1295" s="18"/>
    </row>
    <row r="1296">
      <c r="A1296" s="18"/>
      <c r="B1296" s="18"/>
      <c r="C1296" s="18"/>
      <c r="D1296" s="18"/>
      <c r="E1296" s="18"/>
      <c r="F1296" s="18"/>
      <c r="G1296" s="18"/>
      <c r="H1296" s="18"/>
      <c r="I1296" s="19"/>
      <c r="J1296" s="19"/>
      <c r="K1296" s="19"/>
      <c r="L1296" s="18"/>
      <c r="M1296" s="18"/>
      <c r="N1296" s="18"/>
      <c r="O1296" s="18"/>
      <c r="P1296" s="18"/>
    </row>
    <row r="1297">
      <c r="A1297" s="18"/>
      <c r="B1297" s="18"/>
      <c r="C1297" s="18"/>
      <c r="D1297" s="18"/>
      <c r="E1297" s="18"/>
      <c r="F1297" s="18"/>
      <c r="G1297" s="18"/>
      <c r="H1297" s="18"/>
      <c r="I1297" s="19"/>
      <c r="J1297" s="19"/>
      <c r="K1297" s="19"/>
      <c r="L1297" s="18"/>
      <c r="M1297" s="18"/>
      <c r="N1297" s="18"/>
      <c r="O1297" s="18"/>
      <c r="P1297" s="18"/>
    </row>
    <row r="1298">
      <c r="A1298" s="18"/>
      <c r="B1298" s="18"/>
      <c r="C1298" s="18"/>
      <c r="D1298" s="18"/>
      <c r="E1298" s="18"/>
      <c r="F1298" s="18"/>
      <c r="G1298" s="18"/>
      <c r="H1298" s="18"/>
      <c r="I1298" s="19"/>
      <c r="J1298" s="19"/>
      <c r="K1298" s="19"/>
      <c r="L1298" s="18"/>
      <c r="M1298" s="18"/>
      <c r="N1298" s="18"/>
      <c r="O1298" s="18"/>
      <c r="P1298" s="18"/>
    </row>
    <row r="1299">
      <c r="A1299" s="18"/>
      <c r="B1299" s="18"/>
      <c r="C1299" s="18"/>
      <c r="D1299" s="18"/>
      <c r="E1299" s="18"/>
      <c r="F1299" s="18"/>
      <c r="G1299" s="18"/>
      <c r="H1299" s="18"/>
      <c r="I1299" s="19"/>
      <c r="J1299" s="19"/>
      <c r="K1299" s="19"/>
      <c r="L1299" s="18"/>
      <c r="M1299" s="18"/>
      <c r="N1299" s="18"/>
      <c r="O1299" s="18"/>
      <c r="P1299" s="18"/>
    </row>
    <row r="1300">
      <c r="A1300" s="18"/>
      <c r="B1300" s="18"/>
      <c r="C1300" s="18"/>
      <c r="D1300" s="18"/>
      <c r="E1300" s="18"/>
      <c r="F1300" s="18"/>
      <c r="G1300" s="18"/>
      <c r="H1300" s="18"/>
      <c r="I1300" s="19"/>
      <c r="J1300" s="19"/>
      <c r="K1300" s="19"/>
      <c r="L1300" s="18"/>
      <c r="M1300" s="18"/>
      <c r="N1300" s="18"/>
      <c r="O1300" s="18"/>
      <c r="P1300" s="18"/>
    </row>
    <row r="1301">
      <c r="A1301" s="18"/>
      <c r="B1301" s="18"/>
      <c r="C1301" s="18"/>
      <c r="D1301" s="18"/>
      <c r="E1301" s="18"/>
      <c r="F1301" s="18"/>
      <c r="G1301" s="18"/>
      <c r="H1301" s="18"/>
      <c r="I1301" s="19"/>
      <c r="J1301" s="19"/>
      <c r="K1301" s="19"/>
      <c r="L1301" s="18"/>
      <c r="M1301" s="18"/>
      <c r="N1301" s="18"/>
      <c r="O1301" s="18"/>
      <c r="P1301" s="18"/>
    </row>
    <row r="1302">
      <c r="A1302" s="18"/>
      <c r="B1302" s="18"/>
      <c r="C1302" s="18"/>
      <c r="D1302" s="18"/>
      <c r="E1302" s="18"/>
      <c r="F1302" s="18"/>
      <c r="G1302" s="18"/>
      <c r="H1302" s="18"/>
      <c r="I1302" s="19"/>
      <c r="J1302" s="19"/>
      <c r="K1302" s="19"/>
      <c r="L1302" s="18"/>
      <c r="M1302" s="18"/>
      <c r="N1302" s="18"/>
      <c r="O1302" s="18"/>
      <c r="P1302" s="18"/>
    </row>
    <row r="1303">
      <c r="A1303" s="18"/>
      <c r="B1303" s="18"/>
      <c r="C1303" s="18"/>
      <c r="D1303" s="18"/>
      <c r="E1303" s="18"/>
      <c r="F1303" s="18"/>
      <c r="G1303" s="18"/>
      <c r="H1303" s="18"/>
      <c r="I1303" s="19"/>
      <c r="J1303" s="19"/>
      <c r="K1303" s="19"/>
      <c r="L1303" s="18"/>
      <c r="M1303" s="18"/>
      <c r="N1303" s="18"/>
      <c r="O1303" s="18"/>
      <c r="P1303" s="18"/>
    </row>
    <row r="1304">
      <c r="A1304" s="18"/>
      <c r="B1304" s="18"/>
      <c r="C1304" s="18"/>
      <c r="D1304" s="18"/>
      <c r="E1304" s="18"/>
      <c r="F1304" s="18"/>
      <c r="G1304" s="18"/>
      <c r="H1304" s="18"/>
      <c r="I1304" s="19"/>
      <c r="J1304" s="19"/>
      <c r="K1304" s="19"/>
      <c r="L1304" s="18"/>
      <c r="M1304" s="18"/>
      <c r="N1304" s="18"/>
      <c r="O1304" s="18"/>
      <c r="P1304" s="18"/>
    </row>
    <row r="1305">
      <c r="A1305" s="18"/>
      <c r="B1305" s="18"/>
      <c r="C1305" s="18"/>
      <c r="D1305" s="18"/>
      <c r="E1305" s="18"/>
      <c r="F1305" s="18"/>
      <c r="G1305" s="18"/>
      <c r="H1305" s="18"/>
      <c r="I1305" s="19"/>
      <c r="J1305" s="19"/>
      <c r="K1305" s="19"/>
      <c r="L1305" s="18"/>
      <c r="M1305" s="18"/>
      <c r="N1305" s="18"/>
      <c r="O1305" s="18"/>
      <c r="P1305" s="18"/>
    </row>
    <row r="1306">
      <c r="A1306" s="18"/>
      <c r="B1306" s="18"/>
      <c r="C1306" s="18"/>
      <c r="D1306" s="18"/>
      <c r="E1306" s="18"/>
      <c r="F1306" s="18"/>
      <c r="G1306" s="18"/>
      <c r="H1306" s="18"/>
      <c r="I1306" s="19"/>
      <c r="J1306" s="19"/>
      <c r="K1306" s="19"/>
      <c r="L1306" s="18"/>
      <c r="M1306" s="18"/>
      <c r="N1306" s="18"/>
      <c r="O1306" s="18"/>
      <c r="P1306" s="18"/>
    </row>
    <row r="1307">
      <c r="A1307" s="18"/>
      <c r="B1307" s="18"/>
      <c r="C1307" s="18"/>
      <c r="D1307" s="18"/>
      <c r="E1307" s="18"/>
      <c r="F1307" s="18"/>
      <c r="G1307" s="18"/>
      <c r="H1307" s="18"/>
      <c r="I1307" s="19"/>
      <c r="J1307" s="19"/>
      <c r="K1307" s="19"/>
      <c r="L1307" s="18"/>
      <c r="M1307" s="18"/>
      <c r="N1307" s="18"/>
      <c r="O1307" s="18"/>
      <c r="P1307" s="18"/>
    </row>
    <row r="1308">
      <c r="A1308" s="18"/>
      <c r="B1308" s="18"/>
      <c r="C1308" s="18"/>
      <c r="D1308" s="18"/>
      <c r="E1308" s="18"/>
      <c r="F1308" s="18"/>
      <c r="G1308" s="18"/>
      <c r="H1308" s="18"/>
      <c r="I1308" s="19"/>
      <c r="J1308" s="19"/>
      <c r="K1308" s="19"/>
      <c r="L1308" s="18"/>
      <c r="M1308" s="18"/>
      <c r="N1308" s="18"/>
      <c r="O1308" s="18"/>
      <c r="P1308" s="18"/>
    </row>
    <row r="1309">
      <c r="A1309" s="18"/>
      <c r="B1309" s="18"/>
      <c r="C1309" s="18"/>
      <c r="D1309" s="18"/>
      <c r="E1309" s="18"/>
      <c r="F1309" s="18"/>
      <c r="G1309" s="18"/>
      <c r="H1309" s="18"/>
      <c r="I1309" s="19"/>
      <c r="J1309" s="19"/>
      <c r="K1309" s="19"/>
      <c r="L1309" s="18"/>
      <c r="M1309" s="18"/>
      <c r="N1309" s="18"/>
      <c r="O1309" s="18"/>
      <c r="P1309" s="18"/>
    </row>
    <row r="1310">
      <c r="A1310" s="18"/>
      <c r="B1310" s="18"/>
      <c r="C1310" s="18"/>
      <c r="D1310" s="18"/>
      <c r="E1310" s="18"/>
      <c r="F1310" s="18"/>
      <c r="G1310" s="18"/>
      <c r="H1310" s="18"/>
      <c r="I1310" s="19"/>
      <c r="J1310" s="19"/>
      <c r="K1310" s="19"/>
      <c r="L1310" s="18"/>
      <c r="M1310" s="18"/>
      <c r="N1310" s="18"/>
      <c r="O1310" s="18"/>
      <c r="P1310" s="18"/>
    </row>
    <row r="1311">
      <c r="A1311" s="18"/>
      <c r="B1311" s="18"/>
      <c r="C1311" s="18"/>
      <c r="D1311" s="18"/>
      <c r="E1311" s="18"/>
      <c r="F1311" s="18"/>
      <c r="G1311" s="18"/>
      <c r="H1311" s="18"/>
      <c r="I1311" s="19"/>
      <c r="J1311" s="19"/>
      <c r="K1311" s="19"/>
      <c r="L1311" s="18"/>
      <c r="M1311" s="18"/>
      <c r="N1311" s="18"/>
      <c r="O1311" s="18"/>
      <c r="P1311" s="18"/>
    </row>
    <row r="1312">
      <c r="A1312" s="18"/>
      <c r="B1312" s="18"/>
      <c r="C1312" s="18"/>
      <c r="D1312" s="18"/>
      <c r="E1312" s="18"/>
      <c r="F1312" s="18"/>
      <c r="G1312" s="18"/>
      <c r="H1312" s="18"/>
      <c r="I1312" s="19"/>
      <c r="J1312" s="19"/>
      <c r="K1312" s="19"/>
      <c r="L1312" s="18"/>
      <c r="M1312" s="18"/>
      <c r="N1312" s="18"/>
      <c r="O1312" s="18"/>
      <c r="P1312" s="18"/>
    </row>
    <row r="1313">
      <c r="A1313" s="18"/>
      <c r="B1313" s="18"/>
      <c r="C1313" s="18"/>
      <c r="D1313" s="18"/>
      <c r="E1313" s="18"/>
      <c r="F1313" s="18"/>
      <c r="G1313" s="18"/>
      <c r="H1313" s="18"/>
      <c r="I1313" s="19"/>
      <c r="J1313" s="19"/>
      <c r="K1313" s="19"/>
      <c r="L1313" s="18"/>
      <c r="M1313" s="18"/>
      <c r="N1313" s="18"/>
      <c r="O1313" s="18"/>
      <c r="P1313" s="18"/>
    </row>
    <row r="1314">
      <c r="A1314" s="18"/>
      <c r="B1314" s="18"/>
      <c r="C1314" s="18"/>
      <c r="D1314" s="18"/>
      <c r="E1314" s="18"/>
      <c r="F1314" s="18"/>
      <c r="G1314" s="18"/>
      <c r="H1314" s="18"/>
      <c r="I1314" s="19"/>
      <c r="J1314" s="19"/>
      <c r="K1314" s="19"/>
      <c r="L1314" s="18"/>
      <c r="M1314" s="18"/>
      <c r="N1314" s="18"/>
      <c r="O1314" s="18"/>
      <c r="P1314" s="18"/>
    </row>
    <row r="1315">
      <c r="A1315" s="18"/>
      <c r="B1315" s="18"/>
      <c r="C1315" s="18"/>
      <c r="D1315" s="18"/>
      <c r="E1315" s="18"/>
      <c r="F1315" s="18"/>
      <c r="G1315" s="18"/>
      <c r="H1315" s="18"/>
      <c r="I1315" s="19"/>
      <c r="J1315" s="19"/>
      <c r="K1315" s="19"/>
      <c r="L1315" s="18"/>
      <c r="M1315" s="18"/>
      <c r="N1315" s="18"/>
      <c r="O1315" s="18"/>
      <c r="P1315" s="18"/>
    </row>
    <row r="1316">
      <c r="A1316" s="18"/>
      <c r="B1316" s="18"/>
      <c r="C1316" s="18"/>
      <c r="D1316" s="18"/>
      <c r="E1316" s="18"/>
      <c r="F1316" s="18"/>
      <c r="G1316" s="18"/>
      <c r="H1316" s="18"/>
      <c r="I1316" s="19"/>
      <c r="J1316" s="19"/>
      <c r="K1316" s="19"/>
      <c r="L1316" s="18"/>
      <c r="M1316" s="18"/>
      <c r="N1316" s="18"/>
      <c r="O1316" s="18"/>
      <c r="P1316" s="18"/>
    </row>
    <row r="1317">
      <c r="A1317" s="18"/>
      <c r="B1317" s="18"/>
      <c r="C1317" s="18"/>
      <c r="D1317" s="18"/>
      <c r="E1317" s="18"/>
      <c r="F1317" s="18"/>
      <c r="G1317" s="18"/>
      <c r="H1317" s="18"/>
      <c r="I1317" s="19"/>
      <c r="J1317" s="19"/>
      <c r="K1317" s="19"/>
      <c r="L1317" s="18"/>
      <c r="M1317" s="18"/>
      <c r="N1317" s="18"/>
      <c r="O1317" s="18"/>
      <c r="P1317" s="18"/>
    </row>
    <row r="1318">
      <c r="A1318" s="18"/>
      <c r="B1318" s="18"/>
      <c r="C1318" s="18"/>
      <c r="D1318" s="18"/>
      <c r="E1318" s="18"/>
      <c r="F1318" s="18"/>
      <c r="G1318" s="18"/>
      <c r="H1318" s="18"/>
      <c r="I1318" s="19"/>
      <c r="J1318" s="19"/>
      <c r="K1318" s="19"/>
      <c r="L1318" s="18"/>
      <c r="M1318" s="18"/>
      <c r="N1318" s="18"/>
      <c r="O1318" s="18"/>
      <c r="P1318" s="18"/>
    </row>
    <row r="1319">
      <c r="A1319" s="18"/>
      <c r="B1319" s="18"/>
      <c r="C1319" s="18"/>
      <c r="D1319" s="18"/>
      <c r="E1319" s="18"/>
      <c r="F1319" s="18"/>
      <c r="G1319" s="18"/>
      <c r="H1319" s="18"/>
      <c r="I1319" s="19"/>
      <c r="J1319" s="19"/>
      <c r="K1319" s="19"/>
      <c r="L1319" s="18"/>
      <c r="M1319" s="18"/>
      <c r="N1319" s="18"/>
      <c r="O1319" s="18"/>
      <c r="P1319" s="18"/>
    </row>
    <row r="1320">
      <c r="A1320" s="18"/>
      <c r="B1320" s="18"/>
      <c r="C1320" s="18"/>
      <c r="D1320" s="18"/>
      <c r="E1320" s="18"/>
      <c r="F1320" s="18"/>
      <c r="G1320" s="18"/>
      <c r="H1320" s="18"/>
      <c r="I1320" s="19"/>
      <c r="J1320" s="19"/>
      <c r="K1320" s="19"/>
      <c r="L1320" s="18"/>
      <c r="M1320" s="18"/>
      <c r="N1320" s="18"/>
      <c r="O1320" s="18"/>
      <c r="P1320" s="18"/>
    </row>
    <row r="1321">
      <c r="A1321" s="18"/>
      <c r="B1321" s="18"/>
      <c r="C1321" s="18"/>
      <c r="D1321" s="18"/>
      <c r="E1321" s="18"/>
      <c r="F1321" s="18"/>
      <c r="G1321" s="18"/>
      <c r="H1321" s="18"/>
      <c r="I1321" s="19"/>
      <c r="J1321" s="19"/>
      <c r="K1321" s="19"/>
      <c r="L1321" s="18"/>
      <c r="M1321" s="18"/>
      <c r="N1321" s="18"/>
      <c r="O1321" s="18"/>
      <c r="P1321" s="18"/>
    </row>
    <row r="1322">
      <c r="A1322" s="18"/>
      <c r="B1322" s="18"/>
      <c r="C1322" s="18"/>
      <c r="D1322" s="18"/>
      <c r="E1322" s="18"/>
      <c r="F1322" s="18"/>
      <c r="G1322" s="18"/>
      <c r="H1322" s="18"/>
      <c r="I1322" s="19"/>
      <c r="J1322" s="19"/>
      <c r="K1322" s="19"/>
      <c r="L1322" s="18"/>
      <c r="M1322" s="18"/>
      <c r="N1322" s="18"/>
      <c r="O1322" s="18"/>
      <c r="P1322" s="18"/>
    </row>
    <row r="1323">
      <c r="A1323" s="18"/>
      <c r="B1323" s="18"/>
      <c r="C1323" s="18"/>
      <c r="D1323" s="18"/>
      <c r="E1323" s="18"/>
      <c r="F1323" s="18"/>
      <c r="G1323" s="18"/>
      <c r="H1323" s="18"/>
      <c r="I1323" s="19"/>
      <c r="J1323" s="19"/>
      <c r="K1323" s="19"/>
      <c r="L1323" s="18"/>
      <c r="M1323" s="18"/>
      <c r="N1323" s="18"/>
      <c r="O1323" s="18"/>
      <c r="P1323" s="18"/>
    </row>
    <row r="1324">
      <c r="A1324" s="18"/>
      <c r="B1324" s="18"/>
      <c r="C1324" s="18"/>
      <c r="D1324" s="18"/>
      <c r="E1324" s="18"/>
      <c r="F1324" s="18"/>
      <c r="G1324" s="18"/>
      <c r="H1324" s="18"/>
      <c r="I1324" s="19"/>
      <c r="J1324" s="19"/>
      <c r="K1324" s="19"/>
      <c r="L1324" s="18"/>
      <c r="M1324" s="18"/>
      <c r="N1324" s="18"/>
      <c r="O1324" s="18"/>
      <c r="P1324" s="18"/>
    </row>
    <row r="1325">
      <c r="A1325" s="18"/>
      <c r="B1325" s="18"/>
      <c r="C1325" s="18"/>
      <c r="D1325" s="18"/>
      <c r="E1325" s="18"/>
      <c r="F1325" s="18"/>
      <c r="G1325" s="18"/>
      <c r="H1325" s="18"/>
      <c r="I1325" s="19"/>
      <c r="J1325" s="19"/>
      <c r="K1325" s="19"/>
      <c r="L1325" s="18"/>
      <c r="M1325" s="18"/>
      <c r="N1325" s="18"/>
      <c r="O1325" s="18"/>
      <c r="P1325" s="18"/>
    </row>
    <row r="1326">
      <c r="A1326" s="18"/>
      <c r="B1326" s="18"/>
      <c r="C1326" s="18"/>
      <c r="D1326" s="18"/>
      <c r="E1326" s="18"/>
      <c r="F1326" s="18"/>
      <c r="G1326" s="18"/>
      <c r="H1326" s="18"/>
      <c r="I1326" s="19"/>
      <c r="J1326" s="19"/>
      <c r="K1326" s="19"/>
      <c r="L1326" s="18"/>
      <c r="M1326" s="18"/>
      <c r="N1326" s="18"/>
      <c r="O1326" s="18"/>
      <c r="P1326" s="18"/>
    </row>
    <row r="1327">
      <c r="A1327" s="18"/>
      <c r="B1327" s="18"/>
      <c r="C1327" s="18"/>
      <c r="D1327" s="18"/>
      <c r="E1327" s="18"/>
      <c r="F1327" s="18"/>
      <c r="G1327" s="18"/>
      <c r="H1327" s="18"/>
      <c r="I1327" s="19"/>
      <c r="J1327" s="19"/>
      <c r="K1327" s="19"/>
      <c r="L1327" s="18"/>
      <c r="M1327" s="18"/>
      <c r="N1327" s="18"/>
      <c r="O1327" s="18"/>
      <c r="P1327" s="18"/>
    </row>
    <row r="1328">
      <c r="A1328" s="18"/>
      <c r="B1328" s="18"/>
      <c r="C1328" s="18"/>
      <c r="D1328" s="18"/>
      <c r="E1328" s="18"/>
      <c r="F1328" s="18"/>
      <c r="G1328" s="18"/>
      <c r="H1328" s="18"/>
      <c r="I1328" s="19"/>
      <c r="J1328" s="19"/>
      <c r="K1328" s="19"/>
      <c r="L1328" s="18"/>
      <c r="M1328" s="18"/>
      <c r="N1328" s="18"/>
      <c r="O1328" s="18"/>
      <c r="P1328" s="18"/>
    </row>
    <row r="1329">
      <c r="A1329" s="18"/>
      <c r="B1329" s="18"/>
      <c r="C1329" s="18"/>
      <c r="D1329" s="18"/>
      <c r="E1329" s="18"/>
      <c r="F1329" s="18"/>
      <c r="G1329" s="18"/>
      <c r="H1329" s="18"/>
      <c r="I1329" s="19"/>
      <c r="J1329" s="19"/>
      <c r="K1329" s="19"/>
      <c r="L1329" s="18"/>
      <c r="M1329" s="18"/>
      <c r="N1329" s="18"/>
      <c r="O1329" s="18"/>
      <c r="P1329" s="18"/>
    </row>
    <row r="1330">
      <c r="A1330" s="18"/>
      <c r="B1330" s="18"/>
      <c r="C1330" s="18"/>
      <c r="D1330" s="18"/>
      <c r="E1330" s="18"/>
      <c r="F1330" s="18"/>
      <c r="G1330" s="18"/>
      <c r="H1330" s="18"/>
      <c r="I1330" s="19"/>
      <c r="J1330" s="19"/>
      <c r="K1330" s="19"/>
      <c r="L1330" s="18"/>
      <c r="M1330" s="18"/>
      <c r="N1330" s="18"/>
      <c r="O1330" s="18"/>
      <c r="P1330" s="18"/>
    </row>
    <row r="1331">
      <c r="A1331" s="18"/>
      <c r="B1331" s="18"/>
      <c r="C1331" s="18"/>
      <c r="D1331" s="18"/>
      <c r="E1331" s="18"/>
      <c r="F1331" s="18"/>
      <c r="G1331" s="18"/>
      <c r="H1331" s="18"/>
      <c r="I1331" s="19"/>
      <c r="J1331" s="19"/>
      <c r="K1331" s="19"/>
      <c r="L1331" s="18"/>
      <c r="M1331" s="18"/>
      <c r="N1331" s="18"/>
      <c r="O1331" s="18"/>
      <c r="P1331" s="18"/>
    </row>
    <row r="1332">
      <c r="A1332" s="18"/>
      <c r="B1332" s="18"/>
      <c r="C1332" s="18"/>
      <c r="D1332" s="18"/>
      <c r="E1332" s="18"/>
      <c r="F1332" s="18"/>
      <c r="G1332" s="18"/>
      <c r="H1332" s="18"/>
      <c r="I1332" s="19"/>
      <c r="J1332" s="19"/>
      <c r="K1332" s="19"/>
      <c r="L1332" s="18"/>
      <c r="M1332" s="18"/>
      <c r="N1332" s="18"/>
      <c r="O1332" s="18"/>
      <c r="P1332" s="18"/>
    </row>
    <row r="1333">
      <c r="A1333" s="18"/>
      <c r="B1333" s="18"/>
      <c r="C1333" s="18"/>
      <c r="D1333" s="18"/>
      <c r="E1333" s="18"/>
      <c r="F1333" s="18"/>
      <c r="G1333" s="18"/>
      <c r="H1333" s="18"/>
      <c r="I1333" s="19"/>
      <c r="J1333" s="19"/>
      <c r="K1333" s="19"/>
      <c r="L1333" s="18"/>
      <c r="M1333" s="18"/>
      <c r="N1333" s="18"/>
      <c r="O1333" s="18"/>
      <c r="P1333" s="18"/>
    </row>
    <row r="1334">
      <c r="A1334" s="18"/>
      <c r="B1334" s="18"/>
      <c r="C1334" s="18"/>
      <c r="D1334" s="18"/>
      <c r="E1334" s="18"/>
      <c r="F1334" s="18"/>
      <c r="G1334" s="18"/>
      <c r="H1334" s="18"/>
      <c r="I1334" s="19"/>
      <c r="J1334" s="19"/>
      <c r="K1334" s="19"/>
      <c r="L1334" s="18"/>
      <c r="M1334" s="18"/>
      <c r="N1334" s="18"/>
      <c r="O1334" s="18"/>
      <c r="P1334" s="18"/>
    </row>
    <row r="1335">
      <c r="A1335" s="18"/>
      <c r="B1335" s="18"/>
      <c r="C1335" s="18"/>
      <c r="D1335" s="18"/>
      <c r="E1335" s="18"/>
      <c r="F1335" s="18"/>
      <c r="G1335" s="18"/>
      <c r="H1335" s="18"/>
      <c r="I1335" s="19"/>
      <c r="J1335" s="19"/>
      <c r="K1335" s="19"/>
      <c r="L1335" s="18"/>
      <c r="M1335" s="18"/>
      <c r="N1335" s="18"/>
      <c r="O1335" s="18"/>
      <c r="P1335" s="18"/>
    </row>
    <row r="1336">
      <c r="A1336" s="18"/>
      <c r="B1336" s="18"/>
      <c r="C1336" s="18"/>
      <c r="D1336" s="18"/>
      <c r="E1336" s="18"/>
      <c r="F1336" s="18"/>
      <c r="G1336" s="18"/>
      <c r="H1336" s="18"/>
      <c r="I1336" s="19"/>
      <c r="J1336" s="19"/>
      <c r="K1336" s="19"/>
      <c r="L1336" s="18"/>
      <c r="M1336" s="18"/>
      <c r="N1336" s="18"/>
      <c r="O1336" s="18"/>
      <c r="P1336" s="18"/>
    </row>
    <row r="1337">
      <c r="A1337" s="18"/>
      <c r="B1337" s="18"/>
      <c r="C1337" s="18"/>
      <c r="D1337" s="18"/>
      <c r="E1337" s="18"/>
      <c r="F1337" s="18"/>
      <c r="G1337" s="18"/>
      <c r="H1337" s="18"/>
      <c r="I1337" s="19"/>
      <c r="J1337" s="19"/>
      <c r="K1337" s="19"/>
      <c r="L1337" s="18"/>
      <c r="M1337" s="18"/>
      <c r="N1337" s="18"/>
      <c r="O1337" s="18"/>
      <c r="P1337" s="18"/>
    </row>
    <row r="1338">
      <c r="A1338" s="18"/>
      <c r="B1338" s="18"/>
      <c r="C1338" s="18"/>
      <c r="D1338" s="18"/>
      <c r="E1338" s="18"/>
      <c r="F1338" s="18"/>
      <c r="G1338" s="18"/>
      <c r="H1338" s="18"/>
      <c r="I1338" s="19"/>
      <c r="J1338" s="19"/>
      <c r="K1338" s="19"/>
      <c r="L1338" s="18"/>
      <c r="M1338" s="18"/>
      <c r="N1338" s="18"/>
      <c r="O1338" s="18"/>
      <c r="P1338" s="18"/>
    </row>
    <row r="1339">
      <c r="A1339" s="18"/>
      <c r="B1339" s="18"/>
      <c r="C1339" s="18"/>
      <c r="D1339" s="18"/>
      <c r="E1339" s="18"/>
      <c r="F1339" s="18"/>
      <c r="G1339" s="18"/>
      <c r="H1339" s="18"/>
      <c r="I1339" s="19"/>
      <c r="J1339" s="19"/>
      <c r="K1339" s="19"/>
      <c r="L1339" s="18"/>
      <c r="M1339" s="18"/>
      <c r="N1339" s="18"/>
      <c r="O1339" s="18"/>
      <c r="P1339" s="18"/>
    </row>
    <row r="1340">
      <c r="A1340" s="18"/>
      <c r="B1340" s="18"/>
      <c r="C1340" s="18"/>
      <c r="D1340" s="18"/>
      <c r="E1340" s="18"/>
      <c r="F1340" s="18"/>
      <c r="G1340" s="18"/>
      <c r="H1340" s="18"/>
      <c r="I1340" s="19"/>
      <c r="J1340" s="19"/>
      <c r="K1340" s="19"/>
      <c r="L1340" s="18"/>
      <c r="M1340" s="18"/>
      <c r="N1340" s="18"/>
      <c r="O1340" s="18"/>
      <c r="P1340" s="18"/>
    </row>
    <row r="1341">
      <c r="A1341" s="18"/>
      <c r="B1341" s="18"/>
      <c r="C1341" s="18"/>
      <c r="D1341" s="18"/>
      <c r="E1341" s="18"/>
      <c r="F1341" s="18"/>
      <c r="G1341" s="18"/>
      <c r="H1341" s="18"/>
      <c r="I1341" s="19"/>
      <c r="J1341" s="19"/>
      <c r="K1341" s="19"/>
      <c r="L1341" s="18"/>
      <c r="M1341" s="18"/>
      <c r="N1341" s="18"/>
      <c r="O1341" s="18"/>
      <c r="P1341" s="18"/>
    </row>
    <row r="1342">
      <c r="A1342" s="18"/>
      <c r="B1342" s="18"/>
      <c r="C1342" s="18"/>
      <c r="D1342" s="18"/>
      <c r="E1342" s="18"/>
      <c r="F1342" s="18"/>
      <c r="G1342" s="18"/>
      <c r="H1342" s="18"/>
      <c r="I1342" s="19"/>
      <c r="J1342" s="19"/>
      <c r="K1342" s="19"/>
      <c r="L1342" s="18"/>
      <c r="M1342" s="18"/>
      <c r="N1342" s="18"/>
      <c r="O1342" s="18"/>
      <c r="P1342" s="18"/>
    </row>
    <row r="1343">
      <c r="A1343" s="18"/>
      <c r="B1343" s="18"/>
      <c r="C1343" s="18"/>
      <c r="D1343" s="18"/>
      <c r="E1343" s="18"/>
      <c r="F1343" s="18"/>
      <c r="G1343" s="18"/>
      <c r="H1343" s="18"/>
      <c r="I1343" s="19"/>
      <c r="J1343" s="19"/>
      <c r="K1343" s="19"/>
      <c r="L1343" s="18"/>
      <c r="M1343" s="18"/>
      <c r="N1343" s="18"/>
      <c r="O1343" s="18"/>
      <c r="P1343" s="18"/>
    </row>
    <row r="1344">
      <c r="A1344" s="18"/>
      <c r="B1344" s="18"/>
      <c r="C1344" s="18"/>
      <c r="D1344" s="18"/>
      <c r="E1344" s="18"/>
      <c r="F1344" s="18"/>
      <c r="G1344" s="18"/>
      <c r="H1344" s="18"/>
      <c r="I1344" s="19"/>
      <c r="J1344" s="19"/>
      <c r="K1344" s="19"/>
      <c r="L1344" s="18"/>
      <c r="M1344" s="18"/>
      <c r="N1344" s="18"/>
      <c r="O1344" s="18"/>
      <c r="P1344" s="18"/>
    </row>
    <row r="1345">
      <c r="A1345" s="18"/>
      <c r="B1345" s="18"/>
      <c r="C1345" s="18"/>
      <c r="D1345" s="18"/>
      <c r="E1345" s="18"/>
      <c r="F1345" s="18"/>
      <c r="G1345" s="18"/>
      <c r="H1345" s="18"/>
      <c r="I1345" s="19"/>
      <c r="J1345" s="19"/>
      <c r="K1345" s="19"/>
      <c r="L1345" s="18"/>
      <c r="M1345" s="18"/>
      <c r="N1345" s="18"/>
      <c r="O1345" s="18"/>
      <c r="P1345" s="18"/>
    </row>
    <row r="1346">
      <c r="A1346" s="18"/>
      <c r="B1346" s="18"/>
      <c r="C1346" s="18"/>
      <c r="D1346" s="18"/>
      <c r="E1346" s="18"/>
      <c r="F1346" s="18"/>
      <c r="G1346" s="18"/>
      <c r="H1346" s="18"/>
      <c r="I1346" s="19"/>
      <c r="J1346" s="19"/>
      <c r="K1346" s="19"/>
      <c r="L1346" s="18"/>
      <c r="M1346" s="18"/>
      <c r="N1346" s="18"/>
      <c r="O1346" s="18"/>
      <c r="P1346" s="18"/>
    </row>
    <row r="1347">
      <c r="A1347" s="18"/>
      <c r="B1347" s="18"/>
      <c r="C1347" s="18"/>
      <c r="D1347" s="18"/>
      <c r="E1347" s="18"/>
      <c r="F1347" s="18"/>
      <c r="G1347" s="18"/>
      <c r="H1347" s="18"/>
      <c r="I1347" s="19"/>
      <c r="J1347" s="19"/>
      <c r="K1347" s="19"/>
      <c r="L1347" s="18"/>
      <c r="M1347" s="18"/>
      <c r="N1347" s="18"/>
      <c r="O1347" s="18"/>
      <c r="P1347" s="18"/>
    </row>
    <row r="1348">
      <c r="A1348" s="18"/>
      <c r="B1348" s="18"/>
      <c r="C1348" s="18"/>
      <c r="D1348" s="18"/>
      <c r="E1348" s="18"/>
      <c r="F1348" s="18"/>
      <c r="G1348" s="18"/>
      <c r="H1348" s="18"/>
      <c r="I1348" s="19"/>
      <c r="J1348" s="19"/>
      <c r="K1348" s="19"/>
      <c r="L1348" s="18"/>
      <c r="M1348" s="18"/>
      <c r="N1348" s="18"/>
      <c r="O1348" s="18"/>
      <c r="P1348" s="18"/>
    </row>
    <row r="1349">
      <c r="A1349" s="18"/>
      <c r="B1349" s="18"/>
      <c r="C1349" s="18"/>
      <c r="D1349" s="18"/>
      <c r="E1349" s="18"/>
      <c r="F1349" s="18"/>
      <c r="G1349" s="18"/>
      <c r="H1349" s="18"/>
      <c r="I1349" s="19"/>
      <c r="J1349" s="19"/>
      <c r="K1349" s="19"/>
      <c r="L1349" s="18"/>
      <c r="M1349" s="18"/>
      <c r="N1349" s="18"/>
      <c r="O1349" s="18"/>
      <c r="P1349" s="18"/>
    </row>
    <row r="1350">
      <c r="A1350" s="18"/>
      <c r="B1350" s="18"/>
      <c r="C1350" s="18"/>
      <c r="D1350" s="18"/>
      <c r="E1350" s="18"/>
      <c r="F1350" s="18"/>
      <c r="G1350" s="18"/>
      <c r="H1350" s="18"/>
      <c r="I1350" s="19"/>
      <c r="J1350" s="19"/>
      <c r="K1350" s="19"/>
      <c r="L1350" s="18"/>
      <c r="M1350" s="18"/>
      <c r="N1350" s="18"/>
      <c r="O1350" s="18"/>
      <c r="P1350" s="18"/>
    </row>
    <row r="1351">
      <c r="A1351" s="18"/>
      <c r="B1351" s="18"/>
      <c r="C1351" s="18"/>
      <c r="D1351" s="18"/>
      <c r="E1351" s="18"/>
      <c r="F1351" s="18"/>
      <c r="G1351" s="18"/>
      <c r="H1351" s="18"/>
      <c r="I1351" s="19"/>
      <c r="J1351" s="19"/>
      <c r="K1351" s="19"/>
      <c r="L1351" s="18"/>
      <c r="M1351" s="18"/>
      <c r="N1351" s="18"/>
      <c r="O1351" s="18"/>
      <c r="P1351" s="18"/>
    </row>
    <row r="1352">
      <c r="A1352" s="18"/>
      <c r="B1352" s="18"/>
      <c r="C1352" s="18"/>
      <c r="D1352" s="18"/>
      <c r="E1352" s="18"/>
      <c r="F1352" s="18"/>
      <c r="G1352" s="18"/>
      <c r="H1352" s="18"/>
      <c r="I1352" s="19"/>
      <c r="J1352" s="19"/>
      <c r="K1352" s="19"/>
      <c r="L1352" s="18"/>
      <c r="M1352" s="18"/>
      <c r="N1352" s="18"/>
      <c r="O1352" s="18"/>
      <c r="P1352" s="18"/>
    </row>
    <row r="1353">
      <c r="A1353" s="18"/>
      <c r="B1353" s="18"/>
      <c r="C1353" s="18"/>
      <c r="D1353" s="18"/>
      <c r="E1353" s="18"/>
      <c r="F1353" s="18"/>
      <c r="G1353" s="18"/>
      <c r="H1353" s="18"/>
      <c r="I1353" s="19"/>
      <c r="J1353" s="19"/>
      <c r="K1353" s="19"/>
      <c r="L1353" s="18"/>
      <c r="M1353" s="18"/>
      <c r="N1353" s="18"/>
      <c r="O1353" s="18"/>
      <c r="P1353" s="18"/>
    </row>
    <row r="1354">
      <c r="A1354" s="18"/>
      <c r="B1354" s="18"/>
      <c r="C1354" s="18"/>
      <c r="D1354" s="18"/>
      <c r="E1354" s="18"/>
      <c r="F1354" s="18"/>
      <c r="G1354" s="18"/>
      <c r="H1354" s="18"/>
      <c r="I1354" s="19"/>
      <c r="J1354" s="19"/>
      <c r="K1354" s="19"/>
      <c r="L1354" s="18"/>
      <c r="M1354" s="18"/>
      <c r="N1354" s="18"/>
      <c r="O1354" s="18"/>
      <c r="P1354" s="18"/>
    </row>
    <row r="1355">
      <c r="A1355" s="18"/>
      <c r="B1355" s="18"/>
      <c r="C1355" s="18"/>
      <c r="D1355" s="18"/>
      <c r="E1355" s="18"/>
      <c r="F1355" s="18"/>
      <c r="G1355" s="18"/>
      <c r="H1355" s="18"/>
      <c r="I1355" s="19"/>
      <c r="J1355" s="19"/>
      <c r="K1355" s="19"/>
      <c r="L1355" s="18"/>
      <c r="M1355" s="18"/>
      <c r="N1355" s="18"/>
      <c r="O1355" s="18"/>
      <c r="P1355" s="18"/>
    </row>
    <row r="1356">
      <c r="A1356" s="18"/>
      <c r="B1356" s="18"/>
      <c r="C1356" s="18"/>
      <c r="D1356" s="18"/>
      <c r="E1356" s="18"/>
      <c r="F1356" s="18"/>
      <c r="G1356" s="18"/>
      <c r="H1356" s="18"/>
      <c r="I1356" s="19"/>
      <c r="J1356" s="19"/>
      <c r="K1356" s="19"/>
      <c r="L1356" s="18"/>
      <c r="M1356" s="18"/>
      <c r="N1356" s="18"/>
      <c r="O1356" s="18"/>
      <c r="P1356" s="18"/>
    </row>
    <row r="1357">
      <c r="A1357" s="18"/>
      <c r="B1357" s="18"/>
      <c r="C1357" s="18"/>
      <c r="D1357" s="18"/>
      <c r="E1357" s="18"/>
      <c r="F1357" s="18"/>
      <c r="G1357" s="18"/>
      <c r="H1357" s="18"/>
      <c r="I1357" s="19"/>
      <c r="J1357" s="19"/>
      <c r="K1357" s="19"/>
      <c r="L1357" s="18"/>
      <c r="M1357" s="18"/>
      <c r="N1357" s="18"/>
      <c r="O1357" s="18"/>
      <c r="P1357" s="18"/>
    </row>
    <row r="1358">
      <c r="A1358" s="18"/>
      <c r="B1358" s="18"/>
      <c r="C1358" s="18"/>
      <c r="D1358" s="18"/>
      <c r="E1358" s="18"/>
      <c r="F1358" s="18"/>
      <c r="G1358" s="18"/>
      <c r="H1358" s="18"/>
      <c r="I1358" s="19"/>
      <c r="J1358" s="19"/>
      <c r="K1358" s="19"/>
      <c r="L1358" s="18"/>
      <c r="M1358" s="18"/>
      <c r="N1358" s="18"/>
      <c r="O1358" s="18"/>
      <c r="P1358" s="18"/>
    </row>
    <row r="1359">
      <c r="A1359" s="18"/>
      <c r="B1359" s="18"/>
      <c r="C1359" s="18"/>
      <c r="D1359" s="18"/>
      <c r="E1359" s="18"/>
      <c r="F1359" s="18"/>
      <c r="G1359" s="18"/>
      <c r="H1359" s="18"/>
      <c r="I1359" s="19"/>
      <c r="J1359" s="19"/>
      <c r="K1359" s="19"/>
      <c r="L1359" s="18"/>
      <c r="M1359" s="18"/>
      <c r="N1359" s="18"/>
      <c r="O1359" s="18"/>
      <c r="P1359" s="18"/>
    </row>
    <row r="1360">
      <c r="A1360" s="18"/>
      <c r="B1360" s="18"/>
      <c r="C1360" s="18"/>
      <c r="D1360" s="18"/>
      <c r="E1360" s="18"/>
      <c r="F1360" s="18"/>
      <c r="G1360" s="18"/>
      <c r="H1360" s="18"/>
      <c r="I1360" s="19"/>
      <c r="J1360" s="19"/>
      <c r="K1360" s="19"/>
      <c r="L1360" s="18"/>
      <c r="M1360" s="18"/>
      <c r="N1360" s="18"/>
      <c r="O1360" s="18"/>
      <c r="P1360" s="18"/>
    </row>
    <row r="1361">
      <c r="A1361" s="18"/>
      <c r="B1361" s="18"/>
      <c r="C1361" s="18"/>
      <c r="D1361" s="18"/>
      <c r="E1361" s="18"/>
      <c r="F1361" s="18"/>
      <c r="G1361" s="18"/>
      <c r="H1361" s="18"/>
      <c r="I1361" s="19"/>
      <c r="J1361" s="19"/>
      <c r="K1361" s="19"/>
      <c r="L1361" s="18"/>
      <c r="M1361" s="18"/>
      <c r="N1361" s="18"/>
      <c r="O1361" s="18"/>
      <c r="P1361" s="18"/>
    </row>
    <row r="1362">
      <c r="A1362" s="18"/>
      <c r="B1362" s="18"/>
      <c r="C1362" s="18"/>
      <c r="D1362" s="18"/>
      <c r="E1362" s="18"/>
      <c r="F1362" s="18"/>
      <c r="G1362" s="18"/>
      <c r="H1362" s="18"/>
      <c r="I1362" s="19"/>
      <c r="J1362" s="19"/>
      <c r="K1362" s="19"/>
      <c r="L1362" s="18"/>
      <c r="M1362" s="18"/>
      <c r="N1362" s="18"/>
      <c r="O1362" s="18"/>
      <c r="P1362" s="18"/>
    </row>
    <row r="1363">
      <c r="A1363" s="18"/>
      <c r="B1363" s="18"/>
      <c r="C1363" s="18"/>
      <c r="D1363" s="18"/>
      <c r="E1363" s="18"/>
      <c r="F1363" s="18"/>
      <c r="G1363" s="18"/>
      <c r="H1363" s="18"/>
      <c r="I1363" s="19"/>
      <c r="J1363" s="19"/>
      <c r="K1363" s="19"/>
      <c r="L1363" s="18"/>
      <c r="M1363" s="18"/>
      <c r="N1363" s="18"/>
      <c r="O1363" s="18"/>
      <c r="P1363" s="18"/>
    </row>
    <row r="1364">
      <c r="A1364" s="18"/>
      <c r="B1364" s="18"/>
      <c r="C1364" s="18"/>
      <c r="D1364" s="18"/>
      <c r="E1364" s="18"/>
      <c r="F1364" s="18"/>
      <c r="G1364" s="18"/>
      <c r="H1364" s="18"/>
      <c r="I1364" s="19"/>
      <c r="J1364" s="19"/>
      <c r="K1364" s="19"/>
      <c r="L1364" s="18"/>
      <c r="M1364" s="18"/>
      <c r="N1364" s="18"/>
      <c r="O1364" s="18"/>
      <c r="P1364" s="18"/>
    </row>
    <row r="1365">
      <c r="A1365" s="18"/>
      <c r="B1365" s="18"/>
      <c r="C1365" s="18"/>
      <c r="D1365" s="18"/>
      <c r="E1365" s="18"/>
      <c r="F1365" s="18"/>
      <c r="G1365" s="18"/>
      <c r="H1365" s="18"/>
      <c r="I1365" s="19"/>
      <c r="J1365" s="19"/>
      <c r="K1365" s="19"/>
      <c r="L1365" s="18"/>
      <c r="M1365" s="18"/>
      <c r="N1365" s="18"/>
      <c r="O1365" s="18"/>
      <c r="P1365" s="18"/>
    </row>
    <row r="1366">
      <c r="A1366" s="18"/>
      <c r="B1366" s="18"/>
      <c r="C1366" s="18"/>
      <c r="D1366" s="18"/>
      <c r="E1366" s="18"/>
      <c r="F1366" s="18"/>
      <c r="G1366" s="18"/>
      <c r="H1366" s="18"/>
      <c r="I1366" s="19"/>
      <c r="J1366" s="19"/>
      <c r="K1366" s="19"/>
      <c r="L1366" s="18"/>
      <c r="M1366" s="18"/>
      <c r="N1366" s="18"/>
      <c r="O1366" s="18"/>
      <c r="P1366" s="18"/>
    </row>
    <row r="1367">
      <c r="A1367" s="18"/>
      <c r="B1367" s="18"/>
      <c r="C1367" s="18"/>
      <c r="D1367" s="18"/>
      <c r="E1367" s="18"/>
      <c r="F1367" s="18"/>
      <c r="G1367" s="18"/>
      <c r="H1367" s="18"/>
      <c r="I1367" s="19"/>
      <c r="J1367" s="19"/>
      <c r="K1367" s="19"/>
      <c r="L1367" s="18"/>
      <c r="M1367" s="18"/>
      <c r="N1367" s="18"/>
      <c r="O1367" s="18"/>
      <c r="P1367" s="18"/>
    </row>
    <row r="1368">
      <c r="A1368" s="18"/>
      <c r="B1368" s="18"/>
      <c r="C1368" s="18"/>
      <c r="D1368" s="18"/>
      <c r="E1368" s="18"/>
      <c r="F1368" s="18"/>
      <c r="G1368" s="18"/>
      <c r="H1368" s="18"/>
      <c r="I1368" s="19"/>
      <c r="J1368" s="19"/>
      <c r="K1368" s="19"/>
      <c r="L1368" s="18"/>
      <c r="M1368" s="18"/>
      <c r="N1368" s="18"/>
      <c r="O1368" s="18"/>
      <c r="P1368" s="18"/>
    </row>
    <row r="1369">
      <c r="A1369" s="18"/>
      <c r="B1369" s="18"/>
      <c r="C1369" s="18"/>
      <c r="D1369" s="18"/>
      <c r="E1369" s="18"/>
      <c r="F1369" s="18"/>
      <c r="G1369" s="18"/>
      <c r="H1369" s="18"/>
      <c r="I1369" s="19"/>
      <c r="J1369" s="19"/>
      <c r="K1369" s="19"/>
      <c r="L1369" s="18"/>
      <c r="M1369" s="18"/>
      <c r="N1369" s="18"/>
      <c r="O1369" s="18"/>
      <c r="P1369" s="18"/>
    </row>
    <row r="1370">
      <c r="A1370" s="18"/>
      <c r="B1370" s="18"/>
      <c r="C1370" s="18"/>
      <c r="D1370" s="18"/>
      <c r="E1370" s="18"/>
      <c r="F1370" s="18"/>
      <c r="G1370" s="18"/>
      <c r="H1370" s="18"/>
      <c r="I1370" s="19"/>
      <c r="J1370" s="19"/>
      <c r="K1370" s="19"/>
      <c r="L1370" s="18"/>
      <c r="M1370" s="18"/>
      <c r="N1370" s="18"/>
      <c r="O1370" s="18"/>
      <c r="P1370" s="18"/>
    </row>
    <row r="1371">
      <c r="A1371" s="18"/>
      <c r="B1371" s="18"/>
      <c r="C1371" s="18"/>
      <c r="D1371" s="18"/>
      <c r="E1371" s="18"/>
      <c r="F1371" s="18"/>
      <c r="G1371" s="18"/>
      <c r="H1371" s="18"/>
      <c r="I1371" s="19"/>
      <c r="J1371" s="19"/>
      <c r="K1371" s="19"/>
      <c r="L1371" s="18"/>
      <c r="M1371" s="18"/>
      <c r="N1371" s="18"/>
      <c r="O1371" s="18"/>
      <c r="P1371" s="18"/>
    </row>
    <row r="1372">
      <c r="A1372" s="18"/>
      <c r="B1372" s="18"/>
      <c r="C1372" s="18"/>
      <c r="D1372" s="18"/>
      <c r="E1372" s="18"/>
      <c r="F1372" s="18"/>
      <c r="G1372" s="18"/>
      <c r="H1372" s="18"/>
      <c r="I1372" s="19"/>
      <c r="J1372" s="19"/>
      <c r="K1372" s="19"/>
      <c r="L1372" s="18"/>
      <c r="M1372" s="18"/>
      <c r="N1372" s="18"/>
      <c r="O1372" s="18"/>
      <c r="P1372" s="18"/>
    </row>
    <row r="1373">
      <c r="A1373" s="18"/>
      <c r="B1373" s="18"/>
      <c r="C1373" s="18"/>
      <c r="D1373" s="18"/>
      <c r="E1373" s="18"/>
      <c r="F1373" s="18"/>
      <c r="G1373" s="18"/>
      <c r="H1373" s="18"/>
      <c r="I1373" s="19"/>
      <c r="J1373" s="19"/>
      <c r="K1373" s="19"/>
      <c r="L1373" s="18"/>
      <c r="M1373" s="18"/>
      <c r="N1373" s="18"/>
      <c r="O1373" s="18"/>
      <c r="P1373" s="18"/>
    </row>
    <row r="1374">
      <c r="A1374" s="18"/>
      <c r="B1374" s="18"/>
      <c r="C1374" s="18"/>
      <c r="D1374" s="18"/>
      <c r="E1374" s="18"/>
      <c r="F1374" s="18"/>
      <c r="G1374" s="18"/>
      <c r="H1374" s="18"/>
      <c r="I1374" s="19"/>
      <c r="J1374" s="19"/>
      <c r="K1374" s="19"/>
      <c r="L1374" s="18"/>
      <c r="M1374" s="18"/>
      <c r="N1374" s="18"/>
      <c r="O1374" s="18"/>
      <c r="P1374" s="18"/>
    </row>
    <row r="1375">
      <c r="A1375" s="18"/>
      <c r="B1375" s="18"/>
      <c r="C1375" s="18"/>
      <c r="D1375" s="18"/>
      <c r="E1375" s="18"/>
      <c r="F1375" s="18"/>
      <c r="G1375" s="18"/>
      <c r="H1375" s="18"/>
      <c r="I1375" s="19"/>
      <c r="J1375" s="19"/>
      <c r="K1375" s="19"/>
      <c r="L1375" s="18"/>
      <c r="M1375" s="18"/>
      <c r="N1375" s="18"/>
      <c r="O1375" s="18"/>
      <c r="P1375" s="18"/>
    </row>
    <row r="1376">
      <c r="A1376" s="18"/>
      <c r="B1376" s="18"/>
      <c r="C1376" s="18"/>
      <c r="D1376" s="18"/>
      <c r="E1376" s="18"/>
      <c r="F1376" s="18"/>
      <c r="G1376" s="18"/>
      <c r="H1376" s="18"/>
      <c r="I1376" s="19"/>
      <c r="J1376" s="19"/>
      <c r="K1376" s="19"/>
      <c r="L1376" s="18"/>
      <c r="M1376" s="18"/>
      <c r="N1376" s="18"/>
      <c r="O1376" s="18"/>
      <c r="P1376" s="18"/>
    </row>
    <row r="1377">
      <c r="A1377" s="18"/>
      <c r="B1377" s="18"/>
      <c r="C1377" s="18"/>
      <c r="D1377" s="18"/>
      <c r="E1377" s="18"/>
      <c r="F1377" s="18"/>
      <c r="G1377" s="18"/>
      <c r="H1377" s="18"/>
      <c r="I1377" s="19"/>
      <c r="J1377" s="19"/>
      <c r="K1377" s="19"/>
      <c r="L1377" s="18"/>
      <c r="M1377" s="18"/>
      <c r="N1377" s="18"/>
      <c r="O1377" s="18"/>
      <c r="P1377" s="18"/>
    </row>
    <row r="1378">
      <c r="A1378" s="18"/>
      <c r="B1378" s="18"/>
      <c r="C1378" s="18"/>
      <c r="D1378" s="18"/>
      <c r="E1378" s="18"/>
      <c r="F1378" s="18"/>
      <c r="G1378" s="18"/>
      <c r="H1378" s="18"/>
      <c r="I1378" s="19"/>
      <c r="J1378" s="19"/>
      <c r="K1378" s="19"/>
      <c r="L1378" s="18"/>
      <c r="M1378" s="18"/>
      <c r="N1378" s="18"/>
      <c r="O1378" s="18"/>
      <c r="P1378" s="18"/>
    </row>
    <row r="1379">
      <c r="A1379" s="18"/>
      <c r="B1379" s="18"/>
      <c r="C1379" s="18"/>
      <c r="D1379" s="18"/>
      <c r="E1379" s="18"/>
      <c r="F1379" s="18"/>
      <c r="G1379" s="18"/>
      <c r="H1379" s="18"/>
      <c r="I1379" s="19"/>
      <c r="J1379" s="19"/>
      <c r="K1379" s="19"/>
      <c r="L1379" s="18"/>
      <c r="M1379" s="18"/>
      <c r="N1379" s="18"/>
      <c r="O1379" s="18"/>
      <c r="P1379" s="18"/>
    </row>
    <row r="1380">
      <c r="A1380" s="18"/>
      <c r="B1380" s="18"/>
      <c r="C1380" s="18"/>
      <c r="D1380" s="18"/>
      <c r="E1380" s="18"/>
      <c r="F1380" s="18"/>
      <c r="G1380" s="18"/>
      <c r="H1380" s="18"/>
      <c r="I1380" s="19"/>
      <c r="J1380" s="19"/>
      <c r="K1380" s="19"/>
      <c r="L1380" s="18"/>
      <c r="M1380" s="18"/>
      <c r="N1380" s="18"/>
      <c r="O1380" s="18"/>
      <c r="P1380" s="18"/>
    </row>
    <row r="1381">
      <c r="A1381" s="18"/>
      <c r="B1381" s="18"/>
      <c r="C1381" s="18"/>
      <c r="D1381" s="18"/>
      <c r="E1381" s="18"/>
      <c r="F1381" s="18"/>
      <c r="G1381" s="18"/>
      <c r="H1381" s="18"/>
      <c r="I1381" s="19"/>
      <c r="J1381" s="19"/>
      <c r="K1381" s="19"/>
      <c r="L1381" s="18"/>
      <c r="M1381" s="18"/>
      <c r="N1381" s="18"/>
      <c r="O1381" s="18"/>
      <c r="P1381" s="18"/>
    </row>
    <row r="1382">
      <c r="A1382" s="18"/>
      <c r="B1382" s="18"/>
      <c r="C1382" s="18"/>
      <c r="D1382" s="18"/>
      <c r="E1382" s="18"/>
      <c r="F1382" s="18"/>
      <c r="G1382" s="18"/>
      <c r="H1382" s="18"/>
      <c r="I1382" s="19"/>
      <c r="J1382" s="19"/>
      <c r="K1382" s="19"/>
      <c r="L1382" s="18"/>
      <c r="M1382" s="18"/>
      <c r="N1382" s="18"/>
      <c r="O1382" s="18"/>
      <c r="P1382" s="18"/>
    </row>
    <row r="1383">
      <c r="A1383" s="18"/>
      <c r="B1383" s="18"/>
      <c r="C1383" s="18"/>
      <c r="D1383" s="18"/>
      <c r="E1383" s="18"/>
      <c r="F1383" s="18"/>
      <c r="G1383" s="18"/>
      <c r="H1383" s="18"/>
      <c r="I1383" s="19"/>
      <c r="J1383" s="19"/>
      <c r="K1383" s="19"/>
      <c r="L1383" s="18"/>
      <c r="M1383" s="18"/>
      <c r="N1383" s="18"/>
      <c r="O1383" s="18"/>
      <c r="P1383" s="18"/>
    </row>
    <row r="1384">
      <c r="A1384" s="18"/>
      <c r="B1384" s="18"/>
      <c r="C1384" s="18"/>
      <c r="D1384" s="18"/>
      <c r="E1384" s="18"/>
      <c r="F1384" s="18"/>
      <c r="G1384" s="18"/>
      <c r="H1384" s="18"/>
      <c r="I1384" s="19"/>
      <c r="J1384" s="19"/>
      <c r="K1384" s="19"/>
      <c r="L1384" s="18"/>
      <c r="M1384" s="18"/>
      <c r="N1384" s="18"/>
      <c r="O1384" s="18"/>
      <c r="P1384" s="18"/>
    </row>
    <row r="1385">
      <c r="A1385" s="18"/>
      <c r="B1385" s="18"/>
      <c r="C1385" s="18"/>
      <c r="D1385" s="18"/>
      <c r="E1385" s="18"/>
      <c r="F1385" s="18"/>
      <c r="G1385" s="18"/>
      <c r="H1385" s="18"/>
      <c r="I1385" s="19"/>
      <c r="J1385" s="19"/>
      <c r="K1385" s="19"/>
      <c r="L1385" s="18"/>
      <c r="M1385" s="18"/>
      <c r="N1385" s="18"/>
      <c r="O1385" s="18"/>
      <c r="P1385" s="18"/>
    </row>
    <row r="1386">
      <c r="A1386" s="18"/>
      <c r="B1386" s="18"/>
      <c r="C1386" s="18"/>
      <c r="D1386" s="18"/>
      <c r="E1386" s="18"/>
      <c r="F1386" s="18"/>
      <c r="G1386" s="18"/>
      <c r="H1386" s="18"/>
      <c r="I1386" s="19"/>
      <c r="J1386" s="19"/>
      <c r="K1386" s="19"/>
      <c r="L1386" s="18"/>
      <c r="M1386" s="18"/>
      <c r="N1386" s="18"/>
      <c r="O1386" s="18"/>
      <c r="P1386" s="18"/>
    </row>
    <row r="1387">
      <c r="A1387" s="18"/>
      <c r="B1387" s="18"/>
      <c r="C1387" s="18"/>
      <c r="D1387" s="18"/>
      <c r="E1387" s="18"/>
      <c r="F1387" s="18"/>
      <c r="G1387" s="18"/>
      <c r="H1387" s="18"/>
      <c r="I1387" s="19"/>
      <c r="J1387" s="19"/>
      <c r="K1387" s="19"/>
      <c r="L1387" s="18"/>
      <c r="M1387" s="18"/>
      <c r="N1387" s="18"/>
      <c r="O1387" s="18"/>
      <c r="P1387" s="18"/>
    </row>
    <row r="1388">
      <c r="A1388" s="18"/>
      <c r="B1388" s="18"/>
      <c r="C1388" s="18"/>
      <c r="D1388" s="18"/>
      <c r="E1388" s="18"/>
      <c r="F1388" s="18"/>
      <c r="G1388" s="18"/>
      <c r="H1388" s="18"/>
      <c r="I1388" s="19"/>
      <c r="J1388" s="19"/>
      <c r="K1388" s="19"/>
      <c r="L1388" s="18"/>
      <c r="M1388" s="18"/>
      <c r="N1388" s="18"/>
      <c r="O1388" s="18"/>
      <c r="P1388" s="18"/>
    </row>
    <row r="1389">
      <c r="A1389" s="18"/>
      <c r="B1389" s="18"/>
      <c r="C1389" s="18"/>
      <c r="D1389" s="18"/>
      <c r="E1389" s="18"/>
      <c r="F1389" s="18"/>
      <c r="G1389" s="18"/>
      <c r="H1389" s="18"/>
      <c r="I1389" s="19"/>
      <c r="J1389" s="19"/>
      <c r="K1389" s="19"/>
      <c r="L1389" s="18"/>
      <c r="M1389" s="18"/>
      <c r="N1389" s="18"/>
      <c r="O1389" s="18"/>
      <c r="P1389" s="18"/>
    </row>
    <row r="1390">
      <c r="A1390" s="18"/>
      <c r="B1390" s="18"/>
      <c r="C1390" s="18"/>
      <c r="D1390" s="18"/>
      <c r="E1390" s="18"/>
      <c r="F1390" s="18"/>
      <c r="G1390" s="18"/>
      <c r="H1390" s="18"/>
      <c r="I1390" s="19"/>
      <c r="J1390" s="19"/>
      <c r="K1390" s="19"/>
      <c r="L1390" s="18"/>
      <c r="M1390" s="18"/>
      <c r="N1390" s="18"/>
      <c r="O1390" s="18"/>
      <c r="P1390" s="18"/>
    </row>
    <row r="1391">
      <c r="A1391" s="18"/>
      <c r="B1391" s="18"/>
      <c r="C1391" s="18"/>
      <c r="D1391" s="18"/>
      <c r="E1391" s="18"/>
      <c r="F1391" s="18"/>
      <c r="G1391" s="18"/>
      <c r="H1391" s="18"/>
      <c r="I1391" s="19"/>
      <c r="J1391" s="19"/>
      <c r="K1391" s="19"/>
      <c r="L1391" s="18"/>
      <c r="M1391" s="18"/>
      <c r="N1391" s="18"/>
      <c r="O1391" s="18"/>
      <c r="P1391" s="18"/>
    </row>
    <row r="1392">
      <c r="A1392" s="18"/>
      <c r="B1392" s="18"/>
      <c r="C1392" s="18"/>
      <c r="D1392" s="18"/>
      <c r="E1392" s="18"/>
      <c r="F1392" s="18"/>
      <c r="G1392" s="18"/>
      <c r="H1392" s="18"/>
      <c r="I1392" s="19"/>
      <c r="J1392" s="19"/>
      <c r="K1392" s="19"/>
      <c r="L1392" s="18"/>
      <c r="M1392" s="18"/>
      <c r="N1392" s="18"/>
      <c r="O1392" s="18"/>
      <c r="P1392" s="18"/>
    </row>
    <row r="1393">
      <c r="A1393" s="18"/>
      <c r="B1393" s="18"/>
      <c r="C1393" s="18"/>
      <c r="D1393" s="18"/>
      <c r="E1393" s="18"/>
      <c r="F1393" s="18"/>
      <c r="G1393" s="18"/>
      <c r="H1393" s="18"/>
      <c r="I1393" s="19"/>
      <c r="J1393" s="19"/>
      <c r="K1393" s="19"/>
      <c r="L1393" s="18"/>
      <c r="M1393" s="18"/>
      <c r="N1393" s="18"/>
      <c r="O1393" s="18"/>
      <c r="P1393" s="18"/>
    </row>
    <row r="1394">
      <c r="A1394" s="18"/>
      <c r="B1394" s="18"/>
      <c r="C1394" s="18"/>
      <c r="D1394" s="18"/>
      <c r="E1394" s="18"/>
      <c r="F1394" s="18"/>
      <c r="G1394" s="18"/>
      <c r="H1394" s="18"/>
      <c r="I1394" s="19"/>
      <c r="J1394" s="19"/>
      <c r="K1394" s="19"/>
      <c r="L1394" s="18"/>
      <c r="M1394" s="18"/>
      <c r="N1394" s="18"/>
      <c r="O1394" s="18"/>
      <c r="P1394" s="18"/>
    </row>
    <row r="1395">
      <c r="A1395" s="18"/>
      <c r="B1395" s="18"/>
      <c r="C1395" s="18"/>
      <c r="D1395" s="18"/>
      <c r="E1395" s="18"/>
      <c r="F1395" s="18"/>
      <c r="G1395" s="18"/>
      <c r="H1395" s="18"/>
      <c r="I1395" s="19"/>
      <c r="J1395" s="19"/>
      <c r="K1395" s="19"/>
      <c r="L1395" s="18"/>
      <c r="M1395" s="18"/>
      <c r="N1395" s="18"/>
      <c r="O1395" s="18"/>
      <c r="P1395" s="18"/>
    </row>
    <row r="1396">
      <c r="A1396" s="18"/>
      <c r="B1396" s="18"/>
      <c r="C1396" s="18"/>
      <c r="D1396" s="18"/>
      <c r="E1396" s="18"/>
      <c r="F1396" s="18"/>
      <c r="G1396" s="18"/>
      <c r="H1396" s="18"/>
      <c r="I1396" s="19"/>
      <c r="J1396" s="19"/>
      <c r="K1396" s="19"/>
      <c r="L1396" s="18"/>
      <c r="M1396" s="18"/>
      <c r="N1396" s="18"/>
      <c r="O1396" s="18"/>
      <c r="P1396" s="18"/>
    </row>
    <row r="1397">
      <c r="A1397" s="18"/>
      <c r="B1397" s="18"/>
      <c r="C1397" s="18"/>
      <c r="D1397" s="18"/>
      <c r="E1397" s="18"/>
      <c r="F1397" s="18"/>
      <c r="G1397" s="18"/>
      <c r="H1397" s="18"/>
      <c r="I1397" s="19"/>
      <c r="J1397" s="19"/>
      <c r="K1397" s="19"/>
      <c r="L1397" s="18"/>
      <c r="M1397" s="18"/>
      <c r="N1397" s="18"/>
      <c r="O1397" s="18"/>
      <c r="P1397" s="18"/>
    </row>
    <row r="1398">
      <c r="A1398" s="18"/>
      <c r="B1398" s="18"/>
      <c r="C1398" s="18"/>
      <c r="D1398" s="18"/>
      <c r="E1398" s="18"/>
      <c r="F1398" s="18"/>
      <c r="G1398" s="18"/>
      <c r="H1398" s="18"/>
      <c r="I1398" s="19"/>
      <c r="J1398" s="19"/>
      <c r="K1398" s="19"/>
      <c r="L1398" s="18"/>
      <c r="M1398" s="18"/>
      <c r="N1398" s="18"/>
      <c r="O1398" s="18"/>
      <c r="P1398" s="18"/>
    </row>
    <row r="1399">
      <c r="A1399" s="18"/>
      <c r="B1399" s="18"/>
      <c r="C1399" s="18"/>
      <c r="D1399" s="18"/>
      <c r="E1399" s="18"/>
      <c r="F1399" s="18"/>
      <c r="G1399" s="18"/>
      <c r="H1399" s="18"/>
      <c r="I1399" s="19"/>
      <c r="J1399" s="19"/>
      <c r="K1399" s="19"/>
      <c r="L1399" s="18"/>
      <c r="M1399" s="18"/>
      <c r="N1399" s="18"/>
      <c r="O1399" s="18"/>
      <c r="P1399" s="18"/>
    </row>
    <row r="1400">
      <c r="A1400" s="18"/>
      <c r="B1400" s="18"/>
      <c r="C1400" s="18"/>
      <c r="D1400" s="18"/>
      <c r="E1400" s="18"/>
      <c r="F1400" s="18"/>
      <c r="G1400" s="18"/>
      <c r="H1400" s="18"/>
      <c r="I1400" s="19"/>
      <c r="J1400" s="19"/>
      <c r="K1400" s="19"/>
      <c r="L1400" s="18"/>
      <c r="M1400" s="18"/>
      <c r="N1400" s="18"/>
      <c r="O1400" s="18"/>
      <c r="P1400" s="18"/>
    </row>
    <row r="1401">
      <c r="A1401" s="18"/>
      <c r="B1401" s="18"/>
      <c r="C1401" s="18"/>
      <c r="D1401" s="18"/>
      <c r="E1401" s="18"/>
      <c r="F1401" s="18"/>
      <c r="G1401" s="18"/>
      <c r="H1401" s="18"/>
      <c r="I1401" s="19"/>
      <c r="J1401" s="19"/>
      <c r="K1401" s="19"/>
      <c r="L1401" s="18"/>
      <c r="M1401" s="18"/>
      <c r="N1401" s="18"/>
      <c r="O1401" s="18"/>
      <c r="P1401" s="18"/>
    </row>
    <row r="1402">
      <c r="A1402" s="18"/>
      <c r="B1402" s="18"/>
      <c r="C1402" s="18"/>
      <c r="D1402" s="18"/>
      <c r="E1402" s="18"/>
      <c r="F1402" s="18"/>
      <c r="G1402" s="18"/>
      <c r="H1402" s="18"/>
      <c r="I1402" s="19"/>
      <c r="J1402" s="19"/>
      <c r="K1402" s="19"/>
      <c r="L1402" s="18"/>
      <c r="M1402" s="18"/>
      <c r="N1402" s="18"/>
      <c r="O1402" s="18"/>
      <c r="P1402" s="18"/>
    </row>
    <row r="1403">
      <c r="A1403" s="18"/>
      <c r="B1403" s="18"/>
      <c r="C1403" s="18"/>
      <c r="D1403" s="18"/>
      <c r="E1403" s="18"/>
      <c r="F1403" s="18"/>
      <c r="G1403" s="18"/>
      <c r="H1403" s="18"/>
      <c r="I1403" s="19"/>
      <c r="J1403" s="19"/>
      <c r="K1403" s="19"/>
      <c r="L1403" s="18"/>
      <c r="M1403" s="18"/>
      <c r="N1403" s="18"/>
      <c r="O1403" s="18"/>
      <c r="P1403" s="18"/>
    </row>
    <row r="1404">
      <c r="A1404" s="18"/>
      <c r="B1404" s="18"/>
      <c r="C1404" s="18"/>
      <c r="D1404" s="18"/>
      <c r="E1404" s="18"/>
      <c r="F1404" s="18"/>
      <c r="G1404" s="18"/>
      <c r="H1404" s="18"/>
      <c r="I1404" s="19"/>
      <c r="J1404" s="19"/>
      <c r="K1404" s="19"/>
      <c r="L1404" s="18"/>
      <c r="M1404" s="18"/>
      <c r="N1404" s="18"/>
      <c r="O1404" s="18"/>
      <c r="P1404" s="18"/>
    </row>
    <row r="1405">
      <c r="A1405" s="18"/>
      <c r="B1405" s="18"/>
      <c r="C1405" s="18"/>
      <c r="D1405" s="18"/>
      <c r="E1405" s="18"/>
      <c r="F1405" s="18"/>
      <c r="G1405" s="18"/>
      <c r="H1405" s="18"/>
      <c r="I1405" s="19"/>
      <c r="J1405" s="19"/>
      <c r="K1405" s="19"/>
      <c r="L1405" s="18"/>
      <c r="M1405" s="18"/>
      <c r="N1405" s="18"/>
      <c r="O1405" s="18"/>
      <c r="P1405" s="18"/>
    </row>
    <row r="1406">
      <c r="A1406" s="18"/>
      <c r="B1406" s="18"/>
      <c r="C1406" s="18"/>
      <c r="D1406" s="18"/>
      <c r="E1406" s="18"/>
      <c r="F1406" s="18"/>
      <c r="G1406" s="18"/>
      <c r="H1406" s="18"/>
      <c r="I1406" s="19"/>
      <c r="J1406" s="19"/>
      <c r="K1406" s="19"/>
      <c r="L1406" s="18"/>
      <c r="M1406" s="18"/>
      <c r="N1406" s="18"/>
      <c r="O1406" s="18"/>
      <c r="P1406" s="18"/>
    </row>
    <row r="1407">
      <c r="A1407" s="18"/>
      <c r="B1407" s="18"/>
      <c r="C1407" s="18"/>
      <c r="D1407" s="18"/>
      <c r="E1407" s="18"/>
      <c r="F1407" s="18"/>
      <c r="G1407" s="18"/>
      <c r="H1407" s="18"/>
      <c r="I1407" s="19"/>
      <c r="J1407" s="19"/>
      <c r="K1407" s="19"/>
      <c r="L1407" s="18"/>
      <c r="M1407" s="18"/>
      <c r="N1407" s="18"/>
      <c r="O1407" s="18"/>
      <c r="P1407" s="18"/>
    </row>
    <row r="1408">
      <c r="A1408" s="18"/>
      <c r="B1408" s="18"/>
      <c r="C1408" s="18"/>
      <c r="D1408" s="18"/>
      <c r="E1408" s="18"/>
      <c r="F1408" s="18"/>
      <c r="G1408" s="18"/>
      <c r="H1408" s="18"/>
      <c r="I1408" s="19"/>
      <c r="J1408" s="19"/>
      <c r="K1408" s="19"/>
      <c r="L1408" s="18"/>
      <c r="M1408" s="18"/>
      <c r="N1408" s="18"/>
      <c r="O1408" s="18"/>
      <c r="P1408" s="18"/>
    </row>
    <row r="1409">
      <c r="A1409" s="18"/>
      <c r="B1409" s="18"/>
      <c r="C1409" s="18"/>
      <c r="D1409" s="18"/>
      <c r="E1409" s="18"/>
      <c r="F1409" s="18"/>
      <c r="G1409" s="18"/>
      <c r="H1409" s="18"/>
      <c r="I1409" s="19"/>
      <c r="J1409" s="19"/>
      <c r="K1409" s="19"/>
      <c r="L1409" s="18"/>
      <c r="M1409" s="18"/>
      <c r="N1409" s="18"/>
      <c r="O1409" s="18"/>
      <c r="P1409" s="18"/>
    </row>
    <row r="1410">
      <c r="A1410" s="18"/>
      <c r="B1410" s="18"/>
      <c r="C1410" s="18"/>
      <c r="D1410" s="18"/>
      <c r="E1410" s="18"/>
      <c r="F1410" s="18"/>
      <c r="G1410" s="18"/>
      <c r="H1410" s="18"/>
      <c r="I1410" s="19"/>
      <c r="J1410" s="19"/>
      <c r="K1410" s="19"/>
      <c r="L1410" s="18"/>
      <c r="M1410" s="18"/>
      <c r="N1410" s="18"/>
      <c r="O1410" s="18"/>
      <c r="P1410" s="18"/>
    </row>
    <row r="1411">
      <c r="A1411" s="18"/>
      <c r="B1411" s="18"/>
      <c r="C1411" s="18"/>
      <c r="D1411" s="18"/>
      <c r="E1411" s="18"/>
      <c r="F1411" s="18"/>
      <c r="G1411" s="18"/>
      <c r="H1411" s="18"/>
      <c r="I1411" s="19"/>
      <c r="J1411" s="19"/>
      <c r="K1411" s="19"/>
      <c r="L1411" s="18"/>
      <c r="M1411" s="18"/>
      <c r="N1411" s="18"/>
      <c r="O1411" s="18"/>
      <c r="P1411" s="18"/>
    </row>
    <row r="1412">
      <c r="A1412" s="18"/>
      <c r="B1412" s="18"/>
      <c r="C1412" s="18"/>
      <c r="D1412" s="18"/>
      <c r="E1412" s="18"/>
      <c r="F1412" s="18"/>
      <c r="G1412" s="18"/>
      <c r="H1412" s="18"/>
      <c r="I1412" s="19"/>
      <c r="J1412" s="19"/>
      <c r="K1412" s="19"/>
      <c r="L1412" s="18"/>
      <c r="M1412" s="18"/>
      <c r="N1412" s="18"/>
      <c r="O1412" s="18"/>
      <c r="P1412" s="18"/>
    </row>
    <row r="1413">
      <c r="A1413" s="18"/>
      <c r="B1413" s="18"/>
      <c r="C1413" s="18"/>
      <c r="D1413" s="18"/>
      <c r="E1413" s="18"/>
      <c r="F1413" s="18"/>
      <c r="G1413" s="18"/>
      <c r="H1413" s="18"/>
      <c r="I1413" s="19"/>
      <c r="J1413" s="19"/>
      <c r="K1413" s="19"/>
      <c r="L1413" s="18"/>
      <c r="M1413" s="18"/>
      <c r="N1413" s="18"/>
      <c r="O1413" s="18"/>
      <c r="P1413" s="18"/>
    </row>
    <row r="1414">
      <c r="A1414" s="18"/>
      <c r="B1414" s="18"/>
      <c r="C1414" s="18"/>
      <c r="D1414" s="18"/>
      <c r="E1414" s="18"/>
      <c r="F1414" s="18"/>
      <c r="G1414" s="18"/>
      <c r="H1414" s="18"/>
      <c r="I1414" s="19"/>
      <c r="J1414" s="19"/>
      <c r="K1414" s="19"/>
      <c r="L1414" s="18"/>
      <c r="M1414" s="18"/>
      <c r="N1414" s="18"/>
      <c r="O1414" s="18"/>
      <c r="P1414" s="18"/>
    </row>
    <row r="1415">
      <c r="A1415" s="18"/>
      <c r="B1415" s="18"/>
      <c r="C1415" s="18"/>
      <c r="D1415" s="18"/>
      <c r="E1415" s="18"/>
      <c r="F1415" s="18"/>
      <c r="G1415" s="18"/>
      <c r="H1415" s="18"/>
      <c r="I1415" s="19"/>
      <c r="J1415" s="19"/>
      <c r="K1415" s="19"/>
      <c r="L1415" s="18"/>
      <c r="M1415" s="18"/>
      <c r="N1415" s="18"/>
      <c r="O1415" s="18"/>
      <c r="P1415" s="18"/>
    </row>
    <row r="1416">
      <c r="A1416" s="18"/>
      <c r="B1416" s="18"/>
      <c r="C1416" s="18"/>
      <c r="D1416" s="18"/>
      <c r="E1416" s="18"/>
      <c r="F1416" s="18"/>
      <c r="G1416" s="18"/>
      <c r="H1416" s="18"/>
      <c r="I1416" s="19"/>
      <c r="J1416" s="19"/>
      <c r="K1416" s="19"/>
      <c r="L1416" s="18"/>
      <c r="M1416" s="18"/>
      <c r="N1416" s="18"/>
      <c r="O1416" s="18"/>
      <c r="P1416" s="18"/>
    </row>
    <row r="1417">
      <c r="A1417" s="18"/>
      <c r="B1417" s="18"/>
      <c r="C1417" s="18"/>
      <c r="D1417" s="18"/>
      <c r="E1417" s="18"/>
      <c r="F1417" s="18"/>
      <c r="G1417" s="18"/>
      <c r="H1417" s="18"/>
      <c r="I1417" s="19"/>
      <c r="J1417" s="19"/>
      <c r="K1417" s="19"/>
      <c r="L1417" s="18"/>
      <c r="M1417" s="18"/>
      <c r="N1417" s="18"/>
      <c r="O1417" s="18"/>
      <c r="P1417" s="18"/>
    </row>
    <row r="1418">
      <c r="A1418" s="18"/>
      <c r="B1418" s="18"/>
      <c r="C1418" s="18"/>
      <c r="D1418" s="18"/>
      <c r="E1418" s="18"/>
      <c r="F1418" s="18"/>
      <c r="G1418" s="18"/>
      <c r="H1418" s="18"/>
      <c r="I1418" s="19"/>
      <c r="J1418" s="19"/>
      <c r="K1418" s="19"/>
      <c r="L1418" s="18"/>
      <c r="M1418" s="18"/>
      <c r="N1418" s="18"/>
      <c r="O1418" s="18"/>
      <c r="P1418" s="18"/>
    </row>
    <row r="1419">
      <c r="A1419" s="18"/>
      <c r="B1419" s="18"/>
      <c r="C1419" s="18"/>
      <c r="D1419" s="18"/>
      <c r="E1419" s="18"/>
      <c r="F1419" s="18"/>
      <c r="G1419" s="18"/>
      <c r="H1419" s="18"/>
      <c r="I1419" s="19"/>
      <c r="J1419" s="19"/>
      <c r="K1419" s="19"/>
      <c r="L1419" s="18"/>
      <c r="M1419" s="18"/>
      <c r="N1419" s="18"/>
      <c r="O1419" s="18"/>
      <c r="P1419" s="18"/>
    </row>
    <row r="1420">
      <c r="A1420" s="18"/>
      <c r="B1420" s="18"/>
      <c r="C1420" s="18"/>
      <c r="D1420" s="18"/>
      <c r="E1420" s="18"/>
      <c r="F1420" s="18"/>
      <c r="G1420" s="18"/>
      <c r="H1420" s="18"/>
      <c r="I1420" s="19"/>
      <c r="J1420" s="19"/>
      <c r="K1420" s="19"/>
      <c r="L1420" s="18"/>
      <c r="M1420" s="18"/>
      <c r="N1420" s="18"/>
      <c r="O1420" s="18"/>
      <c r="P1420" s="18"/>
    </row>
    <row r="1421">
      <c r="A1421" s="18"/>
      <c r="B1421" s="18"/>
      <c r="C1421" s="18"/>
      <c r="D1421" s="18"/>
      <c r="E1421" s="18"/>
      <c r="F1421" s="18"/>
      <c r="G1421" s="18"/>
      <c r="H1421" s="18"/>
      <c r="I1421" s="19"/>
      <c r="J1421" s="19"/>
      <c r="K1421" s="19"/>
      <c r="L1421" s="18"/>
      <c r="M1421" s="18"/>
      <c r="N1421" s="18"/>
      <c r="O1421" s="18"/>
      <c r="P1421" s="18"/>
    </row>
    <row r="1422">
      <c r="A1422" s="18"/>
      <c r="B1422" s="18"/>
      <c r="C1422" s="18"/>
      <c r="D1422" s="18"/>
      <c r="E1422" s="18"/>
      <c r="F1422" s="18"/>
      <c r="G1422" s="18"/>
      <c r="H1422" s="18"/>
      <c r="I1422" s="19"/>
      <c r="J1422" s="19"/>
      <c r="K1422" s="19"/>
      <c r="L1422" s="18"/>
      <c r="M1422" s="18"/>
      <c r="N1422" s="18"/>
      <c r="O1422" s="18"/>
      <c r="P1422" s="18"/>
    </row>
    <row r="1423">
      <c r="A1423" s="18"/>
      <c r="B1423" s="18"/>
      <c r="C1423" s="18"/>
      <c r="D1423" s="18"/>
      <c r="E1423" s="18"/>
      <c r="F1423" s="18"/>
      <c r="G1423" s="18"/>
      <c r="H1423" s="18"/>
      <c r="I1423" s="19"/>
      <c r="J1423" s="19"/>
      <c r="K1423" s="19"/>
      <c r="L1423" s="18"/>
      <c r="M1423" s="18"/>
      <c r="N1423" s="18"/>
      <c r="O1423" s="18"/>
      <c r="P1423" s="18"/>
    </row>
    <row r="1424">
      <c r="A1424" s="18"/>
      <c r="B1424" s="18"/>
      <c r="C1424" s="18"/>
      <c r="D1424" s="18"/>
      <c r="E1424" s="18"/>
      <c r="F1424" s="18"/>
      <c r="G1424" s="18"/>
      <c r="H1424" s="18"/>
      <c r="I1424" s="19"/>
      <c r="J1424" s="19"/>
      <c r="K1424" s="19"/>
      <c r="L1424" s="18"/>
      <c r="M1424" s="18"/>
      <c r="N1424" s="18"/>
      <c r="O1424" s="18"/>
      <c r="P1424" s="18"/>
    </row>
    <row r="1425">
      <c r="A1425" s="18"/>
      <c r="B1425" s="18"/>
      <c r="C1425" s="18"/>
      <c r="D1425" s="18"/>
      <c r="E1425" s="18"/>
      <c r="F1425" s="18"/>
      <c r="G1425" s="18"/>
      <c r="H1425" s="18"/>
      <c r="I1425" s="19"/>
      <c r="J1425" s="19"/>
      <c r="K1425" s="19"/>
      <c r="L1425" s="18"/>
      <c r="M1425" s="18"/>
      <c r="N1425" s="18"/>
      <c r="O1425" s="18"/>
      <c r="P1425" s="18"/>
    </row>
    <row r="1426">
      <c r="A1426" s="18"/>
      <c r="B1426" s="18"/>
      <c r="C1426" s="18"/>
      <c r="D1426" s="18"/>
      <c r="E1426" s="18"/>
      <c r="F1426" s="18"/>
      <c r="G1426" s="18"/>
      <c r="H1426" s="18"/>
      <c r="I1426" s="19"/>
      <c r="J1426" s="19"/>
      <c r="K1426" s="19"/>
      <c r="L1426" s="18"/>
      <c r="M1426" s="18"/>
      <c r="N1426" s="18"/>
      <c r="O1426" s="18"/>
      <c r="P1426" s="18"/>
    </row>
    <row r="1427">
      <c r="A1427" s="18"/>
      <c r="B1427" s="18"/>
      <c r="C1427" s="18"/>
      <c r="D1427" s="18"/>
      <c r="E1427" s="18"/>
      <c r="F1427" s="18"/>
      <c r="G1427" s="18"/>
      <c r="H1427" s="18"/>
      <c r="I1427" s="19"/>
      <c r="J1427" s="19"/>
      <c r="K1427" s="19"/>
      <c r="L1427" s="18"/>
      <c r="M1427" s="18"/>
      <c r="N1427" s="18"/>
      <c r="O1427" s="18"/>
      <c r="P1427" s="18"/>
    </row>
    <row r="1428">
      <c r="A1428" s="18"/>
      <c r="B1428" s="18"/>
      <c r="C1428" s="18"/>
      <c r="D1428" s="18"/>
      <c r="E1428" s="18"/>
      <c r="F1428" s="18"/>
      <c r="G1428" s="18"/>
      <c r="H1428" s="18"/>
      <c r="I1428" s="19"/>
      <c r="J1428" s="19"/>
      <c r="K1428" s="19"/>
      <c r="L1428" s="18"/>
      <c r="M1428" s="18"/>
      <c r="N1428" s="18"/>
      <c r="O1428" s="18"/>
      <c r="P1428" s="18"/>
    </row>
    <row r="1429">
      <c r="A1429" s="18"/>
      <c r="B1429" s="18"/>
      <c r="C1429" s="18"/>
      <c r="D1429" s="18"/>
      <c r="E1429" s="18"/>
      <c r="F1429" s="18"/>
      <c r="G1429" s="18"/>
      <c r="H1429" s="18"/>
      <c r="I1429" s="19"/>
      <c r="J1429" s="19"/>
      <c r="K1429" s="19"/>
      <c r="L1429" s="18"/>
      <c r="M1429" s="18"/>
      <c r="N1429" s="18"/>
      <c r="O1429" s="18"/>
      <c r="P1429" s="18"/>
    </row>
    <row r="1430">
      <c r="A1430" s="18"/>
      <c r="B1430" s="18"/>
      <c r="C1430" s="18"/>
      <c r="D1430" s="18"/>
      <c r="E1430" s="18"/>
      <c r="F1430" s="18"/>
      <c r="G1430" s="18"/>
      <c r="H1430" s="18"/>
      <c r="I1430" s="19"/>
      <c r="J1430" s="19"/>
      <c r="K1430" s="19"/>
      <c r="L1430" s="18"/>
      <c r="M1430" s="18"/>
      <c r="N1430" s="18"/>
      <c r="O1430" s="18"/>
      <c r="P1430" s="18"/>
    </row>
    <row r="1431">
      <c r="A1431" s="18"/>
      <c r="B1431" s="18"/>
      <c r="C1431" s="18"/>
      <c r="D1431" s="18"/>
      <c r="E1431" s="18"/>
      <c r="F1431" s="18"/>
      <c r="G1431" s="18"/>
      <c r="H1431" s="18"/>
      <c r="I1431" s="19"/>
      <c r="J1431" s="19"/>
      <c r="K1431" s="19"/>
      <c r="L1431" s="18"/>
      <c r="M1431" s="18"/>
      <c r="N1431" s="18"/>
      <c r="O1431" s="18"/>
      <c r="P1431" s="18"/>
    </row>
    <row r="1432">
      <c r="A1432" s="18"/>
      <c r="B1432" s="18"/>
      <c r="C1432" s="18"/>
      <c r="D1432" s="18"/>
      <c r="E1432" s="18"/>
      <c r="F1432" s="18"/>
      <c r="G1432" s="18"/>
      <c r="H1432" s="18"/>
      <c r="I1432" s="19"/>
      <c r="J1432" s="19"/>
      <c r="K1432" s="19"/>
      <c r="L1432" s="18"/>
      <c r="M1432" s="18"/>
      <c r="N1432" s="18"/>
      <c r="O1432" s="18"/>
      <c r="P1432" s="18"/>
    </row>
    <row r="1433">
      <c r="A1433" s="18"/>
      <c r="B1433" s="18"/>
      <c r="C1433" s="18"/>
      <c r="D1433" s="18"/>
      <c r="E1433" s="18"/>
      <c r="F1433" s="18"/>
      <c r="G1433" s="18"/>
      <c r="H1433" s="18"/>
      <c r="I1433" s="19"/>
      <c r="J1433" s="19"/>
      <c r="K1433" s="19"/>
      <c r="L1433" s="18"/>
      <c r="M1433" s="18"/>
      <c r="N1433" s="18"/>
      <c r="O1433" s="18"/>
      <c r="P1433" s="18"/>
    </row>
    <row r="1434">
      <c r="A1434" s="18"/>
      <c r="B1434" s="18"/>
      <c r="C1434" s="18"/>
      <c r="D1434" s="18"/>
      <c r="E1434" s="18"/>
      <c r="F1434" s="18"/>
      <c r="G1434" s="18"/>
      <c r="H1434" s="18"/>
      <c r="I1434" s="19"/>
      <c r="J1434" s="19"/>
      <c r="K1434" s="19"/>
      <c r="L1434" s="18"/>
      <c r="M1434" s="18"/>
      <c r="N1434" s="18"/>
      <c r="O1434" s="18"/>
      <c r="P1434" s="18"/>
    </row>
    <row r="1435">
      <c r="A1435" s="18"/>
      <c r="B1435" s="18"/>
      <c r="C1435" s="18"/>
      <c r="D1435" s="18"/>
      <c r="E1435" s="18"/>
      <c r="F1435" s="18"/>
      <c r="G1435" s="18"/>
      <c r="H1435" s="18"/>
      <c r="I1435" s="19"/>
      <c r="J1435" s="19"/>
      <c r="K1435" s="19"/>
      <c r="L1435" s="18"/>
      <c r="M1435" s="18"/>
      <c r="N1435" s="18"/>
      <c r="O1435" s="18"/>
      <c r="P1435" s="18"/>
    </row>
    <row r="1436">
      <c r="A1436" s="18"/>
      <c r="B1436" s="18"/>
      <c r="C1436" s="18"/>
      <c r="D1436" s="18"/>
      <c r="E1436" s="18"/>
      <c r="F1436" s="18"/>
      <c r="G1436" s="18"/>
      <c r="H1436" s="18"/>
      <c r="I1436" s="19"/>
      <c r="J1436" s="19"/>
      <c r="K1436" s="19"/>
      <c r="L1436" s="18"/>
      <c r="M1436" s="18"/>
      <c r="N1436" s="18"/>
      <c r="O1436" s="18"/>
      <c r="P1436" s="18"/>
    </row>
    <row r="1437">
      <c r="A1437" s="18"/>
      <c r="B1437" s="18"/>
      <c r="C1437" s="18"/>
      <c r="D1437" s="18"/>
      <c r="E1437" s="18"/>
      <c r="F1437" s="18"/>
      <c r="G1437" s="18"/>
      <c r="H1437" s="18"/>
      <c r="I1437" s="19"/>
      <c r="J1437" s="19"/>
      <c r="K1437" s="19"/>
      <c r="L1437" s="18"/>
      <c r="M1437" s="18"/>
      <c r="N1437" s="18"/>
      <c r="O1437" s="18"/>
      <c r="P1437" s="18"/>
    </row>
    <row r="1438">
      <c r="A1438" s="18"/>
      <c r="B1438" s="18"/>
      <c r="C1438" s="18"/>
      <c r="D1438" s="18"/>
      <c r="E1438" s="18"/>
      <c r="F1438" s="18"/>
      <c r="G1438" s="18"/>
      <c r="H1438" s="18"/>
      <c r="I1438" s="19"/>
      <c r="J1438" s="19"/>
      <c r="K1438" s="19"/>
      <c r="L1438" s="18"/>
      <c r="M1438" s="18"/>
      <c r="N1438" s="18"/>
      <c r="O1438" s="18"/>
      <c r="P1438" s="18"/>
    </row>
    <row r="1439">
      <c r="A1439" s="18"/>
      <c r="B1439" s="18"/>
      <c r="C1439" s="18"/>
      <c r="D1439" s="18"/>
      <c r="E1439" s="18"/>
      <c r="F1439" s="18"/>
      <c r="G1439" s="18"/>
      <c r="H1439" s="18"/>
      <c r="I1439" s="19"/>
      <c r="J1439" s="19"/>
      <c r="K1439" s="19"/>
      <c r="L1439" s="18"/>
      <c r="M1439" s="18"/>
      <c r="N1439" s="18"/>
      <c r="O1439" s="18"/>
      <c r="P1439" s="18"/>
    </row>
    <row r="1440">
      <c r="A1440" s="18"/>
      <c r="B1440" s="18"/>
      <c r="C1440" s="18"/>
      <c r="D1440" s="18"/>
      <c r="E1440" s="18"/>
      <c r="F1440" s="18"/>
      <c r="G1440" s="18"/>
      <c r="H1440" s="18"/>
      <c r="I1440" s="19"/>
      <c r="J1440" s="19"/>
      <c r="K1440" s="19"/>
      <c r="L1440" s="18"/>
      <c r="M1440" s="18"/>
      <c r="N1440" s="18"/>
      <c r="O1440" s="18"/>
      <c r="P1440" s="18"/>
    </row>
    <row r="1441">
      <c r="A1441" s="18"/>
      <c r="B1441" s="18"/>
      <c r="C1441" s="18"/>
      <c r="D1441" s="18"/>
      <c r="E1441" s="18"/>
      <c r="F1441" s="18"/>
      <c r="G1441" s="18"/>
      <c r="H1441" s="18"/>
      <c r="I1441" s="19"/>
      <c r="J1441" s="19"/>
      <c r="K1441" s="19"/>
      <c r="L1441" s="18"/>
      <c r="M1441" s="18"/>
      <c r="N1441" s="18"/>
      <c r="O1441" s="18"/>
      <c r="P1441" s="18"/>
    </row>
    <row r="1442">
      <c r="A1442" s="18"/>
      <c r="B1442" s="18"/>
      <c r="C1442" s="18"/>
      <c r="D1442" s="18"/>
      <c r="E1442" s="18"/>
      <c r="F1442" s="18"/>
      <c r="G1442" s="18"/>
      <c r="H1442" s="18"/>
      <c r="I1442" s="19"/>
      <c r="J1442" s="19"/>
      <c r="K1442" s="19"/>
      <c r="L1442" s="18"/>
      <c r="M1442" s="18"/>
      <c r="N1442" s="18"/>
      <c r="O1442" s="18"/>
      <c r="P1442" s="18"/>
    </row>
    <row r="1443">
      <c r="A1443" s="18"/>
      <c r="B1443" s="18"/>
      <c r="C1443" s="18"/>
      <c r="D1443" s="18"/>
      <c r="E1443" s="18"/>
      <c r="F1443" s="18"/>
      <c r="G1443" s="18"/>
      <c r="H1443" s="18"/>
      <c r="I1443" s="19"/>
      <c r="J1443" s="19"/>
      <c r="K1443" s="19"/>
      <c r="L1443" s="18"/>
      <c r="M1443" s="18"/>
      <c r="N1443" s="18"/>
      <c r="O1443" s="18"/>
      <c r="P1443" s="18"/>
    </row>
    <row r="1444">
      <c r="A1444" s="18"/>
      <c r="B1444" s="18"/>
      <c r="C1444" s="18"/>
      <c r="D1444" s="18"/>
      <c r="E1444" s="18"/>
      <c r="F1444" s="18"/>
      <c r="G1444" s="18"/>
      <c r="H1444" s="18"/>
      <c r="I1444" s="19"/>
      <c r="J1444" s="19"/>
      <c r="K1444" s="19"/>
      <c r="L1444" s="18"/>
      <c r="M1444" s="18"/>
      <c r="N1444" s="18"/>
      <c r="O1444" s="18"/>
      <c r="P1444" s="18"/>
    </row>
    <row r="1445">
      <c r="A1445" s="18"/>
      <c r="B1445" s="18"/>
      <c r="C1445" s="18"/>
      <c r="D1445" s="18"/>
      <c r="E1445" s="18"/>
      <c r="F1445" s="18"/>
      <c r="G1445" s="18"/>
      <c r="H1445" s="18"/>
      <c r="I1445" s="19"/>
      <c r="J1445" s="19"/>
      <c r="K1445" s="19"/>
      <c r="L1445" s="18"/>
      <c r="M1445" s="18"/>
      <c r="N1445" s="18"/>
      <c r="O1445" s="18"/>
      <c r="P1445" s="18"/>
    </row>
    <row r="1446">
      <c r="A1446" s="18"/>
      <c r="B1446" s="18"/>
      <c r="C1446" s="18"/>
      <c r="D1446" s="18"/>
      <c r="E1446" s="18"/>
      <c r="F1446" s="18"/>
      <c r="G1446" s="18"/>
      <c r="H1446" s="18"/>
      <c r="I1446" s="19"/>
      <c r="J1446" s="19"/>
      <c r="K1446" s="19"/>
      <c r="L1446" s="18"/>
      <c r="M1446" s="18"/>
      <c r="N1446" s="18"/>
      <c r="O1446" s="18"/>
      <c r="P1446" s="18"/>
    </row>
    <row r="1447">
      <c r="A1447" s="18"/>
      <c r="B1447" s="18"/>
      <c r="C1447" s="18"/>
      <c r="D1447" s="18"/>
      <c r="E1447" s="18"/>
      <c r="F1447" s="18"/>
      <c r="G1447" s="18"/>
      <c r="H1447" s="18"/>
      <c r="I1447" s="19"/>
      <c r="J1447" s="19"/>
      <c r="K1447" s="19"/>
      <c r="L1447" s="18"/>
      <c r="M1447" s="18"/>
      <c r="N1447" s="18"/>
      <c r="O1447" s="18"/>
      <c r="P1447" s="18"/>
    </row>
    <row r="1448">
      <c r="A1448" s="18"/>
      <c r="B1448" s="18"/>
      <c r="C1448" s="18"/>
      <c r="D1448" s="18"/>
      <c r="E1448" s="18"/>
      <c r="F1448" s="18"/>
      <c r="G1448" s="18"/>
      <c r="H1448" s="18"/>
      <c r="I1448" s="19"/>
      <c r="J1448" s="19"/>
      <c r="K1448" s="19"/>
      <c r="L1448" s="18"/>
      <c r="M1448" s="18"/>
      <c r="N1448" s="18"/>
      <c r="O1448" s="18"/>
      <c r="P1448" s="18"/>
    </row>
    <row r="1449">
      <c r="A1449" s="18"/>
      <c r="B1449" s="18"/>
      <c r="C1449" s="18"/>
      <c r="D1449" s="18"/>
      <c r="E1449" s="18"/>
      <c r="F1449" s="18"/>
      <c r="G1449" s="18"/>
      <c r="H1449" s="18"/>
      <c r="I1449" s="19"/>
      <c r="J1449" s="19"/>
      <c r="K1449" s="19"/>
      <c r="L1449" s="18"/>
      <c r="M1449" s="18"/>
      <c r="N1449" s="18"/>
      <c r="O1449" s="18"/>
      <c r="P1449" s="18"/>
    </row>
    <row r="1450">
      <c r="A1450" s="18"/>
      <c r="B1450" s="18"/>
      <c r="C1450" s="18"/>
      <c r="D1450" s="18"/>
      <c r="E1450" s="18"/>
      <c r="F1450" s="18"/>
      <c r="G1450" s="18"/>
      <c r="H1450" s="18"/>
      <c r="I1450" s="19"/>
      <c r="J1450" s="19"/>
      <c r="K1450" s="19"/>
      <c r="L1450" s="18"/>
      <c r="M1450" s="18"/>
      <c r="N1450" s="18"/>
      <c r="O1450" s="18"/>
      <c r="P1450" s="18"/>
    </row>
    <row r="1451">
      <c r="A1451" s="18"/>
      <c r="B1451" s="18"/>
      <c r="C1451" s="18"/>
      <c r="D1451" s="18"/>
      <c r="E1451" s="18"/>
      <c r="F1451" s="18"/>
      <c r="G1451" s="18"/>
      <c r="H1451" s="18"/>
      <c r="I1451" s="19"/>
      <c r="J1451" s="19"/>
      <c r="K1451" s="19"/>
      <c r="L1451" s="18"/>
      <c r="M1451" s="18"/>
      <c r="N1451" s="18"/>
      <c r="O1451" s="18"/>
      <c r="P1451" s="18"/>
    </row>
    <row r="1452">
      <c r="A1452" s="18"/>
      <c r="B1452" s="18"/>
      <c r="C1452" s="18"/>
      <c r="D1452" s="18"/>
      <c r="E1452" s="18"/>
      <c r="F1452" s="18"/>
      <c r="G1452" s="18"/>
      <c r="H1452" s="18"/>
      <c r="I1452" s="19"/>
      <c r="J1452" s="19"/>
      <c r="K1452" s="19"/>
      <c r="L1452" s="18"/>
      <c r="M1452" s="18"/>
      <c r="N1452" s="18"/>
      <c r="O1452" s="18"/>
      <c r="P1452" s="18"/>
    </row>
    <row r="1453">
      <c r="A1453" s="18"/>
      <c r="B1453" s="18"/>
      <c r="C1453" s="18"/>
      <c r="D1453" s="18"/>
      <c r="E1453" s="18"/>
      <c r="F1453" s="18"/>
      <c r="G1453" s="18"/>
      <c r="H1453" s="18"/>
      <c r="I1453" s="19"/>
      <c r="J1453" s="19"/>
      <c r="K1453" s="19"/>
      <c r="L1453" s="18"/>
      <c r="M1453" s="18"/>
      <c r="N1453" s="18"/>
      <c r="O1453" s="18"/>
      <c r="P1453" s="18"/>
    </row>
    <row r="1454">
      <c r="A1454" s="18"/>
      <c r="B1454" s="18"/>
      <c r="C1454" s="18"/>
      <c r="D1454" s="18"/>
      <c r="E1454" s="18"/>
      <c r="F1454" s="18"/>
      <c r="G1454" s="18"/>
      <c r="H1454" s="18"/>
      <c r="I1454" s="19"/>
      <c r="J1454" s="19"/>
      <c r="K1454" s="19"/>
      <c r="L1454" s="18"/>
      <c r="M1454" s="18"/>
      <c r="N1454" s="18"/>
      <c r="O1454" s="18"/>
      <c r="P1454" s="18"/>
    </row>
    <row r="1455">
      <c r="A1455" s="18"/>
      <c r="B1455" s="18"/>
      <c r="C1455" s="18"/>
      <c r="D1455" s="18"/>
      <c r="E1455" s="18"/>
      <c r="F1455" s="18"/>
      <c r="G1455" s="18"/>
      <c r="H1455" s="18"/>
      <c r="I1455" s="19"/>
      <c r="J1455" s="19"/>
      <c r="K1455" s="19"/>
      <c r="L1455" s="18"/>
      <c r="M1455" s="18"/>
      <c r="N1455" s="18"/>
      <c r="O1455" s="18"/>
      <c r="P1455" s="18"/>
    </row>
    <row r="1456">
      <c r="A1456" s="18"/>
      <c r="B1456" s="18"/>
      <c r="C1456" s="18"/>
      <c r="D1456" s="18"/>
      <c r="E1456" s="18"/>
      <c r="F1456" s="18"/>
      <c r="G1456" s="18"/>
      <c r="H1456" s="18"/>
      <c r="I1456" s="19"/>
      <c r="J1456" s="19"/>
      <c r="K1456" s="19"/>
      <c r="L1456" s="18"/>
      <c r="M1456" s="18"/>
      <c r="N1456" s="18"/>
      <c r="O1456" s="18"/>
      <c r="P1456" s="18"/>
    </row>
    <row r="1457">
      <c r="A1457" s="18"/>
      <c r="B1457" s="18"/>
      <c r="C1457" s="18"/>
      <c r="D1457" s="18"/>
      <c r="E1457" s="18"/>
      <c r="F1457" s="18"/>
      <c r="G1457" s="18"/>
      <c r="H1457" s="18"/>
      <c r="I1457" s="19"/>
      <c r="J1457" s="19"/>
      <c r="K1457" s="19"/>
      <c r="L1457" s="18"/>
      <c r="M1457" s="18"/>
      <c r="N1457" s="18"/>
      <c r="O1457" s="18"/>
      <c r="P1457" s="18"/>
    </row>
    <row r="1458">
      <c r="A1458" s="18"/>
      <c r="B1458" s="18"/>
      <c r="C1458" s="18"/>
      <c r="D1458" s="18"/>
      <c r="E1458" s="18"/>
      <c r="F1458" s="18"/>
      <c r="G1458" s="18"/>
      <c r="H1458" s="18"/>
      <c r="I1458" s="19"/>
      <c r="J1458" s="19"/>
      <c r="K1458" s="19"/>
      <c r="L1458" s="18"/>
      <c r="M1458" s="18"/>
      <c r="N1458" s="18"/>
      <c r="O1458" s="18"/>
      <c r="P1458" s="18"/>
    </row>
    <row r="1459">
      <c r="A1459" s="18"/>
      <c r="B1459" s="18"/>
      <c r="C1459" s="18"/>
      <c r="D1459" s="18"/>
      <c r="E1459" s="18"/>
      <c r="F1459" s="18"/>
      <c r="G1459" s="18"/>
      <c r="H1459" s="18"/>
      <c r="I1459" s="19"/>
      <c r="J1459" s="19"/>
      <c r="K1459" s="19"/>
      <c r="L1459" s="18"/>
      <c r="M1459" s="18"/>
      <c r="N1459" s="18"/>
      <c r="O1459" s="18"/>
      <c r="P1459" s="18"/>
    </row>
    <row r="1460">
      <c r="A1460" s="18"/>
      <c r="B1460" s="18"/>
      <c r="C1460" s="18"/>
      <c r="D1460" s="18"/>
      <c r="E1460" s="18"/>
      <c r="F1460" s="18"/>
      <c r="G1460" s="18"/>
      <c r="H1460" s="18"/>
      <c r="I1460" s="19"/>
      <c r="J1460" s="19"/>
      <c r="K1460" s="19"/>
      <c r="L1460" s="18"/>
      <c r="M1460" s="18"/>
      <c r="N1460" s="18"/>
      <c r="O1460" s="18"/>
      <c r="P1460" s="18"/>
    </row>
    <row r="1461">
      <c r="A1461" s="18"/>
      <c r="B1461" s="18"/>
      <c r="C1461" s="18"/>
      <c r="D1461" s="18"/>
      <c r="E1461" s="18"/>
      <c r="F1461" s="18"/>
      <c r="G1461" s="18"/>
      <c r="H1461" s="18"/>
      <c r="I1461" s="19"/>
      <c r="J1461" s="19"/>
      <c r="K1461" s="19"/>
      <c r="L1461" s="18"/>
      <c r="M1461" s="18"/>
      <c r="N1461" s="18"/>
      <c r="O1461" s="18"/>
      <c r="P1461" s="18"/>
    </row>
    <row r="1462">
      <c r="A1462" s="18"/>
      <c r="B1462" s="18"/>
      <c r="C1462" s="18"/>
      <c r="D1462" s="18"/>
      <c r="E1462" s="18"/>
      <c r="F1462" s="18"/>
      <c r="G1462" s="18"/>
      <c r="H1462" s="18"/>
      <c r="I1462" s="19"/>
      <c r="J1462" s="19"/>
      <c r="K1462" s="19"/>
      <c r="L1462" s="18"/>
      <c r="M1462" s="18"/>
      <c r="N1462" s="18"/>
      <c r="O1462" s="18"/>
      <c r="P1462" s="18"/>
    </row>
    <row r="1463">
      <c r="A1463" s="18"/>
      <c r="B1463" s="18"/>
      <c r="C1463" s="18"/>
      <c r="D1463" s="18"/>
      <c r="E1463" s="18"/>
      <c r="F1463" s="18"/>
      <c r="G1463" s="18"/>
      <c r="H1463" s="18"/>
      <c r="I1463" s="19"/>
      <c r="J1463" s="19"/>
      <c r="K1463" s="19"/>
      <c r="L1463" s="18"/>
      <c r="M1463" s="18"/>
      <c r="N1463" s="18"/>
      <c r="O1463" s="18"/>
      <c r="P1463" s="18"/>
    </row>
    <row r="1464">
      <c r="A1464" s="18"/>
      <c r="B1464" s="18"/>
      <c r="C1464" s="18"/>
      <c r="D1464" s="18"/>
      <c r="E1464" s="18"/>
      <c r="F1464" s="18"/>
      <c r="G1464" s="18"/>
      <c r="H1464" s="18"/>
      <c r="I1464" s="19"/>
      <c r="J1464" s="19"/>
      <c r="K1464" s="19"/>
      <c r="L1464" s="18"/>
      <c r="M1464" s="18"/>
      <c r="N1464" s="18"/>
      <c r="O1464" s="18"/>
      <c r="P1464" s="18"/>
    </row>
    <row r="1465">
      <c r="A1465" s="18"/>
      <c r="B1465" s="18"/>
      <c r="C1465" s="18"/>
      <c r="D1465" s="18"/>
      <c r="E1465" s="18"/>
      <c r="F1465" s="18"/>
      <c r="G1465" s="18"/>
      <c r="H1465" s="18"/>
      <c r="I1465" s="19"/>
      <c r="J1465" s="19"/>
      <c r="K1465" s="19"/>
      <c r="L1465" s="18"/>
      <c r="M1465" s="18"/>
      <c r="N1465" s="18"/>
      <c r="O1465" s="18"/>
      <c r="P1465" s="18"/>
    </row>
    <row r="1466">
      <c r="A1466" s="18"/>
      <c r="B1466" s="18"/>
      <c r="C1466" s="18"/>
      <c r="D1466" s="18"/>
      <c r="E1466" s="18"/>
      <c r="F1466" s="18"/>
      <c r="G1466" s="18"/>
      <c r="H1466" s="18"/>
      <c r="I1466" s="19"/>
      <c r="J1466" s="19"/>
      <c r="K1466" s="19"/>
      <c r="L1466" s="18"/>
      <c r="M1466" s="18"/>
      <c r="N1466" s="18"/>
      <c r="O1466" s="18"/>
      <c r="P1466" s="18"/>
    </row>
    <row r="1467">
      <c r="A1467" s="18"/>
      <c r="B1467" s="18"/>
      <c r="C1467" s="18"/>
      <c r="D1467" s="18"/>
      <c r="E1467" s="18"/>
      <c r="F1467" s="18"/>
      <c r="G1467" s="18"/>
      <c r="H1467" s="18"/>
      <c r="I1467" s="19"/>
      <c r="J1467" s="19"/>
      <c r="K1467" s="19"/>
      <c r="L1467" s="18"/>
      <c r="M1467" s="18"/>
      <c r="N1467" s="18"/>
      <c r="O1467" s="18"/>
      <c r="P1467" s="18"/>
    </row>
    <row r="1468">
      <c r="A1468" s="18"/>
      <c r="B1468" s="18"/>
      <c r="C1468" s="18"/>
      <c r="D1468" s="18"/>
      <c r="E1468" s="18"/>
      <c r="F1468" s="18"/>
      <c r="G1468" s="18"/>
      <c r="H1468" s="18"/>
      <c r="I1468" s="19"/>
      <c r="J1468" s="19"/>
      <c r="K1468" s="19"/>
      <c r="L1468" s="18"/>
      <c r="M1468" s="18"/>
      <c r="N1468" s="18"/>
      <c r="O1468" s="18"/>
      <c r="P1468" s="18"/>
    </row>
    <row r="1469">
      <c r="A1469" s="18"/>
      <c r="B1469" s="18"/>
      <c r="C1469" s="18"/>
      <c r="D1469" s="18"/>
      <c r="E1469" s="18"/>
      <c r="F1469" s="18"/>
      <c r="G1469" s="18"/>
      <c r="H1469" s="18"/>
      <c r="I1469" s="19"/>
      <c r="J1469" s="19"/>
      <c r="K1469" s="19"/>
      <c r="L1469" s="18"/>
      <c r="M1469" s="18"/>
      <c r="N1469" s="18"/>
      <c r="O1469" s="18"/>
      <c r="P1469" s="18"/>
    </row>
    <row r="1470">
      <c r="A1470" s="18"/>
      <c r="B1470" s="18"/>
      <c r="C1470" s="18"/>
      <c r="D1470" s="18"/>
      <c r="E1470" s="18"/>
      <c r="F1470" s="18"/>
      <c r="G1470" s="18"/>
      <c r="H1470" s="18"/>
      <c r="I1470" s="19"/>
      <c r="J1470" s="19"/>
      <c r="K1470" s="19"/>
      <c r="L1470" s="18"/>
      <c r="M1470" s="18"/>
      <c r="N1470" s="18"/>
      <c r="O1470" s="18"/>
      <c r="P1470" s="18"/>
    </row>
    <row r="1471">
      <c r="A1471" s="18"/>
      <c r="B1471" s="18"/>
      <c r="C1471" s="18"/>
      <c r="D1471" s="18"/>
      <c r="E1471" s="18"/>
      <c r="F1471" s="18"/>
      <c r="G1471" s="18"/>
      <c r="H1471" s="18"/>
      <c r="I1471" s="19"/>
      <c r="J1471" s="19"/>
      <c r="K1471" s="19"/>
      <c r="L1471" s="18"/>
      <c r="M1471" s="18"/>
      <c r="N1471" s="18"/>
      <c r="O1471" s="18"/>
      <c r="P1471" s="18"/>
    </row>
    <row r="1472">
      <c r="A1472" s="18"/>
      <c r="B1472" s="18"/>
      <c r="C1472" s="18"/>
      <c r="D1472" s="18"/>
      <c r="E1472" s="18"/>
      <c r="F1472" s="18"/>
      <c r="G1472" s="18"/>
      <c r="H1472" s="18"/>
      <c r="I1472" s="19"/>
      <c r="J1472" s="19"/>
      <c r="K1472" s="19"/>
      <c r="L1472" s="18"/>
      <c r="M1472" s="18"/>
      <c r="N1472" s="18"/>
      <c r="O1472" s="18"/>
      <c r="P1472" s="18"/>
    </row>
    <row r="1473">
      <c r="A1473" s="18"/>
      <c r="B1473" s="18"/>
      <c r="C1473" s="18"/>
      <c r="D1473" s="18"/>
      <c r="E1473" s="18"/>
      <c r="F1473" s="18"/>
      <c r="G1473" s="18"/>
      <c r="H1473" s="18"/>
      <c r="I1473" s="19"/>
      <c r="J1473" s="19"/>
      <c r="K1473" s="19"/>
      <c r="L1473" s="18"/>
      <c r="M1473" s="18"/>
      <c r="N1473" s="18"/>
      <c r="O1473" s="18"/>
      <c r="P1473" s="18"/>
    </row>
    <row r="1474">
      <c r="A1474" s="18"/>
      <c r="B1474" s="18"/>
      <c r="C1474" s="18"/>
      <c r="D1474" s="18"/>
      <c r="E1474" s="18"/>
      <c r="F1474" s="18"/>
      <c r="G1474" s="18"/>
      <c r="H1474" s="18"/>
      <c r="I1474" s="19"/>
      <c r="J1474" s="19"/>
      <c r="K1474" s="19"/>
      <c r="L1474" s="18"/>
      <c r="M1474" s="18"/>
      <c r="N1474" s="18"/>
      <c r="O1474" s="18"/>
      <c r="P1474" s="18"/>
    </row>
    <row r="1475">
      <c r="A1475" s="18"/>
      <c r="B1475" s="18"/>
      <c r="C1475" s="18"/>
      <c r="D1475" s="18"/>
      <c r="E1475" s="18"/>
      <c r="F1475" s="18"/>
      <c r="G1475" s="18"/>
      <c r="H1475" s="18"/>
      <c r="I1475" s="19"/>
      <c r="J1475" s="19"/>
      <c r="K1475" s="19"/>
      <c r="L1475" s="18"/>
      <c r="M1475" s="18"/>
      <c r="N1475" s="18"/>
      <c r="O1475" s="18"/>
      <c r="P1475" s="18"/>
    </row>
    <row r="1476">
      <c r="A1476" s="18"/>
      <c r="B1476" s="18"/>
      <c r="C1476" s="18"/>
      <c r="D1476" s="18"/>
      <c r="E1476" s="18"/>
      <c r="F1476" s="18"/>
      <c r="G1476" s="18"/>
      <c r="H1476" s="18"/>
      <c r="I1476" s="19"/>
      <c r="J1476" s="19"/>
      <c r="K1476" s="19"/>
      <c r="L1476" s="18"/>
      <c r="M1476" s="18"/>
      <c r="N1476" s="18"/>
      <c r="O1476" s="18"/>
      <c r="P1476" s="18"/>
    </row>
    <row r="1477">
      <c r="A1477" s="18"/>
      <c r="B1477" s="18"/>
      <c r="C1477" s="18"/>
      <c r="D1477" s="18"/>
      <c r="E1477" s="18"/>
      <c r="F1477" s="18"/>
      <c r="G1477" s="18"/>
      <c r="H1477" s="18"/>
      <c r="I1477" s="19"/>
      <c r="J1477" s="19"/>
      <c r="K1477" s="19"/>
      <c r="L1477" s="18"/>
      <c r="M1477" s="18"/>
      <c r="N1477" s="18"/>
      <c r="O1477" s="18"/>
      <c r="P1477" s="18"/>
    </row>
    <row r="1478">
      <c r="A1478" s="18"/>
      <c r="B1478" s="18"/>
      <c r="C1478" s="18"/>
      <c r="D1478" s="18"/>
      <c r="E1478" s="18"/>
      <c r="F1478" s="18"/>
      <c r="G1478" s="18"/>
      <c r="H1478" s="18"/>
      <c r="I1478" s="19"/>
      <c r="J1478" s="19"/>
      <c r="K1478" s="19"/>
      <c r="L1478" s="18"/>
      <c r="M1478" s="18"/>
      <c r="N1478" s="18"/>
      <c r="O1478" s="18"/>
      <c r="P1478" s="18"/>
    </row>
    <row r="1479">
      <c r="A1479" s="18"/>
      <c r="B1479" s="18"/>
      <c r="C1479" s="18"/>
      <c r="D1479" s="18"/>
      <c r="E1479" s="18"/>
      <c r="F1479" s="18"/>
      <c r="G1479" s="18"/>
      <c r="H1479" s="18"/>
      <c r="I1479" s="19"/>
      <c r="J1479" s="19"/>
      <c r="K1479" s="19"/>
      <c r="L1479" s="18"/>
      <c r="M1479" s="18"/>
      <c r="N1479" s="18"/>
      <c r="O1479" s="18"/>
      <c r="P1479" s="18"/>
    </row>
    <row r="1480">
      <c r="A1480" s="18"/>
      <c r="B1480" s="18"/>
      <c r="C1480" s="18"/>
      <c r="D1480" s="18"/>
      <c r="E1480" s="18"/>
      <c r="F1480" s="18"/>
      <c r="G1480" s="18"/>
      <c r="H1480" s="18"/>
      <c r="I1480" s="19"/>
      <c r="J1480" s="19"/>
      <c r="K1480" s="19"/>
      <c r="L1480" s="18"/>
      <c r="M1480" s="18"/>
      <c r="N1480" s="18"/>
      <c r="O1480" s="18"/>
      <c r="P1480" s="18"/>
    </row>
    <row r="1481">
      <c r="A1481" s="18"/>
      <c r="B1481" s="18"/>
      <c r="C1481" s="18"/>
      <c r="D1481" s="18"/>
      <c r="E1481" s="18"/>
      <c r="F1481" s="18"/>
      <c r="G1481" s="18"/>
      <c r="H1481" s="18"/>
      <c r="I1481" s="19"/>
      <c r="J1481" s="19"/>
      <c r="K1481" s="19"/>
      <c r="L1481" s="18"/>
      <c r="M1481" s="18"/>
      <c r="N1481" s="18"/>
      <c r="O1481" s="18"/>
      <c r="P1481" s="18"/>
    </row>
    <row r="1482">
      <c r="A1482" s="18"/>
      <c r="B1482" s="18"/>
      <c r="C1482" s="18"/>
      <c r="D1482" s="18"/>
      <c r="E1482" s="18"/>
      <c r="F1482" s="18"/>
      <c r="G1482" s="18"/>
      <c r="H1482" s="18"/>
      <c r="I1482" s="19"/>
      <c r="J1482" s="19"/>
      <c r="K1482" s="19"/>
      <c r="L1482" s="18"/>
      <c r="M1482" s="18"/>
      <c r="N1482" s="18"/>
      <c r="O1482" s="18"/>
      <c r="P1482" s="18"/>
    </row>
    <row r="1483">
      <c r="A1483" s="18"/>
      <c r="B1483" s="18"/>
      <c r="C1483" s="18"/>
      <c r="D1483" s="18"/>
      <c r="E1483" s="18"/>
      <c r="F1483" s="18"/>
      <c r="G1483" s="18"/>
      <c r="H1483" s="18"/>
      <c r="I1483" s="19"/>
      <c r="J1483" s="19"/>
      <c r="K1483" s="19"/>
      <c r="L1483" s="18"/>
      <c r="M1483" s="18"/>
      <c r="N1483" s="18"/>
      <c r="O1483" s="18"/>
      <c r="P1483" s="18"/>
    </row>
    <row r="1484">
      <c r="A1484" s="18"/>
      <c r="B1484" s="18"/>
      <c r="C1484" s="18"/>
      <c r="D1484" s="18"/>
      <c r="E1484" s="18"/>
      <c r="F1484" s="18"/>
      <c r="G1484" s="18"/>
      <c r="H1484" s="18"/>
      <c r="I1484" s="19"/>
      <c r="J1484" s="19"/>
      <c r="K1484" s="19"/>
      <c r="L1484" s="18"/>
      <c r="M1484" s="18"/>
      <c r="N1484" s="18"/>
      <c r="O1484" s="18"/>
      <c r="P1484" s="18"/>
    </row>
    <row r="1485">
      <c r="A1485" s="18"/>
      <c r="B1485" s="18"/>
      <c r="C1485" s="18"/>
      <c r="D1485" s="18"/>
      <c r="E1485" s="18"/>
      <c r="F1485" s="18"/>
      <c r="G1485" s="18"/>
      <c r="H1485" s="18"/>
      <c r="I1485" s="19"/>
      <c r="J1485" s="19"/>
      <c r="K1485" s="19"/>
      <c r="L1485" s="18"/>
      <c r="M1485" s="18"/>
      <c r="N1485" s="18"/>
      <c r="O1485" s="18"/>
      <c r="P1485" s="18"/>
    </row>
    <row r="1486">
      <c r="A1486" s="18"/>
      <c r="B1486" s="18"/>
      <c r="C1486" s="18"/>
      <c r="D1486" s="18"/>
      <c r="E1486" s="18"/>
      <c r="F1486" s="18"/>
      <c r="G1486" s="18"/>
      <c r="H1486" s="18"/>
      <c r="I1486" s="19"/>
      <c r="J1486" s="19"/>
      <c r="K1486" s="19"/>
      <c r="L1486" s="18"/>
      <c r="M1486" s="18"/>
      <c r="N1486" s="18"/>
      <c r="O1486" s="18"/>
      <c r="P1486" s="18"/>
    </row>
    <row r="1487">
      <c r="A1487" s="18"/>
      <c r="B1487" s="18"/>
      <c r="C1487" s="18"/>
      <c r="D1487" s="18"/>
      <c r="E1487" s="18"/>
      <c r="F1487" s="18"/>
      <c r="G1487" s="18"/>
      <c r="H1487" s="18"/>
      <c r="I1487" s="19"/>
      <c r="J1487" s="19"/>
      <c r="K1487" s="19"/>
      <c r="L1487" s="18"/>
      <c r="M1487" s="18"/>
      <c r="N1487" s="18"/>
      <c r="O1487" s="18"/>
      <c r="P1487" s="18"/>
    </row>
    <row r="1488">
      <c r="A1488" s="18"/>
      <c r="B1488" s="18"/>
      <c r="C1488" s="18"/>
      <c r="D1488" s="18"/>
      <c r="E1488" s="18"/>
      <c r="F1488" s="18"/>
      <c r="G1488" s="18"/>
      <c r="H1488" s="18"/>
      <c r="I1488" s="19"/>
      <c r="J1488" s="19"/>
      <c r="K1488" s="19"/>
      <c r="L1488" s="18"/>
      <c r="M1488" s="18"/>
      <c r="N1488" s="18"/>
      <c r="O1488" s="18"/>
      <c r="P1488" s="18"/>
    </row>
    <row r="1489">
      <c r="A1489" s="18"/>
      <c r="B1489" s="18"/>
      <c r="C1489" s="18"/>
      <c r="D1489" s="18"/>
      <c r="E1489" s="18"/>
      <c r="F1489" s="18"/>
      <c r="G1489" s="18"/>
      <c r="H1489" s="18"/>
      <c r="I1489" s="19"/>
      <c r="J1489" s="19"/>
      <c r="K1489" s="19"/>
      <c r="L1489" s="18"/>
      <c r="M1489" s="18"/>
      <c r="N1489" s="18"/>
      <c r="O1489" s="18"/>
      <c r="P1489" s="18"/>
    </row>
    <row r="1490">
      <c r="A1490" s="18"/>
      <c r="B1490" s="18"/>
      <c r="C1490" s="18"/>
      <c r="D1490" s="18"/>
      <c r="E1490" s="18"/>
      <c r="F1490" s="18"/>
      <c r="G1490" s="18"/>
      <c r="H1490" s="18"/>
      <c r="I1490" s="19"/>
      <c r="J1490" s="19"/>
      <c r="K1490" s="19"/>
      <c r="L1490" s="18"/>
      <c r="M1490" s="18"/>
      <c r="N1490" s="18"/>
      <c r="O1490" s="18"/>
      <c r="P1490" s="18"/>
    </row>
    <row r="1491">
      <c r="A1491" s="18"/>
      <c r="B1491" s="18"/>
      <c r="C1491" s="18"/>
      <c r="D1491" s="18"/>
      <c r="E1491" s="18"/>
      <c r="F1491" s="18"/>
      <c r="G1491" s="18"/>
      <c r="H1491" s="18"/>
      <c r="I1491" s="19"/>
      <c r="J1491" s="19"/>
      <c r="K1491" s="19"/>
      <c r="L1491" s="18"/>
      <c r="M1491" s="18"/>
      <c r="N1491" s="18"/>
      <c r="O1491" s="18"/>
      <c r="P1491" s="18"/>
    </row>
    <row r="1492">
      <c r="A1492" s="18"/>
      <c r="B1492" s="18"/>
      <c r="C1492" s="18"/>
      <c r="D1492" s="18"/>
      <c r="E1492" s="18"/>
      <c r="F1492" s="18"/>
      <c r="G1492" s="18"/>
      <c r="H1492" s="18"/>
      <c r="I1492" s="19"/>
      <c r="J1492" s="19"/>
      <c r="K1492" s="19"/>
      <c r="L1492" s="18"/>
      <c r="M1492" s="18"/>
      <c r="N1492" s="18"/>
      <c r="O1492" s="18"/>
      <c r="P1492" s="18"/>
    </row>
    <row r="1493">
      <c r="A1493" s="18"/>
      <c r="B1493" s="18"/>
      <c r="C1493" s="18"/>
      <c r="D1493" s="18"/>
      <c r="E1493" s="18"/>
      <c r="F1493" s="18"/>
      <c r="G1493" s="18"/>
      <c r="H1493" s="18"/>
      <c r="I1493" s="19"/>
      <c r="J1493" s="19"/>
      <c r="K1493" s="19"/>
      <c r="L1493" s="18"/>
      <c r="M1493" s="18"/>
      <c r="N1493" s="18"/>
      <c r="O1493" s="18"/>
      <c r="P1493" s="18"/>
    </row>
    <row r="1494">
      <c r="A1494" s="18"/>
      <c r="B1494" s="18"/>
      <c r="C1494" s="18"/>
      <c r="D1494" s="18"/>
      <c r="E1494" s="18"/>
      <c r="F1494" s="18"/>
      <c r="G1494" s="18"/>
      <c r="H1494" s="18"/>
      <c r="I1494" s="19"/>
      <c r="J1494" s="19"/>
      <c r="K1494" s="19"/>
      <c r="L1494" s="18"/>
      <c r="M1494" s="18"/>
      <c r="N1494" s="18"/>
      <c r="O1494" s="18"/>
      <c r="P1494" s="18"/>
    </row>
    <row r="1495">
      <c r="A1495" s="18"/>
      <c r="B1495" s="18"/>
      <c r="C1495" s="18"/>
      <c r="D1495" s="18"/>
      <c r="E1495" s="18"/>
      <c r="F1495" s="18"/>
      <c r="G1495" s="18"/>
      <c r="H1495" s="18"/>
      <c r="I1495" s="19"/>
      <c r="J1495" s="19"/>
      <c r="K1495" s="19"/>
      <c r="L1495" s="18"/>
      <c r="M1495" s="18"/>
      <c r="N1495" s="18"/>
      <c r="O1495" s="18"/>
      <c r="P1495" s="18"/>
    </row>
    <row r="1496">
      <c r="A1496" s="18"/>
      <c r="B1496" s="18"/>
      <c r="C1496" s="18"/>
      <c r="D1496" s="18"/>
      <c r="E1496" s="18"/>
      <c r="F1496" s="18"/>
      <c r="G1496" s="18"/>
      <c r="H1496" s="18"/>
      <c r="I1496" s="19"/>
      <c r="J1496" s="19"/>
      <c r="K1496" s="19"/>
      <c r="L1496" s="18"/>
      <c r="M1496" s="18"/>
      <c r="N1496" s="18"/>
      <c r="O1496" s="18"/>
      <c r="P1496" s="18"/>
    </row>
    <row r="1497">
      <c r="A1497" s="18"/>
      <c r="B1497" s="18"/>
      <c r="C1497" s="18"/>
      <c r="D1497" s="18"/>
      <c r="E1497" s="18"/>
      <c r="F1497" s="18"/>
      <c r="G1497" s="18"/>
      <c r="H1497" s="18"/>
      <c r="I1497" s="19"/>
      <c r="J1497" s="19"/>
      <c r="K1497" s="19"/>
      <c r="L1497" s="18"/>
      <c r="M1497" s="18"/>
      <c r="N1497" s="18"/>
      <c r="O1497" s="18"/>
      <c r="P1497" s="18"/>
    </row>
    <row r="1498">
      <c r="A1498" s="18"/>
      <c r="B1498" s="18"/>
      <c r="C1498" s="18"/>
      <c r="D1498" s="18"/>
      <c r="E1498" s="18"/>
      <c r="F1498" s="18"/>
      <c r="G1498" s="18"/>
      <c r="H1498" s="18"/>
      <c r="I1498" s="19"/>
      <c r="J1498" s="19"/>
      <c r="K1498" s="19"/>
      <c r="L1498" s="18"/>
      <c r="M1498" s="18"/>
      <c r="N1498" s="18"/>
      <c r="O1498" s="18"/>
      <c r="P1498" s="18"/>
    </row>
    <row r="1499">
      <c r="A1499" s="18"/>
      <c r="B1499" s="18"/>
      <c r="C1499" s="18"/>
      <c r="D1499" s="18"/>
      <c r="E1499" s="18"/>
      <c r="F1499" s="18"/>
      <c r="G1499" s="18"/>
      <c r="H1499" s="18"/>
      <c r="I1499" s="19"/>
      <c r="J1499" s="19"/>
      <c r="K1499" s="19"/>
      <c r="L1499" s="18"/>
      <c r="M1499" s="18"/>
      <c r="N1499" s="18"/>
      <c r="O1499" s="18"/>
      <c r="P1499" s="18"/>
    </row>
    <row r="1500">
      <c r="A1500" s="18"/>
      <c r="B1500" s="18"/>
      <c r="C1500" s="18"/>
      <c r="D1500" s="18"/>
      <c r="E1500" s="18"/>
      <c r="F1500" s="18"/>
      <c r="G1500" s="18"/>
      <c r="H1500" s="18"/>
      <c r="I1500" s="19"/>
      <c r="J1500" s="19"/>
      <c r="K1500" s="19"/>
      <c r="L1500" s="18"/>
      <c r="M1500" s="18"/>
      <c r="N1500" s="18"/>
      <c r="O1500" s="18"/>
      <c r="P1500" s="18"/>
    </row>
    <row r="1501">
      <c r="A1501" s="18"/>
      <c r="B1501" s="18"/>
      <c r="C1501" s="18"/>
      <c r="D1501" s="18"/>
      <c r="E1501" s="18"/>
      <c r="F1501" s="18"/>
      <c r="G1501" s="18"/>
      <c r="H1501" s="18"/>
      <c r="I1501" s="19"/>
      <c r="J1501" s="19"/>
      <c r="K1501" s="19"/>
      <c r="L1501" s="18"/>
      <c r="M1501" s="18"/>
      <c r="N1501" s="18"/>
      <c r="O1501" s="18"/>
      <c r="P1501" s="18"/>
    </row>
    <row r="1502">
      <c r="A1502" s="18"/>
      <c r="B1502" s="18"/>
      <c r="C1502" s="18"/>
      <c r="D1502" s="18"/>
      <c r="E1502" s="18"/>
      <c r="F1502" s="18"/>
      <c r="G1502" s="18"/>
      <c r="H1502" s="18"/>
      <c r="I1502" s="19"/>
      <c r="J1502" s="19"/>
      <c r="K1502" s="19"/>
      <c r="L1502" s="18"/>
      <c r="M1502" s="18"/>
      <c r="N1502" s="18"/>
      <c r="O1502" s="18"/>
      <c r="P1502" s="18"/>
    </row>
    <row r="1503">
      <c r="A1503" s="18"/>
      <c r="B1503" s="18"/>
      <c r="C1503" s="18"/>
      <c r="D1503" s="18"/>
      <c r="E1503" s="18"/>
      <c r="F1503" s="18"/>
      <c r="G1503" s="18"/>
      <c r="H1503" s="18"/>
      <c r="I1503" s="19"/>
      <c r="J1503" s="19"/>
      <c r="K1503" s="19"/>
      <c r="L1503" s="18"/>
      <c r="M1503" s="18"/>
      <c r="N1503" s="18"/>
      <c r="O1503" s="18"/>
      <c r="P1503" s="18"/>
    </row>
    <row r="1504">
      <c r="A1504" s="18"/>
      <c r="B1504" s="18"/>
      <c r="C1504" s="18"/>
      <c r="D1504" s="18"/>
      <c r="E1504" s="18"/>
      <c r="F1504" s="18"/>
      <c r="G1504" s="18"/>
      <c r="H1504" s="18"/>
      <c r="I1504" s="19"/>
      <c r="J1504" s="19"/>
      <c r="K1504" s="19"/>
      <c r="L1504" s="18"/>
      <c r="M1504" s="18"/>
      <c r="N1504" s="18"/>
      <c r="O1504" s="18"/>
      <c r="P1504" s="18"/>
    </row>
    <row r="1505">
      <c r="A1505" s="18"/>
      <c r="B1505" s="18"/>
      <c r="C1505" s="18"/>
      <c r="D1505" s="18"/>
      <c r="E1505" s="18"/>
      <c r="F1505" s="18"/>
      <c r="G1505" s="18"/>
      <c r="H1505" s="18"/>
      <c r="I1505" s="19"/>
      <c r="J1505" s="19"/>
      <c r="K1505" s="19"/>
      <c r="L1505" s="18"/>
      <c r="M1505" s="18"/>
      <c r="N1505" s="18"/>
      <c r="O1505" s="18"/>
      <c r="P1505" s="18"/>
    </row>
    <row r="1506">
      <c r="A1506" s="18"/>
      <c r="B1506" s="18"/>
      <c r="C1506" s="18"/>
      <c r="D1506" s="18"/>
      <c r="E1506" s="18"/>
      <c r="F1506" s="18"/>
      <c r="G1506" s="18"/>
      <c r="H1506" s="18"/>
      <c r="I1506" s="19"/>
      <c r="J1506" s="19"/>
      <c r="K1506" s="19"/>
      <c r="L1506" s="18"/>
      <c r="M1506" s="18"/>
      <c r="N1506" s="18"/>
      <c r="O1506" s="18"/>
      <c r="P1506" s="18"/>
    </row>
    <row r="1507">
      <c r="A1507" s="18"/>
      <c r="B1507" s="18"/>
      <c r="C1507" s="18"/>
      <c r="D1507" s="18"/>
      <c r="E1507" s="18"/>
      <c r="F1507" s="18"/>
      <c r="G1507" s="18"/>
      <c r="H1507" s="18"/>
      <c r="I1507" s="19"/>
      <c r="J1507" s="19"/>
      <c r="K1507" s="19"/>
      <c r="L1507" s="18"/>
      <c r="M1507" s="18"/>
      <c r="N1507" s="18"/>
      <c r="O1507" s="18"/>
      <c r="P1507" s="18"/>
    </row>
    <row r="1508">
      <c r="A1508" s="18"/>
      <c r="B1508" s="18"/>
      <c r="C1508" s="18"/>
      <c r="D1508" s="18"/>
      <c r="E1508" s="18"/>
      <c r="F1508" s="18"/>
      <c r="G1508" s="18"/>
      <c r="H1508" s="18"/>
      <c r="I1508" s="19"/>
      <c r="J1508" s="19"/>
      <c r="K1508" s="19"/>
      <c r="L1508" s="18"/>
      <c r="M1508" s="18"/>
      <c r="N1508" s="18"/>
      <c r="O1508" s="18"/>
      <c r="P1508" s="18"/>
    </row>
    <row r="1509">
      <c r="A1509" s="18"/>
      <c r="B1509" s="18"/>
      <c r="C1509" s="18"/>
      <c r="D1509" s="18"/>
      <c r="E1509" s="18"/>
      <c r="F1509" s="18"/>
      <c r="G1509" s="18"/>
      <c r="H1509" s="18"/>
      <c r="I1509" s="19"/>
      <c r="J1509" s="19"/>
      <c r="K1509" s="19"/>
      <c r="L1509" s="18"/>
      <c r="M1509" s="18"/>
      <c r="N1509" s="18"/>
      <c r="O1509" s="18"/>
      <c r="P1509" s="18"/>
    </row>
    <row r="1510">
      <c r="A1510" s="18"/>
      <c r="B1510" s="18"/>
      <c r="C1510" s="18"/>
      <c r="D1510" s="18"/>
      <c r="E1510" s="18"/>
      <c r="F1510" s="18"/>
      <c r="G1510" s="18"/>
      <c r="H1510" s="18"/>
      <c r="I1510" s="19"/>
      <c r="J1510" s="19"/>
      <c r="K1510" s="19"/>
      <c r="L1510" s="18"/>
      <c r="M1510" s="18"/>
      <c r="N1510" s="18"/>
      <c r="O1510" s="18"/>
      <c r="P1510" s="18"/>
    </row>
    <row r="1511">
      <c r="A1511" s="18"/>
      <c r="B1511" s="18"/>
      <c r="C1511" s="18"/>
      <c r="D1511" s="18"/>
      <c r="E1511" s="18"/>
      <c r="F1511" s="18"/>
      <c r="G1511" s="18"/>
      <c r="H1511" s="18"/>
      <c r="I1511" s="19"/>
      <c r="J1511" s="19"/>
      <c r="K1511" s="19"/>
      <c r="L1511" s="18"/>
      <c r="M1511" s="18"/>
      <c r="N1511" s="18"/>
      <c r="O1511" s="18"/>
      <c r="P1511" s="18"/>
    </row>
    <row r="1512">
      <c r="A1512" s="18"/>
      <c r="B1512" s="18"/>
      <c r="C1512" s="18"/>
      <c r="D1512" s="18"/>
      <c r="E1512" s="18"/>
      <c r="F1512" s="18"/>
      <c r="G1512" s="18"/>
      <c r="H1512" s="18"/>
      <c r="I1512" s="19"/>
      <c r="J1512" s="19"/>
      <c r="K1512" s="19"/>
      <c r="L1512" s="18"/>
      <c r="M1512" s="18"/>
      <c r="N1512" s="18"/>
      <c r="O1512" s="18"/>
      <c r="P1512" s="18"/>
    </row>
    <row r="1513">
      <c r="A1513" s="18"/>
      <c r="B1513" s="18"/>
      <c r="C1513" s="18"/>
      <c r="D1513" s="18"/>
      <c r="E1513" s="18"/>
      <c r="F1513" s="18"/>
      <c r="G1513" s="18"/>
      <c r="H1513" s="18"/>
      <c r="I1513" s="19"/>
      <c r="J1513" s="19"/>
      <c r="K1513" s="19"/>
      <c r="L1513" s="18"/>
      <c r="M1513" s="18"/>
      <c r="N1513" s="18"/>
      <c r="O1513" s="18"/>
      <c r="P1513" s="18"/>
    </row>
    <row r="1514">
      <c r="A1514" s="18"/>
      <c r="B1514" s="18"/>
      <c r="C1514" s="18"/>
      <c r="D1514" s="18"/>
      <c r="E1514" s="18"/>
      <c r="F1514" s="18"/>
      <c r="G1514" s="18"/>
      <c r="H1514" s="18"/>
      <c r="I1514" s="19"/>
      <c r="J1514" s="19"/>
      <c r="K1514" s="19"/>
      <c r="L1514" s="18"/>
      <c r="M1514" s="18"/>
      <c r="N1514" s="18"/>
      <c r="O1514" s="18"/>
      <c r="P1514" s="18"/>
    </row>
    <row r="1515">
      <c r="A1515" s="18"/>
      <c r="B1515" s="18"/>
      <c r="C1515" s="18"/>
      <c r="D1515" s="18"/>
      <c r="E1515" s="18"/>
      <c r="F1515" s="18"/>
      <c r="G1515" s="18"/>
      <c r="H1515" s="18"/>
      <c r="I1515" s="19"/>
      <c r="J1515" s="19"/>
      <c r="K1515" s="19"/>
      <c r="L1515" s="18"/>
      <c r="M1515" s="18"/>
      <c r="N1515" s="18"/>
      <c r="O1515" s="18"/>
      <c r="P1515" s="18"/>
    </row>
    <row r="1516">
      <c r="A1516" s="18"/>
      <c r="B1516" s="18"/>
      <c r="C1516" s="18"/>
      <c r="D1516" s="18"/>
      <c r="E1516" s="18"/>
      <c r="F1516" s="18"/>
      <c r="G1516" s="18"/>
      <c r="H1516" s="18"/>
      <c r="I1516" s="19"/>
      <c r="J1516" s="19"/>
      <c r="K1516" s="19"/>
      <c r="L1516" s="18"/>
      <c r="M1516" s="18"/>
      <c r="N1516" s="18"/>
      <c r="O1516" s="18"/>
      <c r="P1516" s="18"/>
    </row>
    <row r="1517">
      <c r="A1517" s="18"/>
      <c r="B1517" s="18"/>
      <c r="C1517" s="18"/>
      <c r="D1517" s="18"/>
      <c r="E1517" s="18"/>
      <c r="F1517" s="18"/>
      <c r="G1517" s="18"/>
      <c r="H1517" s="18"/>
      <c r="I1517" s="19"/>
      <c r="J1517" s="19"/>
      <c r="K1517" s="19"/>
      <c r="L1517" s="18"/>
      <c r="M1517" s="18"/>
      <c r="N1517" s="18"/>
      <c r="O1517" s="18"/>
      <c r="P1517" s="18"/>
    </row>
    <row r="1518">
      <c r="A1518" s="18"/>
      <c r="B1518" s="18"/>
      <c r="C1518" s="18"/>
      <c r="D1518" s="18"/>
      <c r="E1518" s="18"/>
      <c r="F1518" s="18"/>
      <c r="G1518" s="18"/>
      <c r="H1518" s="18"/>
      <c r="I1518" s="19"/>
      <c r="J1518" s="19"/>
      <c r="K1518" s="19"/>
      <c r="L1518" s="18"/>
      <c r="M1518" s="18"/>
      <c r="N1518" s="18"/>
      <c r="O1518" s="18"/>
      <c r="P1518" s="18"/>
    </row>
    <row r="1519">
      <c r="A1519" s="18"/>
      <c r="B1519" s="18"/>
      <c r="C1519" s="18"/>
      <c r="D1519" s="18"/>
      <c r="E1519" s="18"/>
      <c r="F1519" s="18"/>
      <c r="G1519" s="18"/>
      <c r="H1519" s="18"/>
      <c r="I1519" s="19"/>
      <c r="J1519" s="19"/>
      <c r="K1519" s="19"/>
      <c r="L1519" s="18"/>
      <c r="M1519" s="18"/>
      <c r="N1519" s="18"/>
      <c r="O1519" s="18"/>
      <c r="P1519" s="18"/>
    </row>
    <row r="1520">
      <c r="A1520" s="18"/>
      <c r="B1520" s="18"/>
      <c r="C1520" s="18"/>
      <c r="D1520" s="18"/>
      <c r="E1520" s="18"/>
      <c r="F1520" s="18"/>
      <c r="G1520" s="18"/>
      <c r="H1520" s="18"/>
      <c r="I1520" s="19"/>
      <c r="J1520" s="19"/>
      <c r="K1520" s="19"/>
      <c r="L1520" s="18"/>
      <c r="M1520" s="18"/>
      <c r="N1520" s="18"/>
      <c r="O1520" s="18"/>
      <c r="P1520" s="18"/>
    </row>
    <row r="1521">
      <c r="A1521" s="18"/>
      <c r="B1521" s="18"/>
      <c r="C1521" s="18"/>
      <c r="D1521" s="18"/>
      <c r="E1521" s="18"/>
      <c r="F1521" s="18"/>
      <c r="G1521" s="18"/>
      <c r="H1521" s="18"/>
      <c r="I1521" s="19"/>
      <c r="J1521" s="19"/>
      <c r="K1521" s="19"/>
      <c r="L1521" s="18"/>
      <c r="M1521" s="18"/>
      <c r="N1521" s="18"/>
      <c r="O1521" s="18"/>
      <c r="P1521" s="18"/>
    </row>
    <row r="1522">
      <c r="A1522" s="18"/>
      <c r="B1522" s="18"/>
      <c r="C1522" s="18"/>
      <c r="D1522" s="18"/>
      <c r="E1522" s="18"/>
      <c r="F1522" s="18"/>
      <c r="G1522" s="18"/>
      <c r="H1522" s="18"/>
      <c r="I1522" s="19"/>
      <c r="J1522" s="19"/>
      <c r="K1522" s="19"/>
      <c r="L1522" s="18"/>
      <c r="M1522" s="18"/>
      <c r="N1522" s="18"/>
      <c r="O1522" s="18"/>
      <c r="P1522" s="18"/>
    </row>
    <row r="1523">
      <c r="A1523" s="18"/>
      <c r="B1523" s="18"/>
      <c r="C1523" s="18"/>
      <c r="D1523" s="18"/>
      <c r="E1523" s="18"/>
      <c r="F1523" s="18"/>
      <c r="G1523" s="18"/>
      <c r="H1523" s="18"/>
      <c r="I1523" s="19"/>
      <c r="J1523" s="19"/>
      <c r="K1523" s="19"/>
      <c r="L1523" s="18"/>
      <c r="M1523" s="18"/>
      <c r="N1523" s="18"/>
      <c r="O1523" s="18"/>
      <c r="P1523" s="18"/>
    </row>
    <row r="1524">
      <c r="A1524" s="18"/>
      <c r="B1524" s="18"/>
      <c r="C1524" s="18"/>
      <c r="D1524" s="18"/>
      <c r="E1524" s="18"/>
      <c r="F1524" s="18"/>
      <c r="G1524" s="18"/>
      <c r="H1524" s="18"/>
      <c r="I1524" s="19"/>
      <c r="J1524" s="19"/>
      <c r="K1524" s="19"/>
      <c r="L1524" s="18"/>
      <c r="M1524" s="18"/>
      <c r="N1524" s="18"/>
      <c r="O1524" s="18"/>
      <c r="P1524" s="18"/>
    </row>
    <row r="1525">
      <c r="A1525" s="18"/>
      <c r="B1525" s="18"/>
      <c r="C1525" s="18"/>
      <c r="D1525" s="18"/>
      <c r="E1525" s="18"/>
      <c r="F1525" s="18"/>
      <c r="G1525" s="18"/>
      <c r="H1525" s="18"/>
      <c r="I1525" s="19"/>
      <c r="J1525" s="19"/>
      <c r="K1525" s="19"/>
      <c r="L1525" s="18"/>
      <c r="M1525" s="18"/>
      <c r="N1525" s="18"/>
      <c r="O1525" s="18"/>
      <c r="P1525" s="18"/>
    </row>
    <row r="1526">
      <c r="A1526" s="18"/>
      <c r="B1526" s="18"/>
      <c r="C1526" s="18"/>
      <c r="D1526" s="18"/>
      <c r="E1526" s="18"/>
      <c r="F1526" s="18"/>
      <c r="G1526" s="18"/>
      <c r="H1526" s="18"/>
      <c r="I1526" s="19"/>
      <c r="J1526" s="19"/>
      <c r="K1526" s="19"/>
      <c r="L1526" s="18"/>
      <c r="M1526" s="18"/>
      <c r="N1526" s="18"/>
      <c r="O1526" s="18"/>
      <c r="P1526" s="18"/>
    </row>
    <row r="1527">
      <c r="A1527" s="18"/>
      <c r="B1527" s="18"/>
      <c r="C1527" s="18"/>
      <c r="D1527" s="18"/>
      <c r="E1527" s="18"/>
      <c r="F1527" s="18"/>
      <c r="G1527" s="18"/>
      <c r="H1527" s="18"/>
      <c r="I1527" s="19"/>
      <c r="J1527" s="19"/>
      <c r="K1527" s="19"/>
      <c r="L1527" s="18"/>
      <c r="M1527" s="18"/>
      <c r="N1527" s="18"/>
      <c r="O1527" s="18"/>
      <c r="P1527" s="18"/>
    </row>
    <row r="1528">
      <c r="A1528" s="18"/>
      <c r="B1528" s="18"/>
      <c r="C1528" s="18"/>
      <c r="D1528" s="18"/>
      <c r="E1528" s="18"/>
      <c r="F1528" s="18"/>
      <c r="G1528" s="18"/>
      <c r="H1528" s="18"/>
      <c r="I1528" s="19"/>
      <c r="J1528" s="19"/>
      <c r="K1528" s="19"/>
      <c r="L1528" s="18"/>
      <c r="M1528" s="18"/>
      <c r="N1528" s="18"/>
      <c r="O1528" s="18"/>
      <c r="P1528" s="18"/>
    </row>
    <row r="1529">
      <c r="A1529" s="18"/>
      <c r="B1529" s="18"/>
      <c r="C1529" s="18"/>
      <c r="D1529" s="18"/>
      <c r="E1529" s="18"/>
      <c r="F1529" s="18"/>
      <c r="G1529" s="18"/>
      <c r="H1529" s="18"/>
      <c r="I1529" s="19"/>
      <c r="J1529" s="19"/>
      <c r="K1529" s="19"/>
      <c r="L1529" s="18"/>
      <c r="M1529" s="18"/>
      <c r="N1529" s="18"/>
      <c r="O1529" s="18"/>
      <c r="P1529" s="18"/>
    </row>
    <row r="1530">
      <c r="A1530" s="18"/>
      <c r="B1530" s="18"/>
      <c r="C1530" s="18"/>
      <c r="D1530" s="18"/>
      <c r="E1530" s="18"/>
      <c r="F1530" s="18"/>
      <c r="G1530" s="18"/>
      <c r="H1530" s="18"/>
      <c r="I1530" s="19"/>
      <c r="J1530" s="19"/>
      <c r="K1530" s="19"/>
      <c r="L1530" s="18"/>
      <c r="M1530" s="18"/>
      <c r="N1530" s="18"/>
      <c r="O1530" s="18"/>
      <c r="P1530" s="18"/>
    </row>
    <row r="1531">
      <c r="A1531" s="18"/>
      <c r="B1531" s="18"/>
      <c r="C1531" s="18"/>
      <c r="D1531" s="18"/>
      <c r="E1531" s="18"/>
      <c r="F1531" s="18"/>
      <c r="G1531" s="18"/>
      <c r="H1531" s="18"/>
      <c r="I1531" s="19"/>
      <c r="J1531" s="19"/>
      <c r="K1531" s="19"/>
      <c r="L1531" s="18"/>
      <c r="M1531" s="18"/>
      <c r="N1531" s="18"/>
      <c r="O1531" s="18"/>
      <c r="P1531" s="18"/>
    </row>
    <row r="1532">
      <c r="A1532" s="18"/>
      <c r="B1532" s="18"/>
      <c r="C1532" s="18"/>
      <c r="D1532" s="18"/>
      <c r="E1532" s="18"/>
      <c r="F1532" s="18"/>
      <c r="G1532" s="18"/>
      <c r="H1532" s="18"/>
      <c r="I1532" s="19"/>
      <c r="J1532" s="19"/>
      <c r="K1532" s="19"/>
      <c r="L1532" s="18"/>
      <c r="M1532" s="18"/>
      <c r="N1532" s="18"/>
      <c r="O1532" s="18"/>
      <c r="P1532" s="18"/>
    </row>
    <row r="1533">
      <c r="A1533" s="18"/>
      <c r="B1533" s="18"/>
      <c r="C1533" s="18"/>
      <c r="D1533" s="18"/>
      <c r="E1533" s="18"/>
      <c r="F1533" s="18"/>
      <c r="G1533" s="18"/>
      <c r="H1533" s="18"/>
      <c r="I1533" s="19"/>
      <c r="J1533" s="19"/>
      <c r="K1533" s="19"/>
      <c r="L1533" s="18"/>
      <c r="M1533" s="18"/>
      <c r="N1533" s="18"/>
      <c r="O1533" s="18"/>
      <c r="P1533" s="18"/>
    </row>
    <row r="1534">
      <c r="A1534" s="18"/>
      <c r="B1534" s="18"/>
      <c r="C1534" s="18"/>
      <c r="D1534" s="18"/>
      <c r="E1534" s="18"/>
      <c r="F1534" s="18"/>
      <c r="G1534" s="18"/>
      <c r="H1534" s="18"/>
      <c r="I1534" s="19"/>
      <c r="J1534" s="19"/>
      <c r="K1534" s="19"/>
      <c r="L1534" s="18"/>
      <c r="M1534" s="18"/>
      <c r="N1534" s="18"/>
      <c r="O1534" s="18"/>
      <c r="P1534" s="18"/>
    </row>
    <row r="1535">
      <c r="A1535" s="18"/>
      <c r="B1535" s="18"/>
      <c r="C1535" s="18"/>
      <c r="D1535" s="18"/>
      <c r="E1535" s="18"/>
      <c r="F1535" s="18"/>
      <c r="G1535" s="18"/>
      <c r="H1535" s="18"/>
      <c r="I1535" s="19"/>
      <c r="J1535" s="19"/>
      <c r="K1535" s="19"/>
      <c r="L1535" s="18"/>
      <c r="M1535" s="18"/>
      <c r="N1535" s="18"/>
      <c r="O1535" s="18"/>
      <c r="P1535" s="18"/>
    </row>
    <row r="1536">
      <c r="A1536" s="18"/>
      <c r="B1536" s="18"/>
      <c r="C1536" s="18"/>
      <c r="D1536" s="18"/>
      <c r="E1536" s="18"/>
      <c r="F1536" s="18"/>
      <c r="G1536" s="18"/>
      <c r="H1536" s="18"/>
      <c r="I1536" s="19"/>
      <c r="J1536" s="19"/>
      <c r="K1536" s="19"/>
      <c r="L1536" s="18"/>
      <c r="M1536" s="18"/>
      <c r="N1536" s="18"/>
      <c r="O1536" s="18"/>
      <c r="P1536" s="18"/>
    </row>
    <row r="1537">
      <c r="A1537" s="18"/>
      <c r="B1537" s="18"/>
      <c r="C1537" s="18"/>
      <c r="D1537" s="18"/>
      <c r="E1537" s="18"/>
      <c r="F1537" s="18"/>
      <c r="G1537" s="18"/>
      <c r="H1537" s="18"/>
      <c r="I1537" s="19"/>
      <c r="J1537" s="19"/>
      <c r="K1537" s="19"/>
      <c r="L1537" s="18"/>
      <c r="M1537" s="18"/>
      <c r="N1537" s="18"/>
      <c r="O1537" s="18"/>
      <c r="P1537" s="18"/>
    </row>
    <row r="1538">
      <c r="A1538" s="18"/>
      <c r="B1538" s="18"/>
      <c r="C1538" s="18"/>
      <c r="D1538" s="18"/>
      <c r="E1538" s="18"/>
      <c r="F1538" s="18"/>
      <c r="G1538" s="18"/>
      <c r="H1538" s="18"/>
      <c r="I1538" s="19"/>
      <c r="J1538" s="19"/>
      <c r="K1538" s="19"/>
      <c r="L1538" s="18"/>
      <c r="M1538" s="18"/>
      <c r="N1538" s="18"/>
      <c r="O1538" s="18"/>
      <c r="P1538" s="18"/>
    </row>
    <row r="1539">
      <c r="A1539" s="18"/>
      <c r="B1539" s="18"/>
      <c r="C1539" s="18"/>
      <c r="D1539" s="18"/>
      <c r="E1539" s="18"/>
      <c r="F1539" s="18"/>
      <c r="G1539" s="18"/>
      <c r="H1539" s="18"/>
      <c r="I1539" s="19"/>
      <c r="J1539" s="19"/>
      <c r="K1539" s="19"/>
      <c r="L1539" s="18"/>
      <c r="M1539" s="18"/>
      <c r="N1539" s="18"/>
      <c r="O1539" s="18"/>
      <c r="P1539" s="18"/>
    </row>
    <row r="1540">
      <c r="A1540" s="18"/>
      <c r="B1540" s="18"/>
      <c r="C1540" s="18"/>
      <c r="D1540" s="18"/>
      <c r="E1540" s="18"/>
      <c r="F1540" s="18"/>
      <c r="G1540" s="18"/>
      <c r="H1540" s="18"/>
      <c r="I1540" s="19"/>
      <c r="J1540" s="19"/>
      <c r="K1540" s="19"/>
      <c r="L1540" s="18"/>
      <c r="M1540" s="18"/>
      <c r="N1540" s="18"/>
      <c r="O1540" s="18"/>
      <c r="P1540" s="18"/>
    </row>
    <row r="1541">
      <c r="A1541" s="18"/>
      <c r="B1541" s="18"/>
      <c r="C1541" s="18"/>
      <c r="D1541" s="18"/>
      <c r="E1541" s="18"/>
      <c r="F1541" s="18"/>
      <c r="G1541" s="18"/>
      <c r="H1541" s="18"/>
      <c r="I1541" s="19"/>
      <c r="J1541" s="19"/>
      <c r="K1541" s="19"/>
      <c r="L1541" s="18"/>
      <c r="M1541" s="18"/>
      <c r="N1541" s="18"/>
      <c r="O1541" s="18"/>
      <c r="P1541" s="18"/>
    </row>
    <row r="1542">
      <c r="A1542" s="18"/>
      <c r="B1542" s="18"/>
      <c r="C1542" s="18"/>
      <c r="D1542" s="18"/>
      <c r="E1542" s="18"/>
      <c r="F1542" s="18"/>
      <c r="G1542" s="18"/>
      <c r="H1542" s="18"/>
      <c r="I1542" s="19"/>
      <c r="J1542" s="19"/>
      <c r="K1542" s="19"/>
      <c r="L1542" s="18"/>
      <c r="M1542" s="18"/>
      <c r="N1542" s="18"/>
      <c r="O1542" s="18"/>
      <c r="P1542" s="18"/>
    </row>
    <row r="1543">
      <c r="A1543" s="18"/>
      <c r="B1543" s="18"/>
      <c r="C1543" s="18"/>
      <c r="D1543" s="18"/>
      <c r="E1543" s="18"/>
      <c r="F1543" s="18"/>
      <c r="G1543" s="18"/>
      <c r="H1543" s="18"/>
      <c r="I1543" s="19"/>
      <c r="J1543" s="19"/>
      <c r="K1543" s="19"/>
      <c r="L1543" s="18"/>
      <c r="M1543" s="18"/>
      <c r="N1543" s="18"/>
      <c r="O1543" s="18"/>
      <c r="P1543" s="18"/>
    </row>
    <row r="1544">
      <c r="A1544" s="18"/>
      <c r="B1544" s="18"/>
      <c r="C1544" s="18"/>
      <c r="D1544" s="18"/>
      <c r="E1544" s="18"/>
      <c r="F1544" s="18"/>
      <c r="G1544" s="18"/>
      <c r="H1544" s="18"/>
      <c r="I1544" s="19"/>
      <c r="J1544" s="19"/>
      <c r="K1544" s="19"/>
      <c r="L1544" s="18"/>
      <c r="M1544" s="18"/>
      <c r="N1544" s="18"/>
      <c r="O1544" s="18"/>
      <c r="P1544" s="18"/>
    </row>
    <row r="1545">
      <c r="A1545" s="18"/>
      <c r="B1545" s="18"/>
      <c r="C1545" s="18"/>
      <c r="D1545" s="18"/>
      <c r="E1545" s="18"/>
      <c r="F1545" s="18"/>
      <c r="G1545" s="18"/>
      <c r="H1545" s="18"/>
      <c r="I1545" s="19"/>
      <c r="J1545" s="19"/>
      <c r="K1545" s="19"/>
      <c r="L1545" s="18"/>
      <c r="M1545" s="18"/>
      <c r="N1545" s="18"/>
      <c r="O1545" s="18"/>
      <c r="P1545" s="18"/>
    </row>
    <row r="1546">
      <c r="A1546" s="18"/>
      <c r="B1546" s="18"/>
      <c r="C1546" s="18"/>
      <c r="D1546" s="18"/>
      <c r="E1546" s="18"/>
      <c r="F1546" s="18"/>
      <c r="G1546" s="18"/>
      <c r="H1546" s="18"/>
      <c r="I1546" s="19"/>
      <c r="J1546" s="19"/>
      <c r="K1546" s="19"/>
      <c r="L1546" s="18"/>
      <c r="M1546" s="18"/>
      <c r="N1546" s="18"/>
      <c r="O1546" s="18"/>
      <c r="P1546" s="18"/>
    </row>
    <row r="1547">
      <c r="A1547" s="18"/>
      <c r="B1547" s="18"/>
      <c r="C1547" s="18"/>
      <c r="D1547" s="18"/>
      <c r="E1547" s="18"/>
      <c r="F1547" s="18"/>
      <c r="G1547" s="18"/>
      <c r="H1547" s="18"/>
      <c r="I1547" s="19"/>
      <c r="J1547" s="19"/>
      <c r="K1547" s="19"/>
      <c r="L1547" s="18"/>
      <c r="M1547" s="18"/>
      <c r="N1547" s="18"/>
      <c r="O1547" s="18"/>
      <c r="P1547" s="18"/>
    </row>
    <row r="1548">
      <c r="A1548" s="18"/>
      <c r="B1548" s="18"/>
      <c r="C1548" s="18"/>
      <c r="D1548" s="18"/>
      <c r="E1548" s="18"/>
      <c r="F1548" s="18"/>
      <c r="G1548" s="18"/>
      <c r="H1548" s="18"/>
      <c r="I1548" s="19"/>
      <c r="J1548" s="19"/>
      <c r="K1548" s="19"/>
      <c r="L1548" s="18"/>
      <c r="M1548" s="18"/>
      <c r="N1548" s="18"/>
      <c r="O1548" s="18"/>
      <c r="P1548" s="18"/>
    </row>
    <row r="1549">
      <c r="A1549" s="18"/>
      <c r="B1549" s="18"/>
      <c r="C1549" s="18"/>
      <c r="D1549" s="18"/>
      <c r="E1549" s="18"/>
      <c r="F1549" s="18"/>
      <c r="G1549" s="18"/>
      <c r="H1549" s="18"/>
      <c r="I1549" s="19"/>
      <c r="J1549" s="19"/>
      <c r="K1549" s="19"/>
      <c r="L1549" s="18"/>
      <c r="M1549" s="18"/>
      <c r="N1549" s="18"/>
      <c r="O1549" s="18"/>
      <c r="P1549" s="18"/>
    </row>
    <row r="1550">
      <c r="A1550" s="18"/>
      <c r="B1550" s="18"/>
      <c r="C1550" s="18"/>
      <c r="D1550" s="18"/>
      <c r="E1550" s="18"/>
      <c r="F1550" s="18"/>
      <c r="G1550" s="18"/>
      <c r="H1550" s="18"/>
      <c r="I1550" s="19"/>
      <c r="J1550" s="19"/>
      <c r="K1550" s="19"/>
      <c r="L1550" s="18"/>
      <c r="M1550" s="18"/>
      <c r="N1550" s="18"/>
      <c r="O1550" s="18"/>
      <c r="P1550" s="18"/>
    </row>
    <row r="1551">
      <c r="A1551" s="18"/>
      <c r="B1551" s="18"/>
      <c r="C1551" s="18"/>
      <c r="D1551" s="18"/>
      <c r="E1551" s="18"/>
      <c r="F1551" s="18"/>
      <c r="G1551" s="18"/>
      <c r="H1551" s="18"/>
      <c r="I1551" s="19"/>
      <c r="J1551" s="19"/>
      <c r="K1551" s="19"/>
      <c r="L1551" s="18"/>
      <c r="M1551" s="18"/>
      <c r="N1551" s="18"/>
      <c r="O1551" s="18"/>
      <c r="P1551" s="18"/>
    </row>
    <row r="1552">
      <c r="A1552" s="18"/>
      <c r="B1552" s="18"/>
      <c r="C1552" s="18"/>
      <c r="D1552" s="18"/>
      <c r="E1552" s="18"/>
      <c r="F1552" s="18"/>
      <c r="G1552" s="18"/>
      <c r="H1552" s="18"/>
      <c r="I1552" s="19"/>
      <c r="J1552" s="19"/>
      <c r="K1552" s="19"/>
      <c r="L1552" s="18"/>
      <c r="M1552" s="18"/>
      <c r="N1552" s="18"/>
      <c r="O1552" s="18"/>
      <c r="P1552" s="18"/>
    </row>
    <row r="1553">
      <c r="A1553" s="18"/>
      <c r="B1553" s="18"/>
      <c r="C1553" s="18"/>
      <c r="D1553" s="18"/>
      <c r="E1553" s="18"/>
      <c r="F1553" s="18"/>
      <c r="G1553" s="18"/>
      <c r="H1553" s="18"/>
      <c r="I1553" s="19"/>
      <c r="J1553" s="19"/>
      <c r="K1553" s="19"/>
      <c r="L1553" s="18"/>
      <c r="M1553" s="18"/>
      <c r="N1553" s="18"/>
      <c r="O1553" s="18"/>
      <c r="P1553" s="18"/>
    </row>
    <row r="1554">
      <c r="A1554" s="18"/>
      <c r="B1554" s="18"/>
      <c r="C1554" s="18"/>
      <c r="D1554" s="18"/>
      <c r="E1554" s="18"/>
      <c r="F1554" s="18"/>
      <c r="G1554" s="18"/>
      <c r="H1554" s="18"/>
      <c r="I1554" s="19"/>
      <c r="J1554" s="19"/>
      <c r="K1554" s="19"/>
      <c r="L1554" s="18"/>
      <c r="M1554" s="18"/>
      <c r="N1554" s="18"/>
      <c r="O1554" s="18"/>
      <c r="P1554" s="18"/>
    </row>
    <row r="1555">
      <c r="A1555" s="18"/>
      <c r="B1555" s="18"/>
      <c r="C1555" s="18"/>
      <c r="D1555" s="18"/>
      <c r="E1555" s="18"/>
      <c r="F1555" s="18"/>
      <c r="G1555" s="18"/>
      <c r="H1555" s="18"/>
      <c r="I1555" s="19"/>
      <c r="J1555" s="19"/>
      <c r="K1555" s="19"/>
      <c r="L1555" s="18"/>
      <c r="M1555" s="18"/>
      <c r="N1555" s="18"/>
      <c r="O1555" s="18"/>
      <c r="P1555" s="18"/>
    </row>
    <row r="1556">
      <c r="A1556" s="18"/>
      <c r="B1556" s="18"/>
      <c r="C1556" s="18"/>
      <c r="D1556" s="18"/>
      <c r="E1556" s="18"/>
      <c r="F1556" s="18"/>
      <c r="G1556" s="18"/>
      <c r="H1556" s="18"/>
      <c r="I1556" s="19"/>
      <c r="J1556" s="19"/>
      <c r="K1556" s="19"/>
      <c r="L1556" s="18"/>
      <c r="M1556" s="18"/>
      <c r="N1556" s="18"/>
      <c r="O1556" s="18"/>
      <c r="P1556" s="18"/>
    </row>
    <row r="1557">
      <c r="A1557" s="18"/>
      <c r="B1557" s="18"/>
      <c r="C1557" s="18"/>
      <c r="D1557" s="18"/>
      <c r="E1557" s="18"/>
      <c r="F1557" s="18"/>
      <c r="G1557" s="18"/>
      <c r="H1557" s="18"/>
      <c r="I1557" s="19"/>
      <c r="J1557" s="19"/>
      <c r="K1557" s="19"/>
      <c r="L1557" s="18"/>
      <c r="M1557" s="18"/>
      <c r="N1557" s="18"/>
      <c r="O1557" s="18"/>
      <c r="P1557" s="18"/>
    </row>
    <row r="1558">
      <c r="A1558" s="18"/>
      <c r="B1558" s="18"/>
      <c r="C1558" s="18"/>
      <c r="D1558" s="18"/>
      <c r="E1558" s="18"/>
      <c r="F1558" s="18"/>
      <c r="G1558" s="18"/>
      <c r="H1558" s="18"/>
      <c r="I1558" s="19"/>
      <c r="J1558" s="19"/>
      <c r="K1558" s="19"/>
      <c r="L1558" s="18"/>
      <c r="M1558" s="18"/>
      <c r="N1558" s="18"/>
      <c r="O1558" s="18"/>
      <c r="P1558" s="18"/>
    </row>
    <row r="1559">
      <c r="A1559" s="18"/>
      <c r="B1559" s="18"/>
      <c r="C1559" s="18"/>
      <c r="D1559" s="18"/>
      <c r="E1559" s="18"/>
      <c r="F1559" s="18"/>
      <c r="G1559" s="18"/>
      <c r="H1559" s="18"/>
      <c r="I1559" s="19"/>
      <c r="J1559" s="19"/>
      <c r="K1559" s="19"/>
      <c r="L1559" s="18"/>
      <c r="M1559" s="18"/>
      <c r="N1559" s="18"/>
      <c r="O1559" s="18"/>
      <c r="P1559" s="18"/>
    </row>
    <row r="1560">
      <c r="A1560" s="18"/>
      <c r="B1560" s="18"/>
      <c r="C1560" s="18"/>
      <c r="D1560" s="18"/>
      <c r="E1560" s="18"/>
      <c r="F1560" s="18"/>
      <c r="G1560" s="18"/>
      <c r="H1560" s="18"/>
      <c r="I1560" s="19"/>
      <c r="J1560" s="19"/>
      <c r="K1560" s="19"/>
      <c r="L1560" s="18"/>
      <c r="M1560" s="18"/>
      <c r="N1560" s="18"/>
      <c r="O1560" s="18"/>
      <c r="P1560" s="18"/>
    </row>
    <row r="1561">
      <c r="A1561" s="18"/>
      <c r="B1561" s="18"/>
      <c r="C1561" s="18"/>
      <c r="D1561" s="18"/>
      <c r="E1561" s="18"/>
      <c r="F1561" s="18"/>
      <c r="G1561" s="18"/>
      <c r="H1561" s="18"/>
      <c r="I1561" s="19"/>
      <c r="J1561" s="19"/>
      <c r="K1561" s="19"/>
      <c r="L1561" s="18"/>
      <c r="M1561" s="18"/>
      <c r="N1561" s="18"/>
      <c r="O1561" s="18"/>
      <c r="P1561" s="18"/>
    </row>
    <row r="1562">
      <c r="A1562" s="18"/>
      <c r="B1562" s="18"/>
      <c r="C1562" s="18"/>
      <c r="D1562" s="18"/>
      <c r="E1562" s="18"/>
      <c r="F1562" s="18"/>
      <c r="G1562" s="18"/>
      <c r="H1562" s="18"/>
      <c r="I1562" s="19"/>
      <c r="J1562" s="19"/>
      <c r="K1562" s="19"/>
      <c r="L1562" s="18"/>
      <c r="M1562" s="18"/>
      <c r="N1562" s="18"/>
      <c r="O1562" s="18"/>
      <c r="P1562" s="18"/>
    </row>
    <row r="1563">
      <c r="A1563" s="18"/>
      <c r="B1563" s="18"/>
      <c r="C1563" s="18"/>
      <c r="D1563" s="18"/>
      <c r="E1563" s="18"/>
      <c r="F1563" s="18"/>
      <c r="G1563" s="18"/>
      <c r="H1563" s="18"/>
      <c r="I1563" s="19"/>
      <c r="J1563" s="19"/>
      <c r="K1563" s="19"/>
      <c r="L1563" s="18"/>
      <c r="M1563" s="18"/>
      <c r="N1563" s="18"/>
      <c r="O1563" s="18"/>
      <c r="P1563" s="18"/>
    </row>
    <row r="1564">
      <c r="A1564" s="18"/>
      <c r="B1564" s="18"/>
      <c r="C1564" s="18"/>
      <c r="D1564" s="18"/>
      <c r="E1564" s="18"/>
      <c r="F1564" s="18"/>
      <c r="G1564" s="18"/>
      <c r="H1564" s="18"/>
      <c r="I1564" s="19"/>
      <c r="J1564" s="19"/>
      <c r="K1564" s="19"/>
      <c r="L1564" s="18"/>
      <c r="M1564" s="18"/>
      <c r="N1564" s="18"/>
      <c r="O1564" s="18"/>
      <c r="P1564" s="18"/>
    </row>
    <row r="1565">
      <c r="A1565" s="18"/>
      <c r="B1565" s="18"/>
      <c r="C1565" s="18"/>
      <c r="D1565" s="18"/>
      <c r="E1565" s="18"/>
      <c r="F1565" s="18"/>
      <c r="G1565" s="18"/>
      <c r="H1565" s="18"/>
      <c r="I1565" s="19"/>
      <c r="J1565" s="19"/>
      <c r="K1565" s="19"/>
      <c r="L1565" s="18"/>
      <c r="M1565" s="18"/>
      <c r="N1565" s="18"/>
      <c r="O1565" s="18"/>
      <c r="P1565" s="18"/>
    </row>
    <row r="1566">
      <c r="A1566" s="18"/>
      <c r="B1566" s="18"/>
      <c r="C1566" s="18"/>
      <c r="D1566" s="18"/>
      <c r="E1566" s="18"/>
      <c r="F1566" s="18"/>
      <c r="G1566" s="18"/>
      <c r="H1566" s="18"/>
      <c r="I1566" s="19"/>
      <c r="J1566" s="19"/>
      <c r="K1566" s="19"/>
      <c r="L1566" s="18"/>
      <c r="M1566" s="18"/>
      <c r="N1566" s="18"/>
      <c r="O1566" s="18"/>
      <c r="P1566" s="18"/>
    </row>
    <row r="1567">
      <c r="A1567" s="18"/>
      <c r="B1567" s="18"/>
      <c r="C1567" s="18"/>
      <c r="D1567" s="18"/>
      <c r="E1567" s="18"/>
      <c r="F1567" s="18"/>
      <c r="G1567" s="18"/>
      <c r="H1567" s="18"/>
      <c r="I1567" s="19"/>
      <c r="J1567" s="19"/>
      <c r="K1567" s="19"/>
      <c r="L1567" s="18"/>
      <c r="M1567" s="18"/>
      <c r="N1567" s="18"/>
      <c r="O1567" s="18"/>
      <c r="P1567" s="18"/>
    </row>
    <row r="1568">
      <c r="A1568" s="18"/>
      <c r="B1568" s="18"/>
      <c r="C1568" s="18"/>
      <c r="D1568" s="18"/>
      <c r="E1568" s="18"/>
      <c r="F1568" s="18"/>
      <c r="G1568" s="18"/>
      <c r="H1568" s="18"/>
      <c r="I1568" s="19"/>
      <c r="J1568" s="19"/>
      <c r="K1568" s="19"/>
      <c r="L1568" s="18"/>
      <c r="M1568" s="18"/>
      <c r="N1568" s="18"/>
      <c r="O1568" s="18"/>
      <c r="P1568" s="18"/>
    </row>
    <row r="1569">
      <c r="A1569" s="18"/>
      <c r="B1569" s="18"/>
      <c r="C1569" s="18"/>
      <c r="D1569" s="18"/>
      <c r="E1569" s="18"/>
      <c r="F1569" s="18"/>
      <c r="G1569" s="18"/>
      <c r="H1569" s="18"/>
      <c r="I1569" s="19"/>
      <c r="J1569" s="19"/>
      <c r="K1569" s="19"/>
      <c r="L1569" s="18"/>
      <c r="M1569" s="18"/>
      <c r="N1569" s="18"/>
      <c r="O1569" s="18"/>
      <c r="P1569" s="18"/>
    </row>
    <row r="1570">
      <c r="A1570" s="18"/>
      <c r="B1570" s="18"/>
      <c r="C1570" s="18"/>
      <c r="D1570" s="18"/>
      <c r="E1570" s="18"/>
      <c r="F1570" s="18"/>
      <c r="G1570" s="18"/>
      <c r="H1570" s="18"/>
      <c r="I1570" s="19"/>
      <c r="J1570" s="19"/>
      <c r="K1570" s="19"/>
      <c r="L1570" s="18"/>
      <c r="M1570" s="18"/>
      <c r="N1570" s="18"/>
      <c r="O1570" s="18"/>
      <c r="P1570" s="18"/>
    </row>
    <row r="1571">
      <c r="A1571" s="18"/>
      <c r="B1571" s="18"/>
      <c r="C1571" s="18"/>
      <c r="D1571" s="18"/>
      <c r="E1571" s="18"/>
      <c r="F1571" s="18"/>
      <c r="G1571" s="18"/>
      <c r="H1571" s="18"/>
      <c r="I1571" s="19"/>
      <c r="J1571" s="19"/>
      <c r="K1571" s="19"/>
      <c r="L1571" s="18"/>
      <c r="M1571" s="18"/>
      <c r="N1571" s="18"/>
      <c r="O1571" s="18"/>
      <c r="P1571" s="18"/>
    </row>
    <row r="1572">
      <c r="A1572" s="18"/>
      <c r="B1572" s="18"/>
      <c r="C1572" s="18"/>
      <c r="D1572" s="18"/>
      <c r="E1572" s="18"/>
      <c r="F1572" s="18"/>
      <c r="G1572" s="18"/>
      <c r="H1572" s="18"/>
      <c r="I1572" s="19"/>
      <c r="J1572" s="19"/>
      <c r="K1572" s="19"/>
      <c r="L1572" s="18"/>
      <c r="M1572" s="18"/>
      <c r="N1572" s="18"/>
      <c r="O1572" s="18"/>
      <c r="P1572" s="18"/>
    </row>
    <row r="1573">
      <c r="A1573" s="18"/>
      <c r="B1573" s="18"/>
      <c r="C1573" s="18"/>
      <c r="D1573" s="18"/>
      <c r="E1573" s="18"/>
      <c r="F1573" s="18"/>
      <c r="G1573" s="18"/>
      <c r="H1573" s="18"/>
      <c r="I1573" s="19"/>
      <c r="J1573" s="19"/>
      <c r="K1573" s="19"/>
      <c r="L1573" s="18"/>
      <c r="M1573" s="18"/>
      <c r="N1573" s="18"/>
      <c r="O1573" s="18"/>
      <c r="P1573" s="18"/>
    </row>
    <row r="1574">
      <c r="A1574" s="18"/>
      <c r="B1574" s="18"/>
      <c r="C1574" s="18"/>
      <c r="D1574" s="18"/>
      <c r="E1574" s="18"/>
      <c r="F1574" s="18"/>
      <c r="G1574" s="18"/>
      <c r="H1574" s="18"/>
      <c r="I1574" s="19"/>
      <c r="J1574" s="19"/>
      <c r="K1574" s="19"/>
      <c r="L1574" s="18"/>
      <c r="M1574" s="18"/>
      <c r="N1574" s="18"/>
      <c r="O1574" s="18"/>
      <c r="P1574" s="18"/>
    </row>
    <row r="1575">
      <c r="A1575" s="18"/>
      <c r="B1575" s="18"/>
      <c r="C1575" s="18"/>
      <c r="D1575" s="18"/>
      <c r="E1575" s="18"/>
      <c r="F1575" s="18"/>
      <c r="G1575" s="18"/>
      <c r="H1575" s="18"/>
      <c r="I1575" s="19"/>
      <c r="J1575" s="19"/>
      <c r="K1575" s="19"/>
      <c r="L1575" s="18"/>
      <c r="M1575" s="18"/>
      <c r="N1575" s="18"/>
      <c r="O1575" s="18"/>
      <c r="P1575" s="18"/>
    </row>
    <row r="1576">
      <c r="A1576" s="18"/>
      <c r="B1576" s="18"/>
      <c r="C1576" s="18"/>
      <c r="D1576" s="18"/>
      <c r="E1576" s="18"/>
      <c r="F1576" s="18"/>
      <c r="G1576" s="18"/>
      <c r="H1576" s="18"/>
      <c r="I1576" s="19"/>
      <c r="J1576" s="19"/>
      <c r="K1576" s="19"/>
      <c r="L1576" s="18"/>
      <c r="M1576" s="18"/>
      <c r="N1576" s="18"/>
      <c r="O1576" s="18"/>
      <c r="P1576" s="18"/>
    </row>
    <row r="1577">
      <c r="A1577" s="18"/>
      <c r="B1577" s="18"/>
      <c r="C1577" s="18"/>
      <c r="D1577" s="18"/>
      <c r="E1577" s="18"/>
      <c r="F1577" s="18"/>
      <c r="G1577" s="18"/>
      <c r="H1577" s="18"/>
      <c r="I1577" s="19"/>
      <c r="J1577" s="19"/>
      <c r="K1577" s="19"/>
      <c r="L1577" s="18"/>
      <c r="M1577" s="18"/>
      <c r="N1577" s="18"/>
      <c r="O1577" s="18"/>
      <c r="P1577" s="18"/>
    </row>
    <row r="1578">
      <c r="A1578" s="18"/>
      <c r="B1578" s="18"/>
      <c r="C1578" s="18"/>
      <c r="D1578" s="18"/>
      <c r="E1578" s="18"/>
      <c r="F1578" s="18"/>
      <c r="G1578" s="18"/>
      <c r="H1578" s="18"/>
      <c r="I1578" s="19"/>
      <c r="J1578" s="19"/>
      <c r="K1578" s="19"/>
      <c r="L1578" s="18"/>
      <c r="M1578" s="18"/>
      <c r="N1578" s="18"/>
      <c r="O1578" s="18"/>
      <c r="P1578" s="18"/>
    </row>
    <row r="1579">
      <c r="A1579" s="18"/>
      <c r="B1579" s="18"/>
      <c r="C1579" s="18"/>
      <c r="D1579" s="18"/>
      <c r="E1579" s="18"/>
      <c r="F1579" s="18"/>
      <c r="G1579" s="18"/>
      <c r="H1579" s="18"/>
      <c r="I1579" s="19"/>
      <c r="J1579" s="19"/>
      <c r="K1579" s="19"/>
      <c r="L1579" s="18"/>
      <c r="M1579" s="18"/>
      <c r="N1579" s="18"/>
      <c r="O1579" s="18"/>
      <c r="P1579" s="18"/>
    </row>
    <row r="1580">
      <c r="A1580" s="18"/>
      <c r="B1580" s="18"/>
      <c r="C1580" s="18"/>
      <c r="D1580" s="18"/>
      <c r="E1580" s="18"/>
      <c r="F1580" s="18"/>
      <c r="G1580" s="18"/>
      <c r="H1580" s="18"/>
      <c r="I1580" s="19"/>
      <c r="J1580" s="19"/>
      <c r="K1580" s="19"/>
      <c r="L1580" s="18"/>
      <c r="M1580" s="18"/>
      <c r="N1580" s="18"/>
      <c r="O1580" s="18"/>
      <c r="P1580" s="18"/>
    </row>
    <row r="1581">
      <c r="A1581" s="18"/>
      <c r="B1581" s="18"/>
      <c r="C1581" s="18"/>
      <c r="D1581" s="18"/>
      <c r="E1581" s="18"/>
      <c r="F1581" s="18"/>
      <c r="G1581" s="18"/>
      <c r="H1581" s="18"/>
      <c r="I1581" s="19"/>
      <c r="J1581" s="19"/>
      <c r="K1581" s="19"/>
      <c r="L1581" s="18"/>
      <c r="M1581" s="18"/>
      <c r="N1581" s="18"/>
      <c r="O1581" s="18"/>
      <c r="P1581" s="18"/>
    </row>
    <row r="1582">
      <c r="A1582" s="18"/>
      <c r="B1582" s="18"/>
      <c r="C1582" s="18"/>
      <c r="D1582" s="18"/>
      <c r="E1582" s="18"/>
      <c r="F1582" s="18"/>
      <c r="G1582" s="18"/>
      <c r="H1582" s="18"/>
      <c r="I1582" s="19"/>
      <c r="J1582" s="19"/>
      <c r="K1582" s="19"/>
      <c r="L1582" s="18"/>
      <c r="M1582" s="18"/>
      <c r="N1582" s="18"/>
      <c r="O1582" s="18"/>
      <c r="P1582" s="18"/>
    </row>
    <row r="1583">
      <c r="A1583" s="18"/>
      <c r="B1583" s="18"/>
      <c r="C1583" s="18"/>
      <c r="D1583" s="18"/>
      <c r="E1583" s="18"/>
      <c r="F1583" s="18"/>
      <c r="G1583" s="18"/>
      <c r="H1583" s="18"/>
      <c r="I1583" s="19"/>
      <c r="J1583" s="19"/>
      <c r="K1583" s="19"/>
      <c r="L1583" s="18"/>
      <c r="M1583" s="18"/>
      <c r="N1583" s="18"/>
      <c r="O1583" s="18"/>
      <c r="P1583" s="18"/>
    </row>
    <row r="1584">
      <c r="A1584" s="18"/>
      <c r="B1584" s="18"/>
      <c r="C1584" s="18"/>
      <c r="D1584" s="18"/>
      <c r="E1584" s="18"/>
      <c r="F1584" s="18"/>
      <c r="G1584" s="18"/>
      <c r="H1584" s="18"/>
      <c r="I1584" s="19"/>
      <c r="J1584" s="19"/>
      <c r="K1584" s="19"/>
      <c r="L1584" s="18"/>
      <c r="M1584" s="18"/>
      <c r="N1584" s="18"/>
      <c r="O1584" s="18"/>
      <c r="P1584" s="18"/>
    </row>
    <row r="1585">
      <c r="A1585" s="18"/>
      <c r="B1585" s="18"/>
      <c r="C1585" s="18"/>
      <c r="D1585" s="18"/>
      <c r="E1585" s="18"/>
      <c r="F1585" s="18"/>
      <c r="G1585" s="18"/>
      <c r="H1585" s="18"/>
      <c r="I1585" s="19"/>
      <c r="J1585" s="19"/>
      <c r="K1585" s="19"/>
      <c r="L1585" s="18"/>
      <c r="M1585" s="18"/>
      <c r="N1585" s="18"/>
      <c r="O1585" s="18"/>
      <c r="P1585" s="18"/>
    </row>
    <row r="1586">
      <c r="A1586" s="18"/>
      <c r="B1586" s="18"/>
      <c r="C1586" s="18"/>
      <c r="D1586" s="18"/>
      <c r="E1586" s="18"/>
      <c r="F1586" s="18"/>
      <c r="G1586" s="18"/>
      <c r="H1586" s="18"/>
      <c r="I1586" s="19"/>
      <c r="J1586" s="19"/>
      <c r="K1586" s="19"/>
      <c r="L1586" s="18"/>
      <c r="M1586" s="18"/>
      <c r="N1586" s="18"/>
      <c r="O1586" s="18"/>
      <c r="P1586" s="18"/>
    </row>
    <row r="1587">
      <c r="A1587" s="18"/>
      <c r="B1587" s="18"/>
      <c r="C1587" s="18"/>
      <c r="D1587" s="18"/>
      <c r="E1587" s="18"/>
      <c r="F1587" s="18"/>
      <c r="G1587" s="18"/>
      <c r="H1587" s="18"/>
      <c r="I1587" s="19"/>
      <c r="J1587" s="19"/>
      <c r="K1587" s="19"/>
      <c r="L1587" s="18"/>
      <c r="M1587" s="18"/>
      <c r="N1587" s="18"/>
      <c r="O1587" s="18"/>
      <c r="P1587" s="18"/>
    </row>
    <row r="1588">
      <c r="A1588" s="18"/>
      <c r="B1588" s="18"/>
      <c r="C1588" s="18"/>
      <c r="D1588" s="18"/>
      <c r="E1588" s="18"/>
      <c r="F1588" s="18"/>
      <c r="G1588" s="18"/>
      <c r="H1588" s="18"/>
      <c r="I1588" s="19"/>
      <c r="J1588" s="19"/>
      <c r="K1588" s="19"/>
      <c r="L1588" s="18"/>
      <c r="M1588" s="18"/>
      <c r="N1588" s="18"/>
      <c r="O1588" s="18"/>
      <c r="P1588" s="18"/>
    </row>
    <row r="1589">
      <c r="A1589" s="18"/>
      <c r="B1589" s="18"/>
      <c r="C1589" s="18"/>
      <c r="D1589" s="18"/>
      <c r="E1589" s="18"/>
      <c r="F1589" s="18"/>
      <c r="G1589" s="18"/>
      <c r="H1589" s="18"/>
      <c r="I1589" s="19"/>
      <c r="J1589" s="19"/>
      <c r="K1589" s="19"/>
      <c r="L1589" s="18"/>
      <c r="M1589" s="18"/>
      <c r="N1589" s="18"/>
      <c r="O1589" s="18"/>
      <c r="P1589" s="18"/>
    </row>
    <row r="1590">
      <c r="A1590" s="18"/>
      <c r="B1590" s="18"/>
      <c r="C1590" s="18"/>
      <c r="D1590" s="18"/>
      <c r="E1590" s="18"/>
      <c r="F1590" s="18"/>
      <c r="G1590" s="18"/>
      <c r="H1590" s="18"/>
      <c r="I1590" s="19"/>
      <c r="J1590" s="19"/>
      <c r="K1590" s="19"/>
      <c r="L1590" s="18"/>
      <c r="M1590" s="18"/>
      <c r="N1590" s="18"/>
      <c r="O1590" s="18"/>
      <c r="P1590" s="18"/>
    </row>
    <row r="1591">
      <c r="A1591" s="18"/>
      <c r="B1591" s="18"/>
      <c r="C1591" s="18"/>
      <c r="D1591" s="18"/>
      <c r="E1591" s="18"/>
      <c r="F1591" s="18"/>
      <c r="G1591" s="18"/>
      <c r="H1591" s="18"/>
      <c r="I1591" s="19"/>
      <c r="J1591" s="19"/>
      <c r="K1591" s="19"/>
      <c r="L1591" s="18"/>
      <c r="M1591" s="18"/>
      <c r="N1591" s="18"/>
      <c r="O1591" s="18"/>
      <c r="P1591" s="18"/>
    </row>
    <row r="1592">
      <c r="A1592" s="18"/>
      <c r="B1592" s="18"/>
      <c r="C1592" s="18"/>
      <c r="D1592" s="18"/>
      <c r="E1592" s="18"/>
      <c r="F1592" s="18"/>
      <c r="G1592" s="18"/>
      <c r="H1592" s="18"/>
      <c r="I1592" s="19"/>
      <c r="J1592" s="19"/>
      <c r="K1592" s="19"/>
      <c r="L1592" s="18"/>
      <c r="M1592" s="18"/>
      <c r="N1592" s="18"/>
      <c r="O1592" s="18"/>
      <c r="P1592" s="18"/>
    </row>
    <row r="1593">
      <c r="A1593" s="18"/>
      <c r="B1593" s="18"/>
      <c r="C1593" s="18"/>
      <c r="D1593" s="18"/>
      <c r="E1593" s="18"/>
      <c r="F1593" s="18"/>
      <c r="G1593" s="18"/>
      <c r="H1593" s="18"/>
      <c r="I1593" s="19"/>
      <c r="J1593" s="19"/>
      <c r="K1593" s="19"/>
      <c r="L1593" s="18"/>
      <c r="M1593" s="18"/>
      <c r="N1593" s="18"/>
      <c r="O1593" s="18"/>
      <c r="P1593" s="18"/>
    </row>
    <row r="1594">
      <c r="A1594" s="18"/>
      <c r="B1594" s="18"/>
      <c r="C1594" s="18"/>
      <c r="D1594" s="18"/>
      <c r="E1594" s="18"/>
      <c r="F1594" s="18"/>
      <c r="G1594" s="18"/>
      <c r="H1594" s="18"/>
      <c r="I1594" s="19"/>
      <c r="J1594" s="19"/>
      <c r="K1594" s="19"/>
      <c r="L1594" s="18"/>
      <c r="M1594" s="18"/>
      <c r="N1594" s="18"/>
      <c r="O1594" s="18"/>
      <c r="P1594" s="18"/>
    </row>
    <row r="1595">
      <c r="A1595" s="18"/>
      <c r="B1595" s="18"/>
      <c r="C1595" s="18"/>
      <c r="D1595" s="18"/>
      <c r="E1595" s="18"/>
      <c r="F1595" s="18"/>
      <c r="G1595" s="18"/>
      <c r="H1595" s="18"/>
      <c r="I1595" s="19"/>
      <c r="J1595" s="19"/>
      <c r="K1595" s="19"/>
      <c r="L1595" s="18"/>
      <c r="M1595" s="18"/>
      <c r="N1595" s="18"/>
      <c r="O1595" s="18"/>
      <c r="P1595" s="18"/>
    </row>
    <row r="1596">
      <c r="A1596" s="18"/>
      <c r="B1596" s="18"/>
      <c r="C1596" s="18"/>
      <c r="D1596" s="18"/>
      <c r="E1596" s="18"/>
      <c r="F1596" s="18"/>
      <c r="G1596" s="18"/>
      <c r="H1596" s="18"/>
      <c r="I1596" s="19"/>
      <c r="J1596" s="19"/>
      <c r="K1596" s="19"/>
      <c r="L1596" s="18"/>
      <c r="M1596" s="18"/>
      <c r="N1596" s="18"/>
      <c r="O1596" s="18"/>
      <c r="P1596" s="18"/>
    </row>
    <row r="1597">
      <c r="A1597" s="18"/>
      <c r="B1597" s="18"/>
      <c r="C1597" s="18"/>
      <c r="D1597" s="18"/>
      <c r="E1597" s="18"/>
      <c r="F1597" s="18"/>
      <c r="G1597" s="18"/>
      <c r="H1597" s="18"/>
      <c r="I1597" s="19"/>
      <c r="J1597" s="19"/>
      <c r="K1597" s="19"/>
      <c r="L1597" s="18"/>
      <c r="M1597" s="18"/>
      <c r="N1597" s="18"/>
      <c r="O1597" s="18"/>
      <c r="P1597" s="18"/>
    </row>
    <row r="1598">
      <c r="A1598" s="18"/>
      <c r="B1598" s="18"/>
      <c r="C1598" s="18"/>
      <c r="D1598" s="18"/>
      <c r="E1598" s="18"/>
      <c r="F1598" s="18"/>
      <c r="G1598" s="18"/>
      <c r="H1598" s="18"/>
      <c r="I1598" s="19"/>
      <c r="J1598" s="19"/>
      <c r="K1598" s="19"/>
      <c r="L1598" s="18"/>
      <c r="M1598" s="18"/>
      <c r="N1598" s="18"/>
      <c r="O1598" s="18"/>
      <c r="P1598" s="18"/>
    </row>
    <row r="1599">
      <c r="A1599" s="18"/>
      <c r="B1599" s="18"/>
      <c r="C1599" s="18"/>
      <c r="D1599" s="18"/>
      <c r="E1599" s="18"/>
      <c r="F1599" s="18"/>
      <c r="G1599" s="18"/>
      <c r="H1599" s="18"/>
      <c r="I1599" s="19"/>
      <c r="J1599" s="19"/>
      <c r="K1599" s="19"/>
      <c r="L1599" s="18"/>
      <c r="M1599" s="18"/>
      <c r="N1599" s="18"/>
      <c r="O1599" s="18"/>
      <c r="P1599" s="18"/>
    </row>
    <row r="1600">
      <c r="A1600" s="18"/>
      <c r="B1600" s="18"/>
      <c r="C1600" s="18"/>
      <c r="D1600" s="18"/>
      <c r="E1600" s="18"/>
      <c r="F1600" s="18"/>
      <c r="G1600" s="18"/>
      <c r="H1600" s="18"/>
      <c r="I1600" s="19"/>
      <c r="J1600" s="19"/>
      <c r="K1600" s="19"/>
      <c r="L1600" s="18"/>
      <c r="M1600" s="18"/>
      <c r="N1600" s="18"/>
      <c r="O1600" s="18"/>
      <c r="P1600" s="18"/>
    </row>
    <row r="1601">
      <c r="A1601" s="18"/>
      <c r="B1601" s="18"/>
      <c r="C1601" s="18"/>
      <c r="D1601" s="18"/>
      <c r="E1601" s="18"/>
      <c r="F1601" s="18"/>
      <c r="G1601" s="18"/>
      <c r="H1601" s="18"/>
      <c r="I1601" s="19"/>
      <c r="J1601" s="19"/>
      <c r="K1601" s="19"/>
      <c r="L1601" s="18"/>
      <c r="M1601" s="18"/>
      <c r="N1601" s="18"/>
      <c r="O1601" s="18"/>
      <c r="P1601" s="18"/>
    </row>
    <row r="1602">
      <c r="A1602" s="18"/>
      <c r="B1602" s="18"/>
      <c r="C1602" s="18"/>
      <c r="D1602" s="18"/>
      <c r="E1602" s="18"/>
      <c r="F1602" s="18"/>
      <c r="G1602" s="18"/>
      <c r="H1602" s="18"/>
      <c r="I1602" s="19"/>
      <c r="J1602" s="19"/>
      <c r="K1602" s="19"/>
      <c r="L1602" s="18"/>
      <c r="M1602" s="18"/>
      <c r="N1602" s="18"/>
      <c r="O1602" s="18"/>
      <c r="P1602" s="18"/>
    </row>
    <row r="1603">
      <c r="A1603" s="18"/>
      <c r="B1603" s="18"/>
      <c r="C1603" s="18"/>
      <c r="D1603" s="18"/>
      <c r="E1603" s="18"/>
      <c r="F1603" s="18"/>
      <c r="G1603" s="18"/>
      <c r="H1603" s="18"/>
      <c r="I1603" s="19"/>
      <c r="J1603" s="19"/>
      <c r="K1603" s="19"/>
      <c r="L1603" s="18"/>
      <c r="M1603" s="18"/>
      <c r="N1603" s="18"/>
      <c r="O1603" s="18"/>
      <c r="P1603" s="18"/>
    </row>
    <row r="1604">
      <c r="A1604" s="18"/>
      <c r="B1604" s="18"/>
      <c r="C1604" s="18"/>
      <c r="D1604" s="18"/>
      <c r="E1604" s="18"/>
      <c r="F1604" s="18"/>
      <c r="G1604" s="18"/>
      <c r="H1604" s="18"/>
      <c r="I1604" s="19"/>
      <c r="J1604" s="19"/>
      <c r="K1604" s="19"/>
      <c r="L1604" s="18"/>
      <c r="M1604" s="18"/>
      <c r="N1604" s="18"/>
      <c r="O1604" s="18"/>
      <c r="P1604" s="18"/>
    </row>
    <row r="1605">
      <c r="A1605" s="18"/>
      <c r="B1605" s="18"/>
      <c r="C1605" s="18"/>
      <c r="D1605" s="18"/>
      <c r="E1605" s="18"/>
      <c r="F1605" s="18"/>
      <c r="G1605" s="18"/>
      <c r="H1605" s="18"/>
      <c r="I1605" s="19"/>
      <c r="J1605" s="19"/>
      <c r="K1605" s="19"/>
      <c r="L1605" s="18"/>
      <c r="M1605" s="18"/>
      <c r="N1605" s="18"/>
      <c r="O1605" s="18"/>
      <c r="P1605" s="18"/>
    </row>
    <row r="1606">
      <c r="A1606" s="18"/>
      <c r="B1606" s="18"/>
      <c r="C1606" s="18"/>
      <c r="D1606" s="18"/>
      <c r="E1606" s="18"/>
      <c r="F1606" s="18"/>
      <c r="G1606" s="18"/>
      <c r="H1606" s="18"/>
      <c r="I1606" s="19"/>
      <c r="J1606" s="19"/>
      <c r="K1606" s="19"/>
      <c r="L1606" s="18"/>
      <c r="M1606" s="18"/>
      <c r="N1606" s="18"/>
      <c r="O1606" s="18"/>
      <c r="P1606" s="18"/>
    </row>
    <row r="1607">
      <c r="A1607" s="18"/>
      <c r="B1607" s="18"/>
      <c r="C1607" s="18"/>
      <c r="D1607" s="18"/>
      <c r="E1607" s="18"/>
      <c r="F1607" s="18"/>
      <c r="G1607" s="18"/>
      <c r="H1607" s="18"/>
      <c r="I1607" s="19"/>
      <c r="J1607" s="19"/>
      <c r="K1607" s="19"/>
      <c r="L1607" s="18"/>
      <c r="M1607" s="18"/>
      <c r="N1607" s="18"/>
      <c r="O1607" s="18"/>
      <c r="P1607" s="18"/>
    </row>
    <row r="1608">
      <c r="A1608" s="18"/>
      <c r="B1608" s="18"/>
      <c r="C1608" s="18"/>
      <c r="D1608" s="18"/>
      <c r="E1608" s="18"/>
      <c r="F1608" s="18"/>
      <c r="G1608" s="18"/>
      <c r="H1608" s="18"/>
      <c r="I1608" s="19"/>
      <c r="J1608" s="19"/>
      <c r="K1608" s="19"/>
      <c r="L1608" s="18"/>
      <c r="M1608" s="18"/>
      <c r="N1608" s="18"/>
      <c r="O1608" s="18"/>
      <c r="P1608" s="18"/>
    </row>
    <row r="1609">
      <c r="A1609" s="18"/>
      <c r="B1609" s="18"/>
      <c r="C1609" s="18"/>
      <c r="D1609" s="18"/>
      <c r="E1609" s="18"/>
      <c r="F1609" s="18"/>
      <c r="G1609" s="18"/>
      <c r="H1609" s="18"/>
      <c r="I1609" s="19"/>
      <c r="J1609" s="19"/>
      <c r="K1609" s="19"/>
      <c r="L1609" s="18"/>
      <c r="M1609" s="18"/>
      <c r="N1609" s="18"/>
      <c r="O1609" s="18"/>
      <c r="P1609" s="18"/>
    </row>
    <row r="1610">
      <c r="A1610" s="18"/>
      <c r="B1610" s="18"/>
      <c r="C1610" s="18"/>
      <c r="D1610" s="18"/>
      <c r="E1610" s="18"/>
      <c r="F1610" s="18"/>
      <c r="G1610" s="18"/>
      <c r="H1610" s="18"/>
      <c r="I1610" s="19"/>
      <c r="J1610" s="19"/>
      <c r="K1610" s="19"/>
      <c r="L1610" s="18"/>
      <c r="M1610" s="18"/>
      <c r="N1610" s="18"/>
      <c r="O1610" s="18"/>
      <c r="P1610" s="18"/>
    </row>
    <row r="1611">
      <c r="A1611" s="18"/>
      <c r="B1611" s="18"/>
      <c r="C1611" s="18"/>
      <c r="D1611" s="18"/>
      <c r="E1611" s="18"/>
      <c r="F1611" s="18"/>
      <c r="G1611" s="18"/>
      <c r="H1611" s="18"/>
      <c r="I1611" s="19"/>
      <c r="J1611" s="19"/>
      <c r="K1611" s="19"/>
      <c r="L1611" s="18"/>
      <c r="M1611" s="18"/>
      <c r="N1611" s="18"/>
      <c r="O1611" s="18"/>
      <c r="P1611" s="18"/>
    </row>
    <row r="1612">
      <c r="A1612" s="18"/>
      <c r="B1612" s="18"/>
      <c r="C1612" s="18"/>
      <c r="D1612" s="18"/>
      <c r="E1612" s="18"/>
      <c r="F1612" s="18"/>
      <c r="G1612" s="18"/>
      <c r="H1612" s="18"/>
      <c r="I1612" s="19"/>
      <c r="J1612" s="19"/>
      <c r="K1612" s="19"/>
      <c r="L1612" s="18"/>
      <c r="M1612" s="18"/>
      <c r="N1612" s="18"/>
      <c r="O1612" s="18"/>
      <c r="P1612" s="18"/>
    </row>
    <row r="1613">
      <c r="A1613" s="18"/>
      <c r="B1613" s="18"/>
      <c r="C1613" s="18"/>
      <c r="D1613" s="18"/>
      <c r="E1613" s="18"/>
      <c r="F1613" s="18"/>
      <c r="G1613" s="18"/>
      <c r="H1613" s="18"/>
      <c r="I1613" s="19"/>
      <c r="J1613" s="19"/>
      <c r="K1613" s="19"/>
      <c r="L1613" s="18"/>
      <c r="M1613" s="18"/>
      <c r="N1613" s="18"/>
      <c r="O1613" s="18"/>
      <c r="P1613" s="18"/>
    </row>
    <row r="1614">
      <c r="A1614" s="18"/>
      <c r="B1614" s="18"/>
      <c r="C1614" s="18"/>
      <c r="D1614" s="18"/>
      <c r="E1614" s="18"/>
      <c r="F1614" s="18"/>
      <c r="G1614" s="18"/>
      <c r="H1614" s="18"/>
      <c r="I1614" s="19"/>
      <c r="J1614" s="19"/>
      <c r="K1614" s="19"/>
      <c r="L1614" s="18"/>
      <c r="M1614" s="18"/>
      <c r="N1614" s="18"/>
      <c r="O1614" s="18"/>
      <c r="P1614" s="18"/>
    </row>
    <row r="1615">
      <c r="A1615" s="18"/>
      <c r="B1615" s="18"/>
      <c r="C1615" s="18"/>
      <c r="D1615" s="18"/>
      <c r="E1615" s="18"/>
      <c r="F1615" s="18"/>
      <c r="G1615" s="18"/>
      <c r="H1615" s="18"/>
      <c r="I1615" s="19"/>
      <c r="J1615" s="19"/>
      <c r="K1615" s="19"/>
      <c r="L1615" s="18"/>
      <c r="M1615" s="18"/>
      <c r="N1615" s="18"/>
      <c r="O1615" s="18"/>
      <c r="P1615" s="18"/>
    </row>
    <row r="1616">
      <c r="A1616" s="18"/>
      <c r="B1616" s="18"/>
      <c r="C1616" s="18"/>
      <c r="D1616" s="18"/>
      <c r="E1616" s="18"/>
      <c r="F1616" s="18"/>
      <c r="G1616" s="18"/>
      <c r="H1616" s="18"/>
      <c r="I1616" s="19"/>
      <c r="J1616" s="19"/>
      <c r="K1616" s="19"/>
      <c r="L1616" s="18"/>
      <c r="M1616" s="18"/>
      <c r="N1616" s="18"/>
      <c r="O1616" s="18"/>
      <c r="P1616" s="18"/>
    </row>
    <row r="1617">
      <c r="A1617" s="18"/>
      <c r="B1617" s="18"/>
      <c r="C1617" s="18"/>
      <c r="D1617" s="18"/>
      <c r="E1617" s="18"/>
      <c r="F1617" s="18"/>
      <c r="G1617" s="18"/>
      <c r="H1617" s="18"/>
      <c r="I1617" s="19"/>
      <c r="J1617" s="19"/>
      <c r="K1617" s="19"/>
      <c r="L1617" s="18"/>
      <c r="M1617" s="18"/>
      <c r="N1617" s="18"/>
      <c r="O1617" s="18"/>
      <c r="P1617" s="18"/>
    </row>
    <row r="1618">
      <c r="A1618" s="18"/>
      <c r="B1618" s="18"/>
      <c r="C1618" s="18"/>
      <c r="D1618" s="18"/>
      <c r="E1618" s="18"/>
      <c r="F1618" s="18"/>
      <c r="G1618" s="18"/>
      <c r="H1618" s="18"/>
      <c r="I1618" s="19"/>
      <c r="J1618" s="19"/>
      <c r="K1618" s="19"/>
      <c r="L1618" s="18"/>
      <c r="M1618" s="18"/>
      <c r="N1618" s="18"/>
      <c r="O1618" s="18"/>
      <c r="P1618" s="18"/>
    </row>
    <row r="1619">
      <c r="A1619" s="18"/>
      <c r="B1619" s="18"/>
      <c r="C1619" s="18"/>
      <c r="D1619" s="18"/>
      <c r="E1619" s="18"/>
      <c r="F1619" s="18"/>
      <c r="G1619" s="18"/>
      <c r="H1619" s="18"/>
      <c r="I1619" s="19"/>
      <c r="J1619" s="19"/>
      <c r="K1619" s="19"/>
      <c r="L1619" s="18"/>
      <c r="M1619" s="18"/>
      <c r="N1619" s="18"/>
      <c r="O1619" s="18"/>
      <c r="P1619" s="18"/>
    </row>
    <row r="1620">
      <c r="A1620" s="18"/>
      <c r="B1620" s="18"/>
      <c r="C1620" s="18"/>
      <c r="D1620" s="18"/>
      <c r="E1620" s="18"/>
      <c r="F1620" s="18"/>
      <c r="G1620" s="18"/>
      <c r="H1620" s="18"/>
      <c r="I1620" s="19"/>
      <c r="J1620" s="19"/>
      <c r="K1620" s="19"/>
      <c r="L1620" s="18"/>
      <c r="M1620" s="18"/>
      <c r="N1620" s="18"/>
      <c r="O1620" s="18"/>
      <c r="P1620" s="18"/>
    </row>
    <row r="1621">
      <c r="A1621" s="18"/>
      <c r="B1621" s="18"/>
      <c r="C1621" s="18"/>
      <c r="D1621" s="18"/>
      <c r="E1621" s="18"/>
      <c r="F1621" s="18"/>
      <c r="G1621" s="18"/>
      <c r="H1621" s="18"/>
      <c r="I1621" s="19"/>
      <c r="J1621" s="19"/>
      <c r="K1621" s="19"/>
      <c r="L1621" s="18"/>
      <c r="M1621" s="18"/>
      <c r="N1621" s="18"/>
      <c r="O1621" s="18"/>
      <c r="P1621" s="18"/>
    </row>
    <row r="1622">
      <c r="A1622" s="18"/>
      <c r="B1622" s="18"/>
      <c r="C1622" s="18"/>
      <c r="D1622" s="18"/>
      <c r="E1622" s="18"/>
      <c r="F1622" s="18"/>
      <c r="G1622" s="18"/>
      <c r="H1622" s="18"/>
      <c r="I1622" s="19"/>
      <c r="J1622" s="19"/>
      <c r="K1622" s="19"/>
      <c r="L1622" s="18"/>
      <c r="M1622" s="18"/>
      <c r="N1622" s="18"/>
      <c r="O1622" s="18"/>
      <c r="P1622" s="18"/>
    </row>
    <row r="1623">
      <c r="A1623" s="18"/>
      <c r="B1623" s="18"/>
      <c r="C1623" s="18"/>
      <c r="D1623" s="18"/>
      <c r="E1623" s="18"/>
      <c r="F1623" s="18"/>
      <c r="G1623" s="18"/>
      <c r="H1623" s="18"/>
      <c r="I1623" s="19"/>
      <c r="J1623" s="19"/>
      <c r="K1623" s="19"/>
      <c r="L1623" s="18"/>
      <c r="M1623" s="18"/>
      <c r="N1623" s="18"/>
      <c r="O1623" s="18"/>
      <c r="P1623" s="18"/>
    </row>
    <row r="1624">
      <c r="A1624" s="18"/>
      <c r="B1624" s="18"/>
      <c r="C1624" s="18"/>
      <c r="D1624" s="18"/>
      <c r="E1624" s="18"/>
      <c r="F1624" s="18"/>
      <c r="G1624" s="18"/>
      <c r="H1624" s="18"/>
      <c r="I1624" s="19"/>
      <c r="J1624" s="19"/>
      <c r="K1624" s="19"/>
      <c r="L1624" s="18"/>
      <c r="M1624" s="18"/>
      <c r="N1624" s="18"/>
      <c r="O1624" s="18"/>
      <c r="P1624" s="18"/>
    </row>
    <row r="1625">
      <c r="A1625" s="18"/>
      <c r="B1625" s="18"/>
      <c r="C1625" s="18"/>
      <c r="D1625" s="18"/>
      <c r="E1625" s="18"/>
      <c r="F1625" s="18"/>
      <c r="G1625" s="18"/>
      <c r="H1625" s="18"/>
      <c r="I1625" s="19"/>
      <c r="J1625" s="19"/>
      <c r="K1625" s="19"/>
      <c r="L1625" s="18"/>
      <c r="M1625" s="18"/>
      <c r="N1625" s="18"/>
      <c r="O1625" s="18"/>
      <c r="P1625" s="18"/>
    </row>
    <row r="1626">
      <c r="A1626" s="18"/>
      <c r="B1626" s="18"/>
      <c r="C1626" s="18"/>
      <c r="D1626" s="18"/>
      <c r="E1626" s="18"/>
      <c r="F1626" s="18"/>
      <c r="G1626" s="18"/>
      <c r="H1626" s="18"/>
      <c r="I1626" s="19"/>
      <c r="J1626" s="19"/>
      <c r="K1626" s="19"/>
      <c r="L1626" s="18"/>
      <c r="M1626" s="18"/>
      <c r="N1626" s="18"/>
      <c r="O1626" s="18"/>
      <c r="P1626" s="18"/>
    </row>
    <row r="1627">
      <c r="A1627" s="18"/>
      <c r="B1627" s="18"/>
      <c r="C1627" s="18"/>
      <c r="D1627" s="18"/>
      <c r="E1627" s="18"/>
      <c r="F1627" s="18"/>
      <c r="G1627" s="18"/>
      <c r="H1627" s="18"/>
      <c r="I1627" s="19"/>
      <c r="J1627" s="19"/>
      <c r="K1627" s="19"/>
      <c r="L1627" s="18"/>
      <c r="M1627" s="18"/>
      <c r="N1627" s="18"/>
      <c r="O1627" s="18"/>
      <c r="P1627" s="18"/>
    </row>
    <row r="1628">
      <c r="A1628" s="18"/>
      <c r="B1628" s="18"/>
      <c r="C1628" s="18"/>
      <c r="D1628" s="18"/>
      <c r="E1628" s="18"/>
      <c r="F1628" s="18"/>
      <c r="G1628" s="18"/>
      <c r="H1628" s="18"/>
      <c r="I1628" s="19"/>
      <c r="J1628" s="19"/>
      <c r="K1628" s="19"/>
      <c r="L1628" s="18"/>
      <c r="M1628" s="18"/>
      <c r="N1628" s="18"/>
      <c r="O1628" s="18"/>
      <c r="P1628" s="18"/>
    </row>
    <row r="1629">
      <c r="A1629" s="18"/>
      <c r="B1629" s="18"/>
      <c r="C1629" s="18"/>
      <c r="D1629" s="18"/>
      <c r="E1629" s="18"/>
      <c r="F1629" s="18"/>
      <c r="G1629" s="18"/>
      <c r="H1629" s="18"/>
      <c r="I1629" s="19"/>
      <c r="J1629" s="19"/>
      <c r="K1629" s="19"/>
      <c r="L1629" s="18"/>
      <c r="M1629" s="18"/>
      <c r="N1629" s="18"/>
      <c r="O1629" s="18"/>
      <c r="P1629" s="18"/>
    </row>
    <row r="1630">
      <c r="A1630" s="18"/>
      <c r="B1630" s="18"/>
      <c r="C1630" s="18"/>
      <c r="D1630" s="18"/>
      <c r="E1630" s="18"/>
      <c r="F1630" s="18"/>
      <c r="G1630" s="18"/>
      <c r="H1630" s="18"/>
      <c r="I1630" s="19"/>
      <c r="J1630" s="19"/>
      <c r="K1630" s="19"/>
      <c r="L1630" s="18"/>
      <c r="M1630" s="18"/>
      <c r="N1630" s="18"/>
      <c r="O1630" s="18"/>
      <c r="P1630" s="18"/>
    </row>
    <row r="1631">
      <c r="A1631" s="18"/>
      <c r="B1631" s="18"/>
      <c r="C1631" s="18"/>
      <c r="D1631" s="18"/>
      <c r="E1631" s="18"/>
      <c r="F1631" s="18"/>
      <c r="G1631" s="18"/>
      <c r="H1631" s="18"/>
      <c r="I1631" s="19"/>
      <c r="J1631" s="19"/>
      <c r="K1631" s="19"/>
      <c r="L1631" s="18"/>
      <c r="M1631" s="18"/>
      <c r="N1631" s="18"/>
      <c r="O1631" s="18"/>
      <c r="P1631" s="18"/>
    </row>
    <row r="1632">
      <c r="A1632" s="18"/>
      <c r="B1632" s="18"/>
      <c r="C1632" s="18"/>
      <c r="D1632" s="18"/>
      <c r="E1632" s="18"/>
      <c r="F1632" s="18"/>
      <c r="G1632" s="18"/>
      <c r="H1632" s="18"/>
      <c r="I1632" s="19"/>
      <c r="J1632" s="19"/>
      <c r="K1632" s="19"/>
      <c r="L1632" s="18"/>
      <c r="M1632" s="18"/>
      <c r="N1632" s="18"/>
      <c r="O1632" s="18"/>
      <c r="P1632" s="18"/>
    </row>
    <row r="1633">
      <c r="A1633" s="18"/>
      <c r="B1633" s="18"/>
      <c r="C1633" s="18"/>
      <c r="D1633" s="18"/>
      <c r="E1633" s="18"/>
      <c r="F1633" s="18"/>
      <c r="G1633" s="18"/>
      <c r="H1633" s="18"/>
      <c r="I1633" s="19"/>
      <c r="J1633" s="19"/>
      <c r="K1633" s="19"/>
      <c r="L1633" s="18"/>
      <c r="M1633" s="18"/>
      <c r="N1633" s="18"/>
      <c r="O1633" s="18"/>
      <c r="P1633" s="18"/>
    </row>
    <row r="1634">
      <c r="A1634" s="18"/>
      <c r="B1634" s="18"/>
      <c r="C1634" s="18"/>
      <c r="D1634" s="18"/>
      <c r="E1634" s="18"/>
      <c r="F1634" s="18"/>
      <c r="G1634" s="18"/>
      <c r="H1634" s="18"/>
      <c r="I1634" s="19"/>
      <c r="J1634" s="19"/>
      <c r="K1634" s="19"/>
      <c r="L1634" s="18"/>
      <c r="M1634" s="18"/>
      <c r="N1634" s="18"/>
      <c r="O1634" s="18"/>
      <c r="P1634" s="18"/>
    </row>
    <row r="1635">
      <c r="A1635" s="18"/>
      <c r="B1635" s="18"/>
      <c r="C1635" s="18"/>
      <c r="D1635" s="18"/>
      <c r="E1635" s="18"/>
      <c r="F1635" s="18"/>
      <c r="G1635" s="18"/>
      <c r="H1635" s="18"/>
      <c r="I1635" s="19"/>
      <c r="J1635" s="19"/>
      <c r="K1635" s="19"/>
      <c r="L1635" s="18"/>
      <c r="M1635" s="18"/>
      <c r="N1635" s="18"/>
      <c r="O1635" s="18"/>
      <c r="P1635" s="18"/>
    </row>
    <row r="1636">
      <c r="A1636" s="18"/>
      <c r="B1636" s="18"/>
      <c r="C1636" s="18"/>
      <c r="D1636" s="18"/>
      <c r="E1636" s="18"/>
      <c r="F1636" s="18"/>
      <c r="G1636" s="18"/>
      <c r="H1636" s="18"/>
      <c r="I1636" s="19"/>
      <c r="J1636" s="19"/>
      <c r="K1636" s="19"/>
      <c r="L1636" s="18"/>
      <c r="M1636" s="18"/>
      <c r="N1636" s="18"/>
      <c r="O1636" s="18"/>
      <c r="P1636" s="18"/>
    </row>
    <row r="1637">
      <c r="A1637" s="18"/>
      <c r="B1637" s="18"/>
      <c r="C1637" s="18"/>
      <c r="D1637" s="18"/>
      <c r="E1637" s="18"/>
      <c r="F1637" s="18"/>
      <c r="G1637" s="18"/>
      <c r="H1637" s="18"/>
      <c r="I1637" s="19"/>
      <c r="J1637" s="19"/>
      <c r="K1637" s="19"/>
      <c r="L1637" s="18"/>
      <c r="M1637" s="18"/>
      <c r="N1637" s="18"/>
      <c r="O1637" s="18"/>
      <c r="P1637" s="18"/>
    </row>
    <row r="1638">
      <c r="A1638" s="18"/>
      <c r="B1638" s="18"/>
      <c r="C1638" s="18"/>
      <c r="D1638" s="18"/>
      <c r="E1638" s="18"/>
      <c r="F1638" s="18"/>
      <c r="G1638" s="18"/>
      <c r="H1638" s="18"/>
      <c r="I1638" s="19"/>
      <c r="J1638" s="19"/>
      <c r="K1638" s="19"/>
      <c r="L1638" s="18"/>
      <c r="M1638" s="18"/>
      <c r="N1638" s="18"/>
      <c r="O1638" s="18"/>
      <c r="P1638" s="18"/>
    </row>
    <row r="1639">
      <c r="A1639" s="18"/>
      <c r="B1639" s="18"/>
      <c r="C1639" s="18"/>
      <c r="D1639" s="18"/>
      <c r="E1639" s="18"/>
      <c r="F1639" s="18"/>
      <c r="G1639" s="18"/>
      <c r="H1639" s="18"/>
      <c r="I1639" s="19"/>
      <c r="J1639" s="19"/>
      <c r="K1639" s="19"/>
      <c r="L1639" s="18"/>
      <c r="M1639" s="18"/>
      <c r="N1639" s="18"/>
      <c r="O1639" s="18"/>
      <c r="P1639" s="18"/>
    </row>
    <row r="1640">
      <c r="A1640" s="18"/>
      <c r="B1640" s="18"/>
      <c r="C1640" s="18"/>
      <c r="D1640" s="18"/>
      <c r="E1640" s="18"/>
      <c r="F1640" s="18"/>
      <c r="G1640" s="18"/>
      <c r="H1640" s="18"/>
      <c r="I1640" s="19"/>
      <c r="J1640" s="19"/>
      <c r="K1640" s="19"/>
      <c r="L1640" s="18"/>
      <c r="M1640" s="18"/>
      <c r="N1640" s="18"/>
      <c r="O1640" s="18"/>
      <c r="P1640" s="18"/>
    </row>
    <row r="1641">
      <c r="A1641" s="18"/>
      <c r="B1641" s="18"/>
      <c r="C1641" s="18"/>
      <c r="D1641" s="18"/>
      <c r="E1641" s="18"/>
      <c r="F1641" s="18"/>
      <c r="G1641" s="18"/>
      <c r="H1641" s="18"/>
      <c r="I1641" s="19"/>
      <c r="J1641" s="19"/>
      <c r="K1641" s="19"/>
      <c r="L1641" s="18"/>
      <c r="M1641" s="18"/>
      <c r="N1641" s="18"/>
      <c r="O1641" s="18"/>
      <c r="P1641" s="18"/>
    </row>
    <row r="1642">
      <c r="A1642" s="18"/>
      <c r="B1642" s="18"/>
      <c r="C1642" s="18"/>
      <c r="D1642" s="18"/>
      <c r="E1642" s="18"/>
      <c r="F1642" s="18"/>
      <c r="G1642" s="18"/>
      <c r="H1642" s="18"/>
      <c r="I1642" s="19"/>
      <c r="J1642" s="19"/>
      <c r="K1642" s="19"/>
      <c r="L1642" s="18"/>
      <c r="M1642" s="18"/>
      <c r="N1642" s="18"/>
      <c r="O1642" s="18"/>
      <c r="P1642" s="18"/>
    </row>
    <row r="1643">
      <c r="A1643" s="18"/>
      <c r="B1643" s="18"/>
      <c r="C1643" s="18"/>
      <c r="D1643" s="18"/>
      <c r="E1643" s="18"/>
      <c r="F1643" s="18"/>
      <c r="G1643" s="18"/>
      <c r="H1643" s="18"/>
      <c r="I1643" s="19"/>
      <c r="J1643" s="19"/>
      <c r="K1643" s="19"/>
      <c r="L1643" s="18"/>
      <c r="M1643" s="18"/>
      <c r="N1643" s="18"/>
      <c r="O1643" s="18"/>
      <c r="P1643" s="18"/>
    </row>
    <row r="1644">
      <c r="A1644" s="18"/>
      <c r="B1644" s="18"/>
      <c r="C1644" s="18"/>
      <c r="D1644" s="18"/>
      <c r="E1644" s="18"/>
      <c r="F1644" s="18"/>
      <c r="G1644" s="18"/>
      <c r="H1644" s="18"/>
      <c r="I1644" s="19"/>
      <c r="J1644" s="19"/>
      <c r="K1644" s="19"/>
      <c r="L1644" s="18"/>
      <c r="M1644" s="18"/>
      <c r="N1644" s="18"/>
      <c r="O1644" s="18"/>
      <c r="P1644" s="18"/>
    </row>
    <row r="1645">
      <c r="A1645" s="18"/>
      <c r="B1645" s="18"/>
      <c r="C1645" s="18"/>
      <c r="D1645" s="18"/>
      <c r="E1645" s="18"/>
      <c r="F1645" s="18"/>
      <c r="G1645" s="18"/>
      <c r="H1645" s="18"/>
      <c r="I1645" s="19"/>
      <c r="J1645" s="19"/>
      <c r="K1645" s="19"/>
      <c r="L1645" s="18"/>
      <c r="M1645" s="18"/>
      <c r="N1645" s="18"/>
      <c r="O1645" s="18"/>
      <c r="P1645" s="18"/>
    </row>
    <row r="1646">
      <c r="A1646" s="18"/>
      <c r="B1646" s="18"/>
      <c r="C1646" s="18"/>
      <c r="D1646" s="18"/>
      <c r="E1646" s="18"/>
      <c r="F1646" s="18"/>
      <c r="G1646" s="18"/>
      <c r="H1646" s="18"/>
      <c r="I1646" s="19"/>
      <c r="J1646" s="19"/>
      <c r="K1646" s="19"/>
      <c r="L1646" s="18"/>
      <c r="M1646" s="18"/>
      <c r="N1646" s="18"/>
      <c r="O1646" s="18"/>
      <c r="P1646" s="18"/>
    </row>
    <row r="1647">
      <c r="A1647" s="18"/>
      <c r="B1647" s="18"/>
      <c r="C1647" s="18"/>
      <c r="D1647" s="18"/>
      <c r="E1647" s="18"/>
      <c r="F1647" s="18"/>
      <c r="G1647" s="18"/>
      <c r="H1647" s="18"/>
      <c r="I1647" s="19"/>
      <c r="J1647" s="19"/>
      <c r="K1647" s="19"/>
      <c r="L1647" s="18"/>
      <c r="M1647" s="18"/>
      <c r="N1647" s="18"/>
      <c r="O1647" s="18"/>
      <c r="P1647" s="18"/>
    </row>
    <row r="1648">
      <c r="A1648" s="18"/>
      <c r="B1648" s="18"/>
      <c r="C1648" s="18"/>
      <c r="D1648" s="18"/>
      <c r="E1648" s="18"/>
      <c r="F1648" s="18"/>
      <c r="G1648" s="18"/>
      <c r="H1648" s="18"/>
      <c r="I1648" s="19"/>
      <c r="J1648" s="19"/>
      <c r="K1648" s="19"/>
      <c r="L1648" s="18"/>
      <c r="M1648" s="18"/>
      <c r="N1648" s="18"/>
      <c r="O1648" s="18"/>
      <c r="P1648" s="18"/>
    </row>
    <row r="1649">
      <c r="A1649" s="18"/>
      <c r="B1649" s="18"/>
      <c r="C1649" s="18"/>
      <c r="D1649" s="18"/>
      <c r="E1649" s="18"/>
      <c r="F1649" s="18"/>
      <c r="G1649" s="18"/>
      <c r="H1649" s="18"/>
      <c r="I1649" s="19"/>
      <c r="J1649" s="19"/>
      <c r="K1649" s="19"/>
      <c r="L1649" s="18"/>
      <c r="M1649" s="18"/>
      <c r="N1649" s="18"/>
      <c r="O1649" s="18"/>
      <c r="P1649" s="18"/>
    </row>
    <row r="1650">
      <c r="A1650" s="18"/>
      <c r="B1650" s="18"/>
      <c r="C1650" s="18"/>
      <c r="D1650" s="18"/>
      <c r="E1650" s="18"/>
      <c r="F1650" s="18"/>
      <c r="G1650" s="18"/>
      <c r="H1650" s="18"/>
      <c r="I1650" s="19"/>
      <c r="J1650" s="19"/>
      <c r="K1650" s="19"/>
      <c r="L1650" s="18"/>
      <c r="M1650" s="18"/>
      <c r="N1650" s="18"/>
      <c r="O1650" s="18"/>
      <c r="P1650" s="18"/>
    </row>
    <row r="1651">
      <c r="A1651" s="18"/>
      <c r="B1651" s="18"/>
      <c r="C1651" s="18"/>
      <c r="D1651" s="18"/>
      <c r="E1651" s="18"/>
      <c r="F1651" s="18"/>
      <c r="G1651" s="18"/>
      <c r="H1651" s="18"/>
      <c r="I1651" s="19"/>
      <c r="J1651" s="19"/>
      <c r="K1651" s="19"/>
      <c r="L1651" s="18"/>
      <c r="M1651" s="18"/>
      <c r="N1651" s="18"/>
      <c r="O1651" s="18"/>
      <c r="P1651" s="18"/>
    </row>
    <row r="1652">
      <c r="A1652" s="18"/>
      <c r="B1652" s="18"/>
      <c r="C1652" s="18"/>
      <c r="D1652" s="18"/>
      <c r="E1652" s="18"/>
      <c r="F1652" s="18"/>
      <c r="G1652" s="18"/>
      <c r="H1652" s="18"/>
      <c r="I1652" s="19"/>
      <c r="J1652" s="19"/>
      <c r="K1652" s="19"/>
      <c r="L1652" s="18"/>
      <c r="M1652" s="18"/>
      <c r="N1652" s="18"/>
      <c r="O1652" s="18"/>
      <c r="P1652" s="18"/>
    </row>
    <row r="1653">
      <c r="A1653" s="18"/>
      <c r="B1653" s="18"/>
      <c r="C1653" s="18"/>
      <c r="D1653" s="18"/>
      <c r="E1653" s="18"/>
      <c r="F1653" s="18"/>
      <c r="G1653" s="18"/>
      <c r="H1653" s="18"/>
      <c r="I1653" s="19"/>
      <c r="J1653" s="19"/>
      <c r="K1653" s="19"/>
      <c r="L1653" s="18"/>
      <c r="M1653" s="18"/>
      <c r="N1653" s="18"/>
      <c r="O1653" s="18"/>
      <c r="P1653" s="18"/>
    </row>
    <row r="1654">
      <c r="A1654" s="18"/>
      <c r="B1654" s="18"/>
      <c r="C1654" s="18"/>
      <c r="D1654" s="18"/>
      <c r="E1654" s="18"/>
      <c r="F1654" s="18"/>
      <c r="G1654" s="18"/>
      <c r="H1654" s="18"/>
      <c r="I1654" s="19"/>
      <c r="J1654" s="19"/>
      <c r="K1654" s="19"/>
      <c r="L1654" s="18"/>
      <c r="M1654" s="18"/>
      <c r="N1654" s="18"/>
      <c r="O1654" s="18"/>
      <c r="P1654" s="18"/>
    </row>
    <row r="1655">
      <c r="A1655" s="18"/>
      <c r="B1655" s="18"/>
      <c r="C1655" s="18"/>
      <c r="D1655" s="18"/>
      <c r="E1655" s="18"/>
      <c r="F1655" s="18"/>
      <c r="G1655" s="18"/>
      <c r="H1655" s="18"/>
      <c r="I1655" s="19"/>
      <c r="J1655" s="19"/>
      <c r="K1655" s="19"/>
      <c r="L1655" s="18"/>
      <c r="M1655" s="18"/>
      <c r="N1655" s="18"/>
      <c r="O1655" s="18"/>
      <c r="P1655" s="18"/>
    </row>
    <row r="1656">
      <c r="A1656" s="18"/>
      <c r="B1656" s="18"/>
      <c r="C1656" s="18"/>
      <c r="D1656" s="18"/>
      <c r="E1656" s="18"/>
      <c r="F1656" s="18"/>
      <c r="G1656" s="18"/>
      <c r="H1656" s="18"/>
      <c r="I1656" s="19"/>
      <c r="J1656" s="19"/>
      <c r="K1656" s="19"/>
      <c r="L1656" s="18"/>
      <c r="M1656" s="18"/>
      <c r="N1656" s="18"/>
      <c r="O1656" s="18"/>
      <c r="P1656" s="18"/>
    </row>
    <row r="1657">
      <c r="A1657" s="18"/>
      <c r="B1657" s="18"/>
      <c r="C1657" s="18"/>
      <c r="D1657" s="18"/>
      <c r="E1657" s="18"/>
      <c r="F1657" s="18"/>
      <c r="G1657" s="18"/>
      <c r="H1657" s="18"/>
      <c r="I1657" s="19"/>
      <c r="J1657" s="19"/>
      <c r="K1657" s="19"/>
      <c r="L1657" s="18"/>
      <c r="M1657" s="18"/>
      <c r="N1657" s="18"/>
      <c r="O1657" s="18"/>
      <c r="P1657" s="18"/>
    </row>
    <row r="1658">
      <c r="A1658" s="18"/>
      <c r="B1658" s="18"/>
      <c r="C1658" s="18"/>
      <c r="D1658" s="18"/>
      <c r="E1658" s="18"/>
      <c r="F1658" s="18"/>
      <c r="G1658" s="18"/>
      <c r="H1658" s="18"/>
      <c r="I1658" s="19"/>
      <c r="J1658" s="19"/>
      <c r="K1658" s="19"/>
      <c r="L1658" s="18"/>
      <c r="M1658" s="18"/>
      <c r="N1658" s="18"/>
      <c r="O1658" s="18"/>
      <c r="P1658" s="18"/>
    </row>
    <row r="1659">
      <c r="A1659" s="18"/>
      <c r="B1659" s="18"/>
      <c r="C1659" s="18"/>
      <c r="D1659" s="18"/>
      <c r="E1659" s="18"/>
      <c r="F1659" s="18"/>
      <c r="G1659" s="18"/>
      <c r="H1659" s="18"/>
      <c r="I1659" s="19"/>
      <c r="J1659" s="19"/>
      <c r="K1659" s="19"/>
      <c r="L1659" s="18"/>
      <c r="M1659" s="18"/>
      <c r="N1659" s="18"/>
      <c r="O1659" s="18"/>
      <c r="P1659" s="18"/>
    </row>
    <row r="1660">
      <c r="A1660" s="18"/>
      <c r="B1660" s="18"/>
      <c r="C1660" s="18"/>
      <c r="D1660" s="18"/>
      <c r="E1660" s="18"/>
      <c r="F1660" s="18"/>
      <c r="G1660" s="18"/>
      <c r="H1660" s="18"/>
      <c r="I1660" s="19"/>
      <c r="J1660" s="19"/>
      <c r="K1660" s="19"/>
      <c r="L1660" s="18"/>
      <c r="M1660" s="18"/>
      <c r="N1660" s="18"/>
      <c r="O1660" s="18"/>
      <c r="P1660" s="18"/>
    </row>
    <row r="1661">
      <c r="A1661" s="18"/>
      <c r="B1661" s="18"/>
      <c r="C1661" s="18"/>
      <c r="D1661" s="18"/>
      <c r="E1661" s="18"/>
      <c r="F1661" s="18"/>
      <c r="G1661" s="18"/>
      <c r="H1661" s="18"/>
      <c r="I1661" s="19"/>
      <c r="J1661" s="19"/>
      <c r="K1661" s="19"/>
      <c r="L1661" s="18"/>
      <c r="M1661" s="18"/>
      <c r="N1661" s="18"/>
      <c r="O1661" s="18"/>
      <c r="P1661" s="18"/>
    </row>
    <row r="1662">
      <c r="A1662" s="18"/>
      <c r="B1662" s="18"/>
      <c r="C1662" s="18"/>
      <c r="D1662" s="18"/>
      <c r="E1662" s="18"/>
      <c r="F1662" s="18"/>
      <c r="G1662" s="18"/>
      <c r="H1662" s="18"/>
      <c r="I1662" s="19"/>
      <c r="J1662" s="19"/>
      <c r="K1662" s="19"/>
      <c r="L1662" s="18"/>
      <c r="M1662" s="18"/>
      <c r="N1662" s="18"/>
      <c r="O1662" s="18"/>
      <c r="P1662" s="18"/>
    </row>
    <row r="1663">
      <c r="A1663" s="18"/>
      <c r="B1663" s="18"/>
      <c r="C1663" s="18"/>
      <c r="D1663" s="18"/>
      <c r="E1663" s="18"/>
      <c r="F1663" s="18"/>
      <c r="G1663" s="18"/>
      <c r="H1663" s="18"/>
      <c r="I1663" s="19"/>
      <c r="J1663" s="19"/>
      <c r="K1663" s="19"/>
      <c r="L1663" s="18"/>
      <c r="M1663" s="18"/>
      <c r="N1663" s="18"/>
      <c r="O1663" s="18"/>
      <c r="P1663" s="18"/>
    </row>
    <row r="1664">
      <c r="A1664" s="18"/>
      <c r="B1664" s="18"/>
      <c r="C1664" s="18"/>
      <c r="D1664" s="18"/>
      <c r="E1664" s="18"/>
      <c r="F1664" s="18"/>
      <c r="G1664" s="18"/>
      <c r="H1664" s="18"/>
      <c r="I1664" s="19"/>
      <c r="J1664" s="19"/>
      <c r="K1664" s="19"/>
      <c r="L1664" s="18"/>
      <c r="M1664" s="18"/>
      <c r="N1664" s="18"/>
      <c r="O1664" s="18"/>
      <c r="P1664" s="18"/>
    </row>
    <row r="1665">
      <c r="A1665" s="18"/>
      <c r="B1665" s="18"/>
      <c r="C1665" s="18"/>
      <c r="D1665" s="18"/>
      <c r="E1665" s="18"/>
      <c r="F1665" s="18"/>
      <c r="G1665" s="18"/>
      <c r="H1665" s="18"/>
      <c r="I1665" s="19"/>
      <c r="J1665" s="19"/>
      <c r="K1665" s="19"/>
      <c r="L1665" s="18"/>
      <c r="M1665" s="18"/>
      <c r="N1665" s="18"/>
      <c r="O1665" s="18"/>
      <c r="P1665" s="18"/>
    </row>
    <row r="1666">
      <c r="A1666" s="18"/>
      <c r="B1666" s="18"/>
      <c r="C1666" s="18"/>
      <c r="D1666" s="18"/>
      <c r="E1666" s="18"/>
      <c r="F1666" s="18"/>
      <c r="G1666" s="18"/>
      <c r="H1666" s="18"/>
      <c r="I1666" s="19"/>
      <c r="J1666" s="19"/>
      <c r="K1666" s="19"/>
      <c r="L1666" s="18"/>
      <c r="M1666" s="18"/>
      <c r="N1666" s="18"/>
      <c r="O1666" s="18"/>
      <c r="P1666" s="18"/>
    </row>
    <row r="1667">
      <c r="A1667" s="18"/>
      <c r="B1667" s="18"/>
      <c r="C1667" s="18"/>
      <c r="D1667" s="18"/>
      <c r="E1667" s="18"/>
      <c r="F1667" s="18"/>
      <c r="G1667" s="18"/>
      <c r="H1667" s="18"/>
      <c r="I1667" s="19"/>
      <c r="J1667" s="19"/>
      <c r="K1667" s="19"/>
      <c r="L1667" s="18"/>
      <c r="M1667" s="18"/>
      <c r="N1667" s="18"/>
      <c r="O1667" s="18"/>
      <c r="P1667" s="18"/>
    </row>
    <row r="1668">
      <c r="A1668" s="18"/>
      <c r="B1668" s="18"/>
      <c r="C1668" s="18"/>
      <c r="D1668" s="18"/>
      <c r="E1668" s="18"/>
      <c r="F1668" s="18"/>
      <c r="G1668" s="18"/>
      <c r="H1668" s="18"/>
      <c r="I1668" s="19"/>
      <c r="J1668" s="19"/>
      <c r="K1668" s="19"/>
      <c r="L1668" s="18"/>
      <c r="M1668" s="18"/>
      <c r="N1668" s="18"/>
      <c r="O1668" s="18"/>
      <c r="P1668" s="18"/>
    </row>
    <row r="1669">
      <c r="A1669" s="18"/>
      <c r="B1669" s="18"/>
      <c r="C1669" s="18"/>
      <c r="D1669" s="18"/>
      <c r="E1669" s="18"/>
      <c r="F1669" s="18"/>
      <c r="G1669" s="18"/>
      <c r="H1669" s="18"/>
      <c r="I1669" s="19"/>
      <c r="J1669" s="19"/>
      <c r="K1669" s="19"/>
      <c r="L1669" s="18"/>
      <c r="M1669" s="18"/>
      <c r="N1669" s="18"/>
      <c r="O1669" s="18"/>
      <c r="P1669" s="18"/>
    </row>
    <row r="1670">
      <c r="A1670" s="18"/>
      <c r="B1670" s="18"/>
      <c r="C1670" s="18"/>
      <c r="D1670" s="18"/>
      <c r="E1670" s="18"/>
      <c r="F1670" s="18"/>
      <c r="G1670" s="18"/>
      <c r="H1670" s="18"/>
      <c r="I1670" s="19"/>
      <c r="J1670" s="19"/>
      <c r="K1670" s="19"/>
      <c r="L1670" s="18"/>
      <c r="M1670" s="18"/>
      <c r="N1670" s="18"/>
      <c r="O1670" s="18"/>
      <c r="P1670" s="18"/>
    </row>
    <row r="1671">
      <c r="A1671" s="18"/>
      <c r="B1671" s="18"/>
      <c r="C1671" s="18"/>
      <c r="D1671" s="18"/>
      <c r="E1671" s="18"/>
      <c r="F1671" s="18"/>
      <c r="G1671" s="18"/>
      <c r="H1671" s="18"/>
      <c r="I1671" s="19"/>
      <c r="J1671" s="19"/>
      <c r="K1671" s="19"/>
      <c r="L1671" s="18"/>
      <c r="M1671" s="18"/>
      <c r="N1671" s="18"/>
      <c r="O1671" s="18"/>
      <c r="P1671" s="18"/>
    </row>
    <row r="1672">
      <c r="A1672" s="18"/>
      <c r="B1672" s="18"/>
      <c r="C1672" s="18"/>
      <c r="D1672" s="18"/>
      <c r="E1672" s="18"/>
      <c r="F1672" s="18"/>
      <c r="G1672" s="18"/>
      <c r="H1672" s="18"/>
      <c r="I1672" s="19"/>
      <c r="J1672" s="19"/>
      <c r="K1672" s="19"/>
      <c r="L1672" s="18"/>
      <c r="M1672" s="18"/>
      <c r="N1672" s="18"/>
      <c r="O1672" s="18"/>
      <c r="P1672" s="18"/>
    </row>
    <row r="1673">
      <c r="A1673" s="18"/>
      <c r="B1673" s="18"/>
      <c r="C1673" s="18"/>
      <c r="D1673" s="18"/>
      <c r="E1673" s="18"/>
      <c r="F1673" s="18"/>
      <c r="G1673" s="18"/>
      <c r="H1673" s="18"/>
      <c r="I1673" s="19"/>
      <c r="J1673" s="19"/>
      <c r="K1673" s="19"/>
      <c r="L1673" s="18"/>
      <c r="M1673" s="18"/>
      <c r="N1673" s="18"/>
      <c r="O1673" s="18"/>
      <c r="P1673" s="18"/>
    </row>
    <row r="1674">
      <c r="A1674" s="18"/>
      <c r="B1674" s="18"/>
      <c r="C1674" s="18"/>
      <c r="D1674" s="18"/>
      <c r="E1674" s="18"/>
      <c r="F1674" s="18"/>
      <c r="G1674" s="18"/>
      <c r="H1674" s="18"/>
      <c r="I1674" s="19"/>
      <c r="J1674" s="19"/>
      <c r="K1674" s="19"/>
      <c r="L1674" s="18"/>
      <c r="M1674" s="18"/>
      <c r="N1674" s="18"/>
      <c r="O1674" s="18"/>
      <c r="P1674" s="18"/>
    </row>
    <row r="1675">
      <c r="A1675" s="18"/>
      <c r="B1675" s="18"/>
      <c r="C1675" s="18"/>
      <c r="D1675" s="18"/>
      <c r="E1675" s="18"/>
      <c r="F1675" s="18"/>
      <c r="G1675" s="18"/>
      <c r="H1675" s="18"/>
      <c r="I1675" s="19"/>
      <c r="J1675" s="19"/>
      <c r="K1675" s="19"/>
      <c r="L1675" s="18"/>
      <c r="M1675" s="18"/>
      <c r="N1675" s="18"/>
      <c r="O1675" s="18"/>
      <c r="P1675" s="18"/>
    </row>
    <row r="1676">
      <c r="A1676" s="18"/>
      <c r="B1676" s="18"/>
      <c r="C1676" s="18"/>
      <c r="D1676" s="18"/>
      <c r="E1676" s="18"/>
      <c r="F1676" s="18"/>
      <c r="G1676" s="18"/>
      <c r="H1676" s="18"/>
      <c r="I1676" s="19"/>
      <c r="J1676" s="19"/>
      <c r="K1676" s="19"/>
      <c r="L1676" s="18"/>
      <c r="M1676" s="18"/>
      <c r="N1676" s="18"/>
      <c r="O1676" s="18"/>
      <c r="P1676" s="18"/>
    </row>
    <row r="1677">
      <c r="A1677" s="18"/>
      <c r="B1677" s="18"/>
      <c r="C1677" s="18"/>
      <c r="D1677" s="18"/>
      <c r="E1677" s="18"/>
      <c r="F1677" s="18"/>
      <c r="G1677" s="18"/>
      <c r="H1677" s="18"/>
      <c r="I1677" s="19"/>
      <c r="J1677" s="19"/>
      <c r="K1677" s="19"/>
      <c r="L1677" s="18"/>
      <c r="M1677" s="18"/>
      <c r="N1677" s="18"/>
      <c r="O1677" s="18"/>
      <c r="P1677" s="18"/>
    </row>
    <row r="1678">
      <c r="A1678" s="18"/>
      <c r="B1678" s="18"/>
      <c r="C1678" s="18"/>
      <c r="D1678" s="18"/>
      <c r="E1678" s="18"/>
      <c r="F1678" s="18"/>
      <c r="G1678" s="18"/>
      <c r="H1678" s="18"/>
      <c r="I1678" s="19"/>
      <c r="J1678" s="19"/>
      <c r="K1678" s="19"/>
      <c r="L1678" s="18"/>
      <c r="M1678" s="18"/>
      <c r="N1678" s="18"/>
      <c r="O1678" s="18"/>
      <c r="P1678" s="18"/>
    </row>
    <row r="1679">
      <c r="A1679" s="18"/>
      <c r="B1679" s="18"/>
      <c r="C1679" s="18"/>
      <c r="D1679" s="18"/>
      <c r="E1679" s="18"/>
      <c r="F1679" s="18"/>
      <c r="G1679" s="18"/>
      <c r="H1679" s="18"/>
      <c r="I1679" s="19"/>
      <c r="J1679" s="19"/>
      <c r="K1679" s="19"/>
      <c r="L1679" s="18"/>
      <c r="M1679" s="18"/>
      <c r="N1679" s="18"/>
      <c r="O1679" s="18"/>
      <c r="P1679" s="18"/>
    </row>
    <row r="1680">
      <c r="A1680" s="18"/>
      <c r="B1680" s="18"/>
      <c r="C1680" s="18"/>
      <c r="D1680" s="18"/>
      <c r="E1680" s="18"/>
      <c r="F1680" s="18"/>
      <c r="G1680" s="18"/>
      <c r="H1680" s="18"/>
      <c r="I1680" s="19"/>
      <c r="J1680" s="19"/>
      <c r="K1680" s="19"/>
      <c r="L1680" s="18"/>
      <c r="M1680" s="18"/>
      <c r="N1680" s="18"/>
      <c r="O1680" s="18"/>
      <c r="P1680" s="18"/>
    </row>
    <row r="1681">
      <c r="A1681" s="18"/>
      <c r="B1681" s="18"/>
      <c r="C1681" s="18"/>
      <c r="D1681" s="18"/>
      <c r="E1681" s="18"/>
      <c r="F1681" s="18"/>
      <c r="G1681" s="18"/>
      <c r="H1681" s="18"/>
      <c r="I1681" s="19"/>
      <c r="J1681" s="19"/>
      <c r="K1681" s="19"/>
      <c r="L1681" s="18"/>
      <c r="M1681" s="18"/>
      <c r="N1681" s="18"/>
      <c r="O1681" s="18"/>
      <c r="P1681" s="18"/>
    </row>
    <row r="1682">
      <c r="A1682" s="18"/>
      <c r="B1682" s="18"/>
      <c r="C1682" s="18"/>
      <c r="D1682" s="18"/>
      <c r="E1682" s="18"/>
      <c r="F1682" s="18"/>
      <c r="G1682" s="18"/>
      <c r="H1682" s="18"/>
      <c r="I1682" s="19"/>
      <c r="J1682" s="19"/>
      <c r="K1682" s="19"/>
      <c r="L1682" s="18"/>
      <c r="M1682" s="18"/>
      <c r="N1682" s="18"/>
      <c r="O1682" s="18"/>
      <c r="P1682" s="18"/>
    </row>
    <row r="1683">
      <c r="A1683" s="18"/>
      <c r="B1683" s="18"/>
      <c r="C1683" s="18"/>
      <c r="D1683" s="18"/>
      <c r="E1683" s="18"/>
      <c r="F1683" s="18"/>
      <c r="G1683" s="18"/>
      <c r="H1683" s="18"/>
      <c r="I1683" s="19"/>
      <c r="J1683" s="19"/>
      <c r="K1683" s="19"/>
      <c r="L1683" s="18"/>
      <c r="M1683" s="18"/>
      <c r="N1683" s="18"/>
      <c r="O1683" s="18"/>
      <c r="P1683" s="18"/>
    </row>
    <row r="1684">
      <c r="A1684" s="18"/>
      <c r="B1684" s="18"/>
      <c r="C1684" s="18"/>
      <c r="D1684" s="18"/>
      <c r="E1684" s="18"/>
      <c r="F1684" s="18"/>
      <c r="G1684" s="18"/>
      <c r="H1684" s="18"/>
      <c r="I1684" s="19"/>
      <c r="J1684" s="19"/>
      <c r="K1684" s="19"/>
      <c r="L1684" s="18"/>
      <c r="M1684" s="18"/>
      <c r="N1684" s="18"/>
      <c r="O1684" s="18"/>
      <c r="P1684" s="18"/>
    </row>
    <row r="1685">
      <c r="A1685" s="18"/>
      <c r="B1685" s="18"/>
      <c r="C1685" s="18"/>
      <c r="D1685" s="18"/>
      <c r="E1685" s="18"/>
      <c r="F1685" s="18"/>
      <c r="G1685" s="18"/>
      <c r="H1685" s="18"/>
      <c r="I1685" s="19"/>
      <c r="J1685" s="19"/>
      <c r="K1685" s="19"/>
      <c r="L1685" s="18"/>
      <c r="M1685" s="18"/>
      <c r="N1685" s="18"/>
      <c r="O1685" s="18"/>
      <c r="P1685" s="18"/>
    </row>
    <row r="1686">
      <c r="A1686" s="18"/>
      <c r="B1686" s="18"/>
      <c r="C1686" s="18"/>
      <c r="D1686" s="18"/>
      <c r="E1686" s="18"/>
      <c r="F1686" s="18"/>
      <c r="G1686" s="18"/>
      <c r="H1686" s="18"/>
      <c r="I1686" s="19"/>
      <c r="J1686" s="19"/>
      <c r="K1686" s="19"/>
      <c r="L1686" s="18"/>
      <c r="M1686" s="18"/>
      <c r="N1686" s="18"/>
      <c r="O1686" s="18"/>
      <c r="P1686" s="18"/>
    </row>
    <row r="1687">
      <c r="A1687" s="18"/>
      <c r="B1687" s="18"/>
      <c r="C1687" s="18"/>
      <c r="D1687" s="18"/>
      <c r="E1687" s="18"/>
      <c r="F1687" s="18"/>
      <c r="G1687" s="18"/>
      <c r="H1687" s="18"/>
      <c r="I1687" s="19"/>
      <c r="J1687" s="19"/>
      <c r="K1687" s="19"/>
      <c r="L1687" s="18"/>
      <c r="M1687" s="18"/>
      <c r="N1687" s="18"/>
      <c r="O1687" s="18"/>
      <c r="P1687" s="18"/>
    </row>
    <row r="1688">
      <c r="A1688" s="18"/>
      <c r="B1688" s="18"/>
      <c r="C1688" s="18"/>
      <c r="D1688" s="18"/>
      <c r="E1688" s="18"/>
      <c r="F1688" s="18"/>
      <c r="G1688" s="18"/>
      <c r="H1688" s="18"/>
      <c r="I1688" s="19"/>
      <c r="J1688" s="19"/>
      <c r="K1688" s="19"/>
      <c r="L1688" s="18"/>
      <c r="M1688" s="18"/>
      <c r="N1688" s="18"/>
      <c r="O1688" s="18"/>
      <c r="P1688" s="18"/>
    </row>
    <row r="1689">
      <c r="A1689" s="18"/>
      <c r="B1689" s="18"/>
      <c r="C1689" s="18"/>
      <c r="D1689" s="18"/>
      <c r="E1689" s="18"/>
      <c r="F1689" s="18"/>
      <c r="G1689" s="18"/>
      <c r="H1689" s="18"/>
      <c r="I1689" s="19"/>
      <c r="J1689" s="19"/>
      <c r="K1689" s="19"/>
      <c r="L1689" s="18"/>
      <c r="M1689" s="18"/>
      <c r="N1689" s="18"/>
      <c r="O1689" s="18"/>
      <c r="P1689" s="18"/>
    </row>
    <row r="1690">
      <c r="A1690" s="18"/>
      <c r="B1690" s="18"/>
      <c r="C1690" s="18"/>
      <c r="D1690" s="18"/>
      <c r="E1690" s="18"/>
      <c r="F1690" s="18"/>
      <c r="G1690" s="18"/>
      <c r="H1690" s="18"/>
      <c r="I1690" s="19"/>
      <c r="J1690" s="19"/>
      <c r="K1690" s="19"/>
      <c r="L1690" s="18"/>
      <c r="M1690" s="18"/>
      <c r="N1690" s="18"/>
      <c r="O1690" s="18"/>
      <c r="P1690" s="18"/>
    </row>
    <row r="1691">
      <c r="A1691" s="18"/>
      <c r="B1691" s="18"/>
      <c r="C1691" s="18"/>
      <c r="D1691" s="18"/>
      <c r="E1691" s="18"/>
      <c r="F1691" s="18"/>
      <c r="G1691" s="18"/>
      <c r="H1691" s="18"/>
      <c r="I1691" s="19"/>
      <c r="J1691" s="19"/>
      <c r="K1691" s="19"/>
      <c r="L1691" s="18"/>
      <c r="M1691" s="18"/>
      <c r="N1691" s="18"/>
      <c r="O1691" s="18"/>
      <c r="P1691" s="18"/>
    </row>
    <row r="1692">
      <c r="A1692" s="18"/>
      <c r="B1692" s="18"/>
      <c r="C1692" s="18"/>
      <c r="D1692" s="18"/>
      <c r="E1692" s="18"/>
      <c r="F1692" s="18"/>
      <c r="G1692" s="18"/>
      <c r="H1692" s="18"/>
      <c r="I1692" s="19"/>
      <c r="J1692" s="19"/>
      <c r="K1692" s="19"/>
      <c r="L1692" s="18"/>
      <c r="M1692" s="18"/>
      <c r="N1692" s="18"/>
      <c r="O1692" s="18"/>
      <c r="P1692" s="18"/>
    </row>
    <row r="1693">
      <c r="A1693" s="18"/>
      <c r="B1693" s="18"/>
      <c r="C1693" s="18"/>
      <c r="D1693" s="18"/>
      <c r="E1693" s="18"/>
      <c r="F1693" s="18"/>
      <c r="G1693" s="18"/>
      <c r="H1693" s="18"/>
      <c r="I1693" s="19"/>
      <c r="J1693" s="19"/>
      <c r="K1693" s="19"/>
      <c r="L1693" s="18"/>
      <c r="M1693" s="18"/>
      <c r="N1693" s="18"/>
      <c r="O1693" s="18"/>
      <c r="P1693" s="18"/>
    </row>
    <row r="1694">
      <c r="A1694" s="18"/>
      <c r="B1694" s="18"/>
      <c r="C1694" s="18"/>
      <c r="D1694" s="18"/>
      <c r="E1694" s="18"/>
      <c r="F1694" s="18"/>
      <c r="G1694" s="18"/>
      <c r="H1694" s="18"/>
      <c r="I1694" s="19"/>
      <c r="J1694" s="19"/>
      <c r="K1694" s="19"/>
      <c r="L1694" s="18"/>
      <c r="M1694" s="18"/>
      <c r="N1694" s="18"/>
      <c r="O1694" s="18"/>
      <c r="P1694" s="18"/>
    </row>
    <row r="1695">
      <c r="A1695" s="18"/>
      <c r="B1695" s="18"/>
      <c r="C1695" s="18"/>
      <c r="D1695" s="18"/>
      <c r="E1695" s="18"/>
      <c r="F1695" s="18"/>
      <c r="G1695" s="18"/>
      <c r="H1695" s="18"/>
      <c r="I1695" s="19"/>
      <c r="J1695" s="19"/>
      <c r="K1695" s="19"/>
      <c r="L1695" s="18"/>
      <c r="M1695" s="18"/>
      <c r="N1695" s="18"/>
      <c r="O1695" s="18"/>
      <c r="P1695" s="18"/>
    </row>
    <row r="1696">
      <c r="A1696" s="18"/>
      <c r="B1696" s="18"/>
      <c r="C1696" s="18"/>
      <c r="D1696" s="18"/>
      <c r="E1696" s="18"/>
      <c r="F1696" s="18"/>
      <c r="G1696" s="18"/>
      <c r="H1696" s="18"/>
      <c r="I1696" s="19"/>
      <c r="J1696" s="19"/>
      <c r="K1696" s="19"/>
      <c r="L1696" s="18"/>
      <c r="M1696" s="18"/>
      <c r="N1696" s="18"/>
      <c r="O1696" s="18"/>
      <c r="P1696" s="18"/>
    </row>
    <row r="1697">
      <c r="A1697" s="18"/>
      <c r="B1697" s="18"/>
      <c r="C1697" s="18"/>
      <c r="D1697" s="18"/>
      <c r="E1697" s="18"/>
      <c r="F1697" s="18"/>
      <c r="G1697" s="18"/>
      <c r="H1697" s="18"/>
      <c r="I1697" s="19"/>
      <c r="J1697" s="19"/>
      <c r="K1697" s="19"/>
      <c r="O1697" s="18"/>
      <c r="P1697" s="18"/>
    </row>
    <row r="1698">
      <c r="A1698" s="18"/>
      <c r="B1698" s="18"/>
      <c r="C1698" s="18"/>
      <c r="D1698" s="18"/>
      <c r="E1698" s="18"/>
      <c r="F1698" s="18"/>
      <c r="G1698" s="18"/>
      <c r="H1698" s="18"/>
      <c r="I1698" s="19"/>
      <c r="J1698" s="19"/>
      <c r="K1698" s="19"/>
      <c r="O1698" s="18"/>
      <c r="P1698" s="18"/>
    </row>
    <row r="1699">
      <c r="A1699" s="18"/>
      <c r="B1699" s="18"/>
      <c r="C1699" s="18"/>
      <c r="D1699" s="18"/>
      <c r="E1699" s="18"/>
      <c r="F1699" s="18"/>
      <c r="G1699" s="18"/>
      <c r="H1699" s="18"/>
      <c r="I1699" s="19"/>
      <c r="J1699" s="19"/>
      <c r="K1699" s="19"/>
      <c r="O1699" s="18"/>
      <c r="P1699" s="18"/>
    </row>
    <row r="1700">
      <c r="A1700" s="18"/>
      <c r="B1700" s="18"/>
      <c r="C1700" s="18"/>
      <c r="D1700" s="18"/>
      <c r="E1700" s="18"/>
      <c r="F1700" s="18"/>
      <c r="G1700" s="18"/>
      <c r="H1700" s="18"/>
      <c r="I1700" s="19"/>
      <c r="J1700" s="19"/>
      <c r="K1700" s="19"/>
      <c r="O1700" s="18"/>
      <c r="P1700" s="18"/>
    </row>
    <row r="1701">
      <c r="A1701" s="18"/>
      <c r="B1701" s="18"/>
      <c r="C1701" s="18"/>
      <c r="D1701" s="18"/>
      <c r="E1701" s="18"/>
      <c r="F1701" s="18"/>
      <c r="G1701" s="18"/>
      <c r="H1701" s="18"/>
      <c r="I1701" s="19"/>
      <c r="J1701" s="19"/>
      <c r="K1701" s="19"/>
      <c r="O1701" s="18"/>
      <c r="P1701" s="18"/>
    </row>
    <row r="1702">
      <c r="A1702" s="18"/>
      <c r="B1702" s="18"/>
      <c r="C1702" s="18"/>
      <c r="D1702" s="18"/>
      <c r="E1702" s="18"/>
      <c r="F1702" s="18"/>
      <c r="G1702" s="18"/>
      <c r="H1702" s="18"/>
      <c r="I1702" s="19"/>
      <c r="J1702" s="19"/>
      <c r="K1702" s="19"/>
      <c r="O1702" s="18"/>
      <c r="P1702" s="18"/>
    </row>
    <row r="1703">
      <c r="A1703" s="18"/>
      <c r="B1703" s="18"/>
      <c r="C1703" s="18"/>
      <c r="D1703" s="18"/>
      <c r="E1703" s="18"/>
      <c r="F1703" s="18"/>
      <c r="G1703" s="18"/>
      <c r="H1703" s="18"/>
      <c r="I1703" s="19"/>
      <c r="J1703" s="19"/>
      <c r="K1703" s="19"/>
      <c r="O1703" s="18"/>
      <c r="P1703" s="18"/>
    </row>
    <row r="1704">
      <c r="A1704" s="18"/>
      <c r="B1704" s="18"/>
      <c r="C1704" s="18"/>
      <c r="D1704" s="18"/>
      <c r="E1704" s="18"/>
      <c r="F1704" s="18"/>
      <c r="G1704" s="18"/>
      <c r="H1704" s="18"/>
      <c r="I1704" s="19"/>
      <c r="J1704" s="19"/>
      <c r="K1704" s="19"/>
      <c r="O1704" s="18"/>
      <c r="P1704" s="18"/>
    </row>
    <row r="1705">
      <c r="A1705" s="18"/>
      <c r="B1705" s="18"/>
      <c r="C1705" s="18"/>
      <c r="D1705" s="18"/>
      <c r="E1705" s="18"/>
      <c r="F1705" s="18"/>
      <c r="G1705" s="18"/>
      <c r="H1705" s="18"/>
      <c r="I1705" s="19"/>
      <c r="J1705" s="19"/>
      <c r="K1705" s="19"/>
      <c r="O1705" s="18"/>
      <c r="P1705" s="18"/>
    </row>
    <row r="1706">
      <c r="A1706" s="18"/>
      <c r="B1706" s="18"/>
      <c r="C1706" s="18"/>
      <c r="D1706" s="18"/>
      <c r="E1706" s="18"/>
      <c r="F1706" s="18"/>
      <c r="G1706" s="18"/>
      <c r="H1706" s="18"/>
      <c r="I1706" s="19"/>
      <c r="J1706" s="19"/>
      <c r="K1706" s="19"/>
      <c r="O1706" s="18"/>
      <c r="P1706" s="18"/>
    </row>
    <row r="1707">
      <c r="A1707" s="18"/>
      <c r="B1707" s="18"/>
      <c r="C1707" s="18"/>
      <c r="D1707" s="18"/>
      <c r="E1707" s="18"/>
      <c r="F1707" s="18"/>
      <c r="G1707" s="18"/>
      <c r="H1707" s="18"/>
      <c r="I1707" s="19"/>
      <c r="J1707" s="19"/>
      <c r="K1707" s="19"/>
      <c r="O1707" s="18"/>
      <c r="P1707" s="18"/>
    </row>
    <row r="1708">
      <c r="A1708" s="18"/>
      <c r="B1708" s="18"/>
      <c r="C1708" s="18"/>
      <c r="D1708" s="18"/>
      <c r="E1708" s="18"/>
      <c r="F1708" s="18"/>
      <c r="G1708" s="18"/>
      <c r="H1708" s="18"/>
      <c r="I1708" s="19"/>
      <c r="J1708" s="19"/>
      <c r="K1708" s="19"/>
      <c r="O1708" s="18"/>
      <c r="P1708" s="18"/>
    </row>
    <row r="1709">
      <c r="A1709" s="18"/>
      <c r="B1709" s="18"/>
      <c r="C1709" s="18"/>
      <c r="D1709" s="18"/>
      <c r="E1709" s="18"/>
      <c r="F1709" s="18"/>
      <c r="G1709" s="18"/>
      <c r="H1709" s="18"/>
      <c r="I1709" s="19"/>
      <c r="J1709" s="19"/>
      <c r="K1709" s="19"/>
      <c r="O1709" s="18"/>
      <c r="P1709" s="18"/>
    </row>
    <row r="1710">
      <c r="A1710" s="18"/>
      <c r="B1710" s="18"/>
      <c r="C1710" s="18"/>
      <c r="D1710" s="18"/>
      <c r="E1710" s="18"/>
      <c r="F1710" s="18"/>
      <c r="G1710" s="18"/>
      <c r="H1710" s="18"/>
      <c r="I1710" s="19"/>
      <c r="J1710" s="19"/>
      <c r="K1710" s="19"/>
      <c r="O1710" s="18"/>
      <c r="P1710" s="18"/>
    </row>
    <row r="1711">
      <c r="A1711" s="18"/>
      <c r="B1711" s="18"/>
      <c r="C1711" s="18"/>
      <c r="D1711" s="18"/>
      <c r="E1711" s="18"/>
      <c r="F1711" s="18"/>
      <c r="G1711" s="18"/>
      <c r="H1711" s="18"/>
      <c r="I1711" s="19"/>
      <c r="J1711" s="19"/>
      <c r="K1711" s="19"/>
      <c r="O1711" s="18"/>
      <c r="P1711" s="18"/>
    </row>
    <row r="1712">
      <c r="A1712" s="18"/>
      <c r="B1712" s="18"/>
      <c r="C1712" s="18"/>
      <c r="D1712" s="18"/>
      <c r="E1712" s="18"/>
      <c r="F1712" s="18"/>
      <c r="G1712" s="18"/>
      <c r="H1712" s="18"/>
      <c r="I1712" s="19"/>
      <c r="J1712" s="19"/>
      <c r="K1712" s="19"/>
      <c r="O1712" s="18"/>
      <c r="P1712" s="18"/>
    </row>
    <row r="1713">
      <c r="A1713" s="18"/>
      <c r="B1713" s="18"/>
      <c r="C1713" s="18"/>
      <c r="D1713" s="18"/>
      <c r="E1713" s="18"/>
      <c r="F1713" s="18"/>
      <c r="G1713" s="18"/>
      <c r="H1713" s="18"/>
      <c r="I1713" s="19"/>
      <c r="J1713" s="19"/>
      <c r="K1713" s="19"/>
      <c r="O1713" s="18"/>
      <c r="P1713" s="18"/>
    </row>
    <row r="1714">
      <c r="A1714" s="18"/>
      <c r="B1714" s="18"/>
      <c r="C1714" s="18"/>
      <c r="D1714" s="18"/>
      <c r="E1714" s="18"/>
      <c r="F1714" s="18"/>
      <c r="G1714" s="18"/>
      <c r="H1714" s="18"/>
      <c r="I1714" s="19"/>
      <c r="J1714" s="19"/>
      <c r="K1714" s="19"/>
      <c r="O1714" s="18"/>
      <c r="P1714" s="18"/>
    </row>
    <row r="1715">
      <c r="A1715" s="18"/>
      <c r="B1715" s="18"/>
      <c r="C1715" s="18"/>
      <c r="D1715" s="18"/>
      <c r="E1715" s="18"/>
      <c r="F1715" s="18"/>
      <c r="G1715" s="18"/>
      <c r="H1715" s="18"/>
      <c r="I1715" s="19"/>
      <c r="J1715" s="19"/>
      <c r="K1715" s="19"/>
      <c r="O1715" s="18"/>
      <c r="P1715" s="18"/>
    </row>
    <row r="1716">
      <c r="A1716" s="18"/>
      <c r="B1716" s="18"/>
      <c r="C1716" s="18"/>
      <c r="D1716" s="18"/>
      <c r="E1716" s="18"/>
      <c r="F1716" s="18"/>
      <c r="G1716" s="18"/>
      <c r="H1716" s="18"/>
      <c r="I1716" s="19"/>
      <c r="J1716" s="19"/>
      <c r="K1716" s="19"/>
      <c r="O1716" s="18"/>
      <c r="P1716" s="18"/>
    </row>
    <row r="1717">
      <c r="A1717" s="18"/>
      <c r="B1717" s="18"/>
      <c r="C1717" s="18"/>
      <c r="D1717" s="18"/>
      <c r="E1717" s="18"/>
      <c r="F1717" s="18"/>
      <c r="G1717" s="18"/>
      <c r="H1717" s="18"/>
      <c r="I1717" s="19"/>
      <c r="J1717" s="19"/>
      <c r="K1717" s="19"/>
      <c r="O1717" s="18"/>
      <c r="P1717" s="18"/>
    </row>
    <row r="1718">
      <c r="A1718" s="18"/>
      <c r="B1718" s="18"/>
      <c r="C1718" s="18"/>
      <c r="D1718" s="18"/>
      <c r="E1718" s="18"/>
      <c r="F1718" s="18"/>
      <c r="G1718" s="18"/>
      <c r="H1718" s="18"/>
      <c r="I1718" s="19"/>
      <c r="J1718" s="19"/>
      <c r="K1718" s="19"/>
      <c r="O1718" s="18"/>
      <c r="P1718" s="18"/>
    </row>
    <row r="1719">
      <c r="A1719" s="18"/>
      <c r="B1719" s="18"/>
      <c r="C1719" s="18"/>
      <c r="D1719" s="18"/>
      <c r="E1719" s="18"/>
      <c r="F1719" s="18"/>
      <c r="G1719" s="18"/>
      <c r="H1719" s="18"/>
      <c r="I1719" s="19"/>
      <c r="J1719" s="19"/>
      <c r="K1719" s="19"/>
      <c r="O1719" s="18"/>
      <c r="P1719" s="18"/>
    </row>
    <row r="1720">
      <c r="A1720" s="18"/>
      <c r="B1720" s="18"/>
      <c r="C1720" s="18"/>
      <c r="D1720" s="18"/>
      <c r="E1720" s="18"/>
      <c r="F1720" s="18"/>
      <c r="G1720" s="18"/>
      <c r="H1720" s="18"/>
      <c r="I1720" s="19"/>
      <c r="J1720" s="19"/>
      <c r="K1720" s="19"/>
      <c r="O1720" s="18"/>
      <c r="P1720" s="18"/>
    </row>
    <row r="1721">
      <c r="A1721" s="18"/>
      <c r="B1721" s="18"/>
      <c r="C1721" s="18"/>
      <c r="D1721" s="18"/>
      <c r="E1721" s="18"/>
      <c r="F1721" s="18"/>
      <c r="G1721" s="18"/>
      <c r="H1721" s="18"/>
      <c r="I1721" s="19"/>
      <c r="J1721" s="19"/>
      <c r="K1721" s="19"/>
      <c r="O1721" s="18"/>
      <c r="P1721" s="18"/>
    </row>
    <row r="1722">
      <c r="A1722" s="18"/>
      <c r="B1722" s="18"/>
      <c r="C1722" s="18"/>
      <c r="D1722" s="18"/>
      <c r="E1722" s="18"/>
      <c r="F1722" s="18"/>
      <c r="G1722" s="18"/>
      <c r="H1722" s="18"/>
      <c r="I1722" s="19"/>
      <c r="J1722" s="19"/>
      <c r="K1722" s="19"/>
      <c r="O1722" s="18"/>
      <c r="P1722" s="18"/>
    </row>
    <row r="1723">
      <c r="A1723" s="18"/>
      <c r="B1723" s="18"/>
      <c r="C1723" s="18"/>
      <c r="D1723" s="18"/>
      <c r="E1723" s="18"/>
      <c r="F1723" s="18"/>
      <c r="G1723" s="18"/>
      <c r="H1723" s="18"/>
      <c r="I1723" s="19"/>
      <c r="J1723" s="19"/>
      <c r="K1723" s="19"/>
      <c r="O1723" s="18"/>
      <c r="P1723" s="18"/>
    </row>
    <row r="1724">
      <c r="A1724" s="18"/>
      <c r="B1724" s="18"/>
      <c r="C1724" s="18"/>
      <c r="D1724" s="18"/>
      <c r="E1724" s="18"/>
      <c r="F1724" s="18"/>
      <c r="G1724" s="18"/>
      <c r="H1724" s="18"/>
      <c r="I1724" s="19"/>
      <c r="J1724" s="19"/>
      <c r="K1724" s="19"/>
      <c r="O1724" s="18"/>
      <c r="P1724" s="18"/>
    </row>
    <row r="1725">
      <c r="A1725" s="18"/>
      <c r="B1725" s="18"/>
      <c r="C1725" s="18"/>
      <c r="D1725" s="18"/>
      <c r="E1725" s="18"/>
      <c r="F1725" s="18"/>
      <c r="G1725" s="18"/>
      <c r="H1725" s="18"/>
      <c r="I1725" s="19"/>
      <c r="J1725" s="19"/>
      <c r="K1725" s="19"/>
      <c r="O1725" s="18"/>
      <c r="P1725" s="18"/>
    </row>
    <row r="1726">
      <c r="A1726" s="18"/>
      <c r="B1726" s="18"/>
      <c r="C1726" s="18"/>
      <c r="D1726" s="18"/>
      <c r="E1726" s="18"/>
      <c r="F1726" s="18"/>
      <c r="G1726" s="18"/>
      <c r="H1726" s="18"/>
      <c r="I1726" s="19"/>
      <c r="J1726" s="19"/>
      <c r="K1726" s="19"/>
      <c r="O1726" s="18"/>
      <c r="P1726" s="18"/>
    </row>
    <row r="1727">
      <c r="A1727" s="18"/>
      <c r="B1727" s="18"/>
      <c r="C1727" s="18"/>
      <c r="D1727" s="18"/>
      <c r="E1727" s="18"/>
      <c r="F1727" s="18"/>
      <c r="G1727" s="18"/>
      <c r="H1727" s="18"/>
      <c r="I1727" s="19"/>
      <c r="J1727" s="19"/>
      <c r="K1727" s="19"/>
      <c r="O1727" s="18"/>
      <c r="P1727" s="18"/>
    </row>
    <row r="1728">
      <c r="A1728" s="18"/>
      <c r="B1728" s="18"/>
      <c r="C1728" s="18"/>
      <c r="D1728" s="18"/>
      <c r="E1728" s="18"/>
      <c r="F1728" s="18"/>
      <c r="G1728" s="18"/>
      <c r="H1728" s="18"/>
      <c r="I1728" s="19"/>
      <c r="J1728" s="19"/>
      <c r="K1728" s="19"/>
      <c r="O1728" s="18"/>
      <c r="P1728" s="18"/>
    </row>
    <row r="1729">
      <c r="A1729" s="18"/>
      <c r="B1729" s="18"/>
      <c r="C1729" s="18"/>
      <c r="D1729" s="18"/>
      <c r="E1729" s="18"/>
      <c r="F1729" s="18"/>
      <c r="G1729" s="18"/>
      <c r="H1729" s="18"/>
      <c r="I1729" s="19"/>
      <c r="J1729" s="19"/>
      <c r="K1729" s="19"/>
      <c r="O1729" s="18"/>
      <c r="P1729" s="18"/>
    </row>
    <row r="1730">
      <c r="A1730" s="18"/>
      <c r="B1730" s="18"/>
      <c r="C1730" s="18"/>
      <c r="D1730" s="18"/>
      <c r="E1730" s="18"/>
      <c r="F1730" s="18"/>
      <c r="G1730" s="18"/>
      <c r="H1730" s="18"/>
      <c r="I1730" s="19"/>
      <c r="J1730" s="19"/>
      <c r="K1730" s="19"/>
      <c r="O1730" s="18"/>
      <c r="P1730" s="18"/>
    </row>
    <row r="1731">
      <c r="A1731" s="18"/>
      <c r="B1731" s="18"/>
      <c r="C1731" s="18"/>
      <c r="D1731" s="18"/>
      <c r="E1731" s="18"/>
      <c r="F1731" s="18"/>
      <c r="G1731" s="18"/>
      <c r="H1731" s="18"/>
      <c r="I1731" s="19"/>
      <c r="J1731" s="19"/>
      <c r="K1731" s="19"/>
      <c r="O1731" s="18"/>
      <c r="P1731" s="18"/>
    </row>
    <row r="1732">
      <c r="A1732" s="18"/>
      <c r="B1732" s="18"/>
      <c r="C1732" s="18"/>
      <c r="D1732" s="18"/>
      <c r="E1732" s="18"/>
      <c r="F1732" s="18"/>
      <c r="G1732" s="18"/>
      <c r="H1732" s="18"/>
      <c r="I1732" s="19"/>
      <c r="J1732" s="19"/>
      <c r="K1732" s="19"/>
      <c r="O1732" s="18"/>
      <c r="P1732" s="18"/>
    </row>
    <row r="1733">
      <c r="A1733" s="18"/>
      <c r="B1733" s="18"/>
      <c r="C1733" s="18"/>
      <c r="D1733" s="18"/>
      <c r="E1733" s="18"/>
      <c r="F1733" s="18"/>
      <c r="G1733" s="18"/>
      <c r="H1733" s="18"/>
      <c r="I1733" s="19"/>
      <c r="J1733" s="19"/>
      <c r="K1733" s="19"/>
      <c r="O1733" s="18"/>
      <c r="P1733" s="18"/>
    </row>
    <row r="1734">
      <c r="A1734" s="18"/>
      <c r="B1734" s="18"/>
      <c r="C1734" s="18"/>
      <c r="D1734" s="18"/>
      <c r="E1734" s="18"/>
      <c r="F1734" s="18"/>
      <c r="G1734" s="18"/>
      <c r="H1734" s="18"/>
      <c r="I1734" s="19"/>
      <c r="J1734" s="19"/>
      <c r="K1734" s="19"/>
      <c r="O1734" s="18"/>
      <c r="P1734" s="18"/>
    </row>
    <row r="1735">
      <c r="A1735" s="18"/>
      <c r="B1735" s="18"/>
      <c r="C1735" s="18"/>
      <c r="D1735" s="18"/>
      <c r="E1735" s="18"/>
      <c r="F1735" s="18"/>
      <c r="G1735" s="18"/>
      <c r="H1735" s="18"/>
      <c r="I1735" s="19"/>
      <c r="J1735" s="19"/>
      <c r="K1735" s="19"/>
      <c r="O1735" s="18"/>
      <c r="P1735" s="18"/>
    </row>
    <row r="1736">
      <c r="A1736" s="18"/>
      <c r="B1736" s="18"/>
      <c r="C1736" s="18"/>
      <c r="D1736" s="18"/>
      <c r="E1736" s="18"/>
      <c r="F1736" s="18"/>
      <c r="G1736" s="18"/>
      <c r="H1736" s="18"/>
      <c r="I1736" s="19"/>
      <c r="J1736" s="19"/>
      <c r="K1736" s="19"/>
      <c r="O1736" s="18"/>
      <c r="P1736" s="18"/>
    </row>
    <row r="1737">
      <c r="A1737" s="18"/>
      <c r="B1737" s="18"/>
      <c r="C1737" s="18"/>
      <c r="D1737" s="18"/>
      <c r="E1737" s="18"/>
      <c r="F1737" s="18"/>
      <c r="G1737" s="18"/>
      <c r="H1737" s="18"/>
      <c r="I1737" s="19"/>
      <c r="J1737" s="19"/>
      <c r="K1737" s="19"/>
      <c r="O1737" s="18"/>
      <c r="P1737" s="18"/>
    </row>
    <row r="1738">
      <c r="A1738" s="18"/>
      <c r="B1738" s="18"/>
      <c r="C1738" s="18"/>
      <c r="D1738" s="18"/>
      <c r="E1738" s="18"/>
      <c r="F1738" s="18"/>
      <c r="G1738" s="18"/>
      <c r="H1738" s="18"/>
      <c r="I1738" s="19"/>
      <c r="J1738" s="19"/>
      <c r="K1738" s="19"/>
      <c r="O1738" s="18"/>
      <c r="P1738" s="18"/>
    </row>
    <row r="1739">
      <c r="A1739" s="18"/>
      <c r="B1739" s="18"/>
      <c r="C1739" s="18"/>
      <c r="D1739" s="18"/>
      <c r="E1739" s="18"/>
      <c r="F1739" s="18"/>
      <c r="G1739" s="18"/>
      <c r="H1739" s="18"/>
      <c r="I1739" s="19"/>
      <c r="J1739" s="19"/>
      <c r="K1739" s="19"/>
      <c r="O1739" s="18"/>
      <c r="P1739" s="18"/>
    </row>
    <row r="1740">
      <c r="A1740" s="18"/>
      <c r="B1740" s="18"/>
      <c r="C1740" s="18"/>
      <c r="D1740" s="18"/>
      <c r="E1740" s="18"/>
      <c r="F1740" s="18"/>
      <c r="G1740" s="18"/>
      <c r="H1740" s="18"/>
      <c r="I1740" s="19"/>
      <c r="J1740" s="19"/>
      <c r="K1740" s="19"/>
      <c r="O1740" s="18"/>
      <c r="P1740" s="18"/>
    </row>
    <row r="1741">
      <c r="A1741" s="18"/>
      <c r="B1741" s="18"/>
      <c r="C1741" s="18"/>
      <c r="D1741" s="18"/>
      <c r="E1741" s="18"/>
      <c r="F1741" s="18"/>
      <c r="G1741" s="18"/>
      <c r="H1741" s="18"/>
      <c r="I1741" s="19"/>
      <c r="J1741" s="19"/>
      <c r="K1741" s="19"/>
      <c r="O1741" s="18"/>
      <c r="P1741" s="18"/>
    </row>
    <row r="1742">
      <c r="A1742" s="18"/>
      <c r="B1742" s="18"/>
      <c r="C1742" s="18"/>
      <c r="D1742" s="18"/>
      <c r="E1742" s="18"/>
      <c r="F1742" s="18"/>
      <c r="G1742" s="18"/>
      <c r="H1742" s="18"/>
      <c r="I1742" s="19"/>
      <c r="J1742" s="19"/>
      <c r="K1742" s="19"/>
      <c r="O1742" s="18"/>
      <c r="P1742" s="18"/>
    </row>
    <row r="1743">
      <c r="A1743" s="18"/>
      <c r="B1743" s="18"/>
      <c r="C1743" s="18"/>
      <c r="D1743" s="18"/>
      <c r="E1743" s="18"/>
      <c r="F1743" s="18"/>
      <c r="G1743" s="18"/>
      <c r="H1743" s="18"/>
      <c r="I1743" s="19"/>
      <c r="J1743" s="19"/>
      <c r="K1743" s="19"/>
      <c r="O1743" s="18"/>
      <c r="P1743" s="18"/>
    </row>
    <row r="1744">
      <c r="A1744" s="18"/>
      <c r="B1744" s="18"/>
      <c r="C1744" s="18"/>
      <c r="D1744" s="18"/>
      <c r="E1744" s="18"/>
      <c r="F1744" s="18"/>
      <c r="G1744" s="18"/>
      <c r="H1744" s="18"/>
      <c r="I1744" s="19"/>
      <c r="J1744" s="19"/>
      <c r="K1744" s="19"/>
      <c r="O1744" s="18"/>
      <c r="P1744" s="18"/>
    </row>
    <row r="1745">
      <c r="A1745" s="18"/>
      <c r="B1745" s="18"/>
      <c r="C1745" s="18"/>
      <c r="D1745" s="18"/>
      <c r="E1745" s="18"/>
      <c r="F1745" s="18"/>
      <c r="G1745" s="18"/>
      <c r="H1745" s="18"/>
      <c r="I1745" s="19"/>
      <c r="J1745" s="19"/>
      <c r="K1745" s="19"/>
      <c r="O1745" s="18"/>
      <c r="P1745" s="18"/>
    </row>
    <row r="1746">
      <c r="A1746" s="18"/>
      <c r="B1746" s="18"/>
      <c r="C1746" s="18"/>
      <c r="D1746" s="18"/>
      <c r="E1746" s="18"/>
      <c r="F1746" s="18"/>
      <c r="G1746" s="18"/>
      <c r="H1746" s="18"/>
      <c r="I1746" s="19"/>
      <c r="J1746" s="19"/>
      <c r="K1746" s="19"/>
      <c r="O1746" s="18"/>
      <c r="P1746" s="18"/>
    </row>
    <row r="1747">
      <c r="A1747" s="18"/>
      <c r="B1747" s="18"/>
      <c r="C1747" s="18"/>
      <c r="D1747" s="18"/>
      <c r="E1747" s="18"/>
      <c r="F1747" s="18"/>
      <c r="G1747" s="18"/>
      <c r="H1747" s="18"/>
      <c r="I1747" s="19"/>
      <c r="J1747" s="19"/>
      <c r="K1747" s="19"/>
      <c r="O1747" s="18"/>
      <c r="P1747" s="18"/>
    </row>
    <row r="1748">
      <c r="A1748" s="18"/>
      <c r="B1748" s="18"/>
      <c r="C1748" s="18"/>
      <c r="D1748" s="18"/>
      <c r="E1748" s="18"/>
      <c r="F1748" s="18"/>
      <c r="G1748" s="18"/>
      <c r="H1748" s="18"/>
      <c r="I1748" s="19"/>
      <c r="J1748" s="19"/>
      <c r="K1748" s="19"/>
      <c r="O1748" s="18"/>
      <c r="P1748" s="18"/>
    </row>
    <row r="1749">
      <c r="A1749" s="18"/>
      <c r="B1749" s="18"/>
      <c r="C1749" s="18"/>
      <c r="D1749" s="18"/>
      <c r="E1749" s="18"/>
      <c r="F1749" s="18"/>
      <c r="G1749" s="18"/>
      <c r="H1749" s="18"/>
      <c r="I1749" s="19"/>
      <c r="J1749" s="19"/>
      <c r="K1749" s="19"/>
      <c r="O1749" s="18"/>
      <c r="P1749" s="18"/>
    </row>
    <row r="1750">
      <c r="A1750" s="18"/>
      <c r="B1750" s="18"/>
      <c r="C1750" s="18"/>
      <c r="D1750" s="18"/>
      <c r="E1750" s="18"/>
      <c r="F1750" s="18"/>
      <c r="G1750" s="18"/>
      <c r="H1750" s="18"/>
      <c r="I1750" s="19"/>
      <c r="J1750" s="19"/>
      <c r="K1750" s="19"/>
      <c r="O1750" s="18"/>
      <c r="P1750" s="18"/>
    </row>
    <row r="1751">
      <c r="A1751" s="18"/>
      <c r="B1751" s="18"/>
      <c r="C1751" s="18"/>
      <c r="D1751" s="18"/>
      <c r="E1751" s="18"/>
      <c r="F1751" s="18"/>
      <c r="G1751" s="18"/>
      <c r="H1751" s="18"/>
      <c r="I1751" s="19"/>
      <c r="J1751" s="19"/>
      <c r="K1751" s="19"/>
      <c r="O1751" s="18"/>
      <c r="P1751" s="18"/>
    </row>
    <row r="1752">
      <c r="A1752" s="18"/>
      <c r="B1752" s="18"/>
      <c r="C1752" s="18"/>
      <c r="D1752" s="18"/>
      <c r="E1752" s="18"/>
      <c r="F1752" s="18"/>
      <c r="G1752" s="18"/>
      <c r="H1752" s="18"/>
      <c r="I1752" s="19"/>
      <c r="J1752" s="19"/>
      <c r="K1752" s="19"/>
      <c r="O1752" s="18"/>
      <c r="P1752" s="18"/>
    </row>
    <row r="1753">
      <c r="A1753" s="18"/>
      <c r="B1753" s="18"/>
      <c r="C1753" s="18"/>
      <c r="D1753" s="18"/>
      <c r="E1753" s="18"/>
      <c r="F1753" s="18"/>
      <c r="G1753" s="18"/>
      <c r="H1753" s="18"/>
      <c r="I1753" s="19"/>
      <c r="J1753" s="19"/>
      <c r="K1753" s="19"/>
      <c r="O1753" s="18"/>
      <c r="P1753" s="18"/>
    </row>
    <row r="1754">
      <c r="A1754" s="18"/>
      <c r="B1754" s="18"/>
      <c r="C1754" s="18"/>
      <c r="D1754" s="18"/>
      <c r="E1754" s="18"/>
      <c r="F1754" s="18"/>
      <c r="G1754" s="18"/>
      <c r="H1754" s="18"/>
      <c r="I1754" s="19"/>
      <c r="J1754" s="19"/>
      <c r="K1754" s="19"/>
      <c r="O1754" s="18"/>
      <c r="P1754" s="18"/>
    </row>
    <row r="1755">
      <c r="A1755" s="18"/>
      <c r="B1755" s="18"/>
      <c r="C1755" s="18"/>
      <c r="D1755" s="18"/>
      <c r="E1755" s="18"/>
      <c r="F1755" s="18"/>
      <c r="G1755" s="18"/>
      <c r="H1755" s="18"/>
      <c r="I1755" s="19"/>
      <c r="J1755" s="19"/>
      <c r="K1755" s="19"/>
      <c r="O1755" s="18"/>
      <c r="P1755" s="18"/>
    </row>
    <row r="1756">
      <c r="A1756" s="18"/>
      <c r="B1756" s="18"/>
      <c r="C1756" s="18"/>
      <c r="D1756" s="18"/>
      <c r="E1756" s="18"/>
      <c r="F1756" s="18"/>
      <c r="G1756" s="18"/>
      <c r="H1756" s="18"/>
      <c r="I1756" s="19"/>
      <c r="J1756" s="19"/>
      <c r="K1756" s="19"/>
      <c r="O1756" s="18"/>
      <c r="P1756" s="18"/>
    </row>
    <row r="1757">
      <c r="A1757" s="18"/>
      <c r="B1757" s="18"/>
      <c r="C1757" s="18"/>
      <c r="D1757" s="18"/>
      <c r="E1757" s="18"/>
      <c r="F1757" s="18"/>
      <c r="G1757" s="18"/>
      <c r="H1757" s="18"/>
      <c r="I1757" s="19"/>
      <c r="J1757" s="19"/>
      <c r="K1757" s="19"/>
      <c r="O1757" s="18"/>
      <c r="P1757" s="18"/>
    </row>
    <row r="1758">
      <c r="A1758" s="18"/>
      <c r="B1758" s="18"/>
      <c r="C1758" s="18"/>
      <c r="D1758" s="18"/>
      <c r="E1758" s="18"/>
      <c r="F1758" s="18"/>
      <c r="G1758" s="18"/>
      <c r="H1758" s="18"/>
      <c r="I1758" s="19"/>
      <c r="J1758" s="19"/>
      <c r="K1758" s="19"/>
      <c r="O1758" s="18"/>
      <c r="P1758" s="18"/>
    </row>
    <row r="1759">
      <c r="A1759" s="18"/>
      <c r="B1759" s="18"/>
      <c r="C1759" s="18"/>
      <c r="D1759" s="18"/>
      <c r="E1759" s="18"/>
      <c r="F1759" s="18"/>
      <c r="G1759" s="18"/>
      <c r="H1759" s="18"/>
      <c r="I1759" s="19"/>
      <c r="J1759" s="19"/>
      <c r="K1759" s="19"/>
      <c r="O1759" s="18"/>
      <c r="P1759" s="18"/>
    </row>
    <row r="1760">
      <c r="A1760" s="18"/>
      <c r="B1760" s="18"/>
      <c r="C1760" s="18"/>
      <c r="D1760" s="18"/>
      <c r="E1760" s="18"/>
      <c r="F1760" s="18"/>
      <c r="G1760" s="18"/>
      <c r="H1760" s="18"/>
      <c r="I1760" s="19"/>
      <c r="J1760" s="19"/>
      <c r="K1760" s="19"/>
      <c r="O1760" s="18"/>
      <c r="P1760" s="18"/>
    </row>
    <row r="1761">
      <c r="A1761" s="18"/>
      <c r="B1761" s="18"/>
      <c r="C1761" s="18"/>
      <c r="D1761" s="18"/>
      <c r="E1761" s="18"/>
      <c r="F1761" s="18"/>
      <c r="G1761" s="18"/>
      <c r="H1761" s="18"/>
      <c r="I1761" s="19"/>
      <c r="J1761" s="19"/>
      <c r="K1761" s="19"/>
      <c r="O1761" s="18"/>
      <c r="P1761" s="18"/>
    </row>
    <row r="1762">
      <c r="A1762" s="18"/>
      <c r="B1762" s="18"/>
      <c r="C1762" s="18"/>
      <c r="D1762" s="18"/>
      <c r="E1762" s="18"/>
      <c r="F1762" s="18"/>
      <c r="G1762" s="18"/>
      <c r="H1762" s="18"/>
      <c r="I1762" s="19"/>
      <c r="J1762" s="19"/>
      <c r="K1762" s="19"/>
      <c r="O1762" s="18"/>
      <c r="P1762" s="18"/>
    </row>
    <row r="1763">
      <c r="A1763" s="18"/>
      <c r="B1763" s="18"/>
      <c r="C1763" s="18"/>
      <c r="D1763" s="18"/>
      <c r="E1763" s="18"/>
      <c r="F1763" s="18"/>
      <c r="G1763" s="18"/>
      <c r="H1763" s="18"/>
      <c r="I1763" s="19"/>
      <c r="J1763" s="19"/>
      <c r="K1763" s="19"/>
      <c r="O1763" s="18"/>
      <c r="P1763" s="18"/>
    </row>
    <row r="1764">
      <c r="A1764" s="18"/>
      <c r="B1764" s="18"/>
      <c r="C1764" s="18"/>
      <c r="D1764" s="18"/>
      <c r="E1764" s="18"/>
      <c r="F1764" s="18"/>
      <c r="G1764" s="18"/>
      <c r="H1764" s="18"/>
      <c r="I1764" s="19"/>
      <c r="J1764" s="19"/>
      <c r="K1764" s="19"/>
      <c r="O1764" s="18"/>
      <c r="P1764" s="18"/>
    </row>
    <row r="1765">
      <c r="A1765" s="18"/>
      <c r="B1765" s="18"/>
      <c r="C1765" s="18"/>
      <c r="D1765" s="18"/>
      <c r="E1765" s="18"/>
      <c r="F1765" s="18"/>
      <c r="G1765" s="18"/>
      <c r="H1765" s="18"/>
      <c r="I1765" s="19"/>
      <c r="J1765" s="19"/>
      <c r="K1765" s="19"/>
      <c r="O1765" s="18"/>
      <c r="P1765" s="18"/>
    </row>
    <row r="1766">
      <c r="A1766" s="18"/>
      <c r="B1766" s="18"/>
      <c r="C1766" s="18"/>
      <c r="D1766" s="18"/>
      <c r="E1766" s="18"/>
      <c r="F1766" s="18"/>
      <c r="G1766" s="18"/>
      <c r="H1766" s="18"/>
      <c r="I1766" s="19"/>
      <c r="J1766" s="19"/>
      <c r="K1766" s="19"/>
      <c r="O1766" s="18"/>
      <c r="P1766" s="18"/>
    </row>
    <row r="1767">
      <c r="A1767" s="18"/>
      <c r="B1767" s="18"/>
      <c r="C1767" s="18"/>
      <c r="D1767" s="18"/>
      <c r="E1767" s="18"/>
      <c r="F1767" s="18"/>
      <c r="G1767" s="18"/>
      <c r="H1767" s="18"/>
      <c r="I1767" s="19"/>
      <c r="J1767" s="19"/>
      <c r="K1767" s="19"/>
      <c r="O1767" s="18"/>
      <c r="P1767" s="18"/>
    </row>
    <row r="1768">
      <c r="A1768" s="18"/>
      <c r="B1768" s="18"/>
      <c r="C1768" s="18"/>
      <c r="D1768" s="18"/>
      <c r="E1768" s="18"/>
      <c r="F1768" s="18"/>
      <c r="G1768" s="18"/>
      <c r="H1768" s="18"/>
      <c r="I1768" s="19"/>
      <c r="J1768" s="19"/>
      <c r="K1768" s="19"/>
      <c r="O1768" s="18"/>
      <c r="P1768" s="18"/>
    </row>
    <row r="1769">
      <c r="A1769" s="18"/>
      <c r="B1769" s="18"/>
      <c r="C1769" s="18"/>
      <c r="D1769" s="18"/>
      <c r="E1769" s="18"/>
      <c r="F1769" s="18"/>
      <c r="G1769" s="18"/>
      <c r="H1769" s="18"/>
      <c r="I1769" s="19"/>
      <c r="J1769" s="19"/>
      <c r="K1769" s="19"/>
      <c r="O1769" s="18"/>
      <c r="P1769" s="18"/>
    </row>
    <row r="1770">
      <c r="A1770" s="18"/>
      <c r="B1770" s="18"/>
      <c r="C1770" s="18"/>
      <c r="D1770" s="18"/>
      <c r="E1770" s="18"/>
      <c r="F1770" s="18"/>
      <c r="G1770" s="18"/>
      <c r="H1770" s="18"/>
      <c r="I1770" s="19"/>
      <c r="J1770" s="19"/>
      <c r="K1770" s="19"/>
      <c r="O1770" s="18"/>
      <c r="P1770" s="18"/>
    </row>
    <row r="1771">
      <c r="A1771" s="18"/>
      <c r="B1771" s="18"/>
      <c r="C1771" s="18"/>
      <c r="D1771" s="18"/>
      <c r="E1771" s="18"/>
      <c r="F1771" s="18"/>
      <c r="G1771" s="18"/>
      <c r="H1771" s="18"/>
      <c r="I1771" s="19"/>
      <c r="J1771" s="19"/>
      <c r="K1771" s="19"/>
      <c r="O1771" s="18"/>
      <c r="P1771" s="18"/>
    </row>
    <row r="1772">
      <c r="A1772" s="18"/>
      <c r="B1772" s="18"/>
      <c r="C1772" s="18"/>
      <c r="D1772" s="18"/>
      <c r="E1772" s="18"/>
      <c r="F1772" s="18"/>
      <c r="G1772" s="18"/>
      <c r="H1772" s="18"/>
      <c r="I1772" s="19"/>
      <c r="J1772" s="19"/>
      <c r="K1772" s="19"/>
      <c r="O1772" s="18"/>
      <c r="P1772" s="18"/>
    </row>
    <row r="1773">
      <c r="A1773" s="18"/>
      <c r="B1773" s="18"/>
      <c r="C1773" s="18"/>
      <c r="D1773" s="18"/>
      <c r="E1773" s="18"/>
      <c r="F1773" s="18"/>
      <c r="G1773" s="18"/>
      <c r="H1773" s="18"/>
      <c r="I1773" s="19"/>
      <c r="J1773" s="19"/>
      <c r="K1773" s="19"/>
      <c r="O1773" s="18"/>
      <c r="P1773" s="18"/>
    </row>
    <row r="1774">
      <c r="A1774" s="18"/>
      <c r="B1774" s="18"/>
      <c r="C1774" s="18"/>
      <c r="D1774" s="18"/>
      <c r="E1774" s="18"/>
      <c r="F1774" s="18"/>
      <c r="G1774" s="18"/>
      <c r="H1774" s="18"/>
      <c r="I1774" s="19"/>
      <c r="J1774" s="19"/>
      <c r="K1774" s="19"/>
      <c r="O1774" s="18"/>
      <c r="P1774" s="18"/>
    </row>
    <row r="1775">
      <c r="A1775" s="18"/>
      <c r="B1775" s="18"/>
      <c r="C1775" s="18"/>
      <c r="D1775" s="18"/>
      <c r="E1775" s="18"/>
      <c r="F1775" s="18"/>
      <c r="G1775" s="18"/>
      <c r="H1775" s="18"/>
      <c r="I1775" s="19"/>
      <c r="J1775" s="19"/>
      <c r="K1775" s="19"/>
      <c r="O1775" s="18"/>
      <c r="P1775" s="18"/>
    </row>
    <row r="1776">
      <c r="A1776" s="18"/>
      <c r="B1776" s="18"/>
      <c r="C1776" s="18"/>
      <c r="D1776" s="18"/>
      <c r="E1776" s="18"/>
      <c r="F1776" s="18"/>
      <c r="G1776" s="18"/>
      <c r="H1776" s="18"/>
      <c r="I1776" s="19"/>
      <c r="J1776" s="19"/>
      <c r="K1776" s="19"/>
      <c r="O1776" s="18"/>
      <c r="P1776" s="18"/>
    </row>
    <row r="1777">
      <c r="A1777" s="18"/>
      <c r="B1777" s="18"/>
      <c r="C1777" s="18"/>
      <c r="D1777" s="18"/>
      <c r="E1777" s="18"/>
      <c r="F1777" s="18"/>
      <c r="G1777" s="18"/>
      <c r="H1777" s="18"/>
      <c r="I1777" s="19"/>
      <c r="J1777" s="19"/>
      <c r="K1777" s="19"/>
      <c r="O1777" s="18"/>
      <c r="P1777" s="18"/>
    </row>
    <row r="1778">
      <c r="A1778" s="18"/>
      <c r="B1778" s="18"/>
      <c r="C1778" s="18"/>
      <c r="D1778" s="18"/>
      <c r="E1778" s="18"/>
      <c r="F1778" s="18"/>
      <c r="G1778" s="18"/>
      <c r="H1778" s="18"/>
      <c r="I1778" s="19"/>
      <c r="J1778" s="19"/>
      <c r="K1778" s="19"/>
      <c r="O1778" s="18"/>
      <c r="P1778" s="18"/>
    </row>
    <row r="1779">
      <c r="A1779" s="18"/>
      <c r="B1779" s="18"/>
      <c r="C1779" s="18"/>
      <c r="D1779" s="18"/>
      <c r="E1779" s="18"/>
      <c r="F1779" s="18"/>
      <c r="G1779" s="18"/>
      <c r="H1779" s="18"/>
      <c r="I1779" s="19"/>
      <c r="J1779" s="19"/>
      <c r="K1779" s="19"/>
      <c r="O1779" s="18"/>
      <c r="P1779" s="18"/>
    </row>
    <row r="1780">
      <c r="A1780" s="18"/>
      <c r="B1780" s="18"/>
      <c r="C1780" s="18"/>
      <c r="D1780" s="18"/>
      <c r="E1780" s="18"/>
      <c r="F1780" s="18"/>
      <c r="G1780" s="18"/>
      <c r="H1780" s="18"/>
      <c r="I1780" s="19"/>
      <c r="J1780" s="19"/>
      <c r="K1780" s="19"/>
      <c r="O1780" s="18"/>
      <c r="P1780" s="18"/>
    </row>
    <row r="1781">
      <c r="A1781" s="18"/>
      <c r="B1781" s="18"/>
      <c r="C1781" s="18"/>
      <c r="D1781" s="18"/>
      <c r="E1781" s="18"/>
      <c r="F1781" s="18"/>
      <c r="G1781" s="18"/>
      <c r="H1781" s="18"/>
      <c r="I1781" s="19"/>
      <c r="J1781" s="19"/>
      <c r="K1781" s="19"/>
      <c r="O1781" s="18"/>
      <c r="P1781" s="18"/>
    </row>
    <row r="1782">
      <c r="A1782" s="18"/>
      <c r="B1782" s="18"/>
      <c r="C1782" s="18"/>
      <c r="D1782" s="18"/>
      <c r="E1782" s="18"/>
      <c r="F1782" s="18"/>
      <c r="G1782" s="18"/>
      <c r="H1782" s="18"/>
      <c r="I1782" s="19"/>
      <c r="J1782" s="19"/>
      <c r="K1782" s="19"/>
      <c r="O1782" s="18"/>
      <c r="P1782" s="18"/>
    </row>
    <row r="1783">
      <c r="A1783" s="18"/>
      <c r="B1783" s="18"/>
      <c r="C1783" s="18"/>
      <c r="D1783" s="18"/>
      <c r="E1783" s="18"/>
      <c r="F1783" s="18"/>
      <c r="G1783" s="18"/>
      <c r="H1783" s="18"/>
      <c r="I1783" s="19"/>
      <c r="J1783" s="19"/>
      <c r="K1783" s="19"/>
      <c r="O1783" s="18"/>
      <c r="P1783" s="18"/>
    </row>
    <row r="1784">
      <c r="A1784" s="18"/>
      <c r="B1784" s="18"/>
      <c r="C1784" s="18"/>
      <c r="D1784" s="18"/>
      <c r="E1784" s="18"/>
      <c r="F1784" s="18"/>
      <c r="G1784" s="18"/>
      <c r="H1784" s="18"/>
      <c r="I1784" s="19"/>
      <c r="J1784" s="19"/>
      <c r="K1784" s="19"/>
      <c r="O1784" s="18"/>
      <c r="P1784" s="18"/>
    </row>
    <row r="1785">
      <c r="A1785" s="18"/>
      <c r="B1785" s="18"/>
      <c r="C1785" s="18"/>
      <c r="D1785" s="18"/>
      <c r="E1785" s="18"/>
      <c r="F1785" s="18"/>
      <c r="G1785" s="18"/>
      <c r="H1785" s="18"/>
      <c r="I1785" s="19"/>
      <c r="J1785" s="19"/>
      <c r="K1785" s="19"/>
      <c r="O1785" s="18"/>
      <c r="P1785" s="18"/>
    </row>
    <row r="1786">
      <c r="A1786" s="18"/>
      <c r="B1786" s="18"/>
      <c r="C1786" s="18"/>
      <c r="D1786" s="18"/>
      <c r="E1786" s="18"/>
      <c r="F1786" s="18"/>
      <c r="G1786" s="18"/>
      <c r="H1786" s="18"/>
      <c r="I1786" s="19"/>
      <c r="J1786" s="19"/>
      <c r="K1786" s="19"/>
      <c r="O1786" s="18"/>
      <c r="P1786" s="18"/>
    </row>
    <row r="1787">
      <c r="A1787" s="18"/>
      <c r="B1787" s="18"/>
      <c r="C1787" s="18"/>
      <c r="D1787" s="18"/>
      <c r="E1787" s="18"/>
      <c r="F1787" s="18"/>
      <c r="G1787" s="18"/>
      <c r="H1787" s="18"/>
      <c r="I1787" s="19"/>
      <c r="J1787" s="19"/>
      <c r="K1787" s="19"/>
      <c r="O1787" s="18"/>
      <c r="P1787" s="18"/>
    </row>
    <row r="1788">
      <c r="A1788" s="18"/>
      <c r="B1788" s="18"/>
      <c r="C1788" s="18"/>
      <c r="D1788" s="18"/>
      <c r="E1788" s="18"/>
      <c r="F1788" s="18"/>
      <c r="G1788" s="18"/>
      <c r="H1788" s="18"/>
      <c r="I1788" s="19"/>
      <c r="J1788" s="19"/>
      <c r="K1788" s="19"/>
      <c r="O1788" s="18"/>
      <c r="P1788" s="18"/>
    </row>
    <row r="1789">
      <c r="A1789" s="18"/>
      <c r="B1789" s="18"/>
      <c r="C1789" s="18"/>
      <c r="D1789" s="18"/>
      <c r="E1789" s="18"/>
      <c r="F1789" s="18"/>
      <c r="G1789" s="18"/>
      <c r="H1789" s="18"/>
      <c r="I1789" s="19"/>
      <c r="J1789" s="19"/>
      <c r="K1789" s="19"/>
      <c r="O1789" s="18"/>
      <c r="P1789" s="18"/>
    </row>
    <row r="1790">
      <c r="A1790" s="18"/>
      <c r="B1790" s="18"/>
      <c r="C1790" s="18"/>
      <c r="D1790" s="18"/>
      <c r="E1790" s="18"/>
      <c r="F1790" s="18"/>
      <c r="G1790" s="18"/>
      <c r="H1790" s="18"/>
      <c r="I1790" s="19"/>
      <c r="J1790" s="19"/>
      <c r="K1790" s="19"/>
      <c r="O1790" s="18"/>
      <c r="P1790" s="18"/>
    </row>
    <row r="1791">
      <c r="A1791" s="18"/>
      <c r="B1791" s="18"/>
      <c r="C1791" s="18"/>
      <c r="D1791" s="18"/>
      <c r="E1791" s="18"/>
      <c r="F1791" s="18"/>
      <c r="G1791" s="18"/>
      <c r="H1791" s="18"/>
      <c r="I1791" s="19"/>
      <c r="J1791" s="19"/>
      <c r="K1791" s="19"/>
      <c r="O1791" s="18"/>
      <c r="P1791" s="18"/>
    </row>
    <row r="1792">
      <c r="A1792" s="18"/>
      <c r="B1792" s="18"/>
      <c r="C1792" s="18"/>
      <c r="D1792" s="18"/>
      <c r="E1792" s="18"/>
      <c r="F1792" s="18"/>
      <c r="G1792" s="18"/>
      <c r="H1792" s="18"/>
      <c r="I1792" s="19"/>
      <c r="J1792" s="19"/>
      <c r="K1792" s="19"/>
      <c r="O1792" s="18"/>
      <c r="P1792" s="18"/>
    </row>
    <row r="1793">
      <c r="A1793" s="18"/>
      <c r="B1793" s="18"/>
      <c r="C1793" s="18"/>
      <c r="D1793" s="18"/>
      <c r="E1793" s="18"/>
      <c r="F1793" s="18"/>
      <c r="G1793" s="18"/>
      <c r="H1793" s="18"/>
      <c r="I1793" s="19"/>
      <c r="J1793" s="19"/>
      <c r="K1793" s="19"/>
      <c r="O1793" s="18"/>
      <c r="P1793" s="18"/>
    </row>
    <row r="1794">
      <c r="A1794" s="18"/>
      <c r="B1794" s="18"/>
      <c r="C1794" s="18"/>
      <c r="D1794" s="18"/>
      <c r="E1794" s="18"/>
      <c r="F1794" s="18"/>
      <c r="G1794" s="18"/>
      <c r="H1794" s="18"/>
      <c r="I1794" s="19"/>
      <c r="J1794" s="19"/>
      <c r="K1794" s="19"/>
      <c r="O1794" s="18"/>
      <c r="P1794" s="18"/>
    </row>
    <row r="1795">
      <c r="A1795" s="18"/>
      <c r="B1795" s="18"/>
      <c r="C1795" s="18"/>
      <c r="D1795" s="18"/>
      <c r="E1795" s="18"/>
      <c r="F1795" s="18"/>
      <c r="G1795" s="18"/>
      <c r="H1795" s="18"/>
      <c r="I1795" s="19"/>
      <c r="J1795" s="19"/>
      <c r="K1795" s="19"/>
      <c r="O1795" s="18"/>
      <c r="P1795" s="18"/>
    </row>
    <row r="1796">
      <c r="A1796" s="18"/>
      <c r="B1796" s="18"/>
      <c r="C1796" s="18"/>
      <c r="D1796" s="18"/>
      <c r="E1796" s="18"/>
      <c r="F1796" s="18"/>
      <c r="G1796" s="18"/>
      <c r="H1796" s="18"/>
      <c r="I1796" s="19"/>
      <c r="J1796" s="19"/>
      <c r="K1796" s="19"/>
      <c r="O1796" s="18"/>
      <c r="P1796" s="18"/>
    </row>
    <row r="1797">
      <c r="A1797" s="18"/>
      <c r="B1797" s="18"/>
      <c r="C1797" s="18"/>
      <c r="D1797" s="18"/>
      <c r="E1797" s="18"/>
      <c r="F1797" s="18"/>
      <c r="G1797" s="18"/>
      <c r="H1797" s="18"/>
      <c r="I1797" s="19"/>
      <c r="J1797" s="19"/>
      <c r="K1797" s="19"/>
      <c r="O1797" s="18"/>
      <c r="P1797" s="18"/>
    </row>
    <row r="1798">
      <c r="A1798" s="18"/>
      <c r="B1798" s="18"/>
      <c r="C1798" s="18"/>
      <c r="D1798" s="18"/>
      <c r="E1798" s="18"/>
      <c r="F1798" s="18"/>
      <c r="G1798" s="18"/>
      <c r="H1798" s="18"/>
      <c r="I1798" s="19"/>
      <c r="J1798" s="19"/>
      <c r="K1798" s="19"/>
      <c r="O1798" s="18"/>
      <c r="P1798" s="18"/>
    </row>
    <row r="1799">
      <c r="A1799" s="18"/>
      <c r="B1799" s="18"/>
      <c r="C1799" s="18"/>
      <c r="D1799" s="18"/>
      <c r="E1799" s="18"/>
      <c r="F1799" s="18"/>
      <c r="G1799" s="18"/>
      <c r="H1799" s="18"/>
      <c r="I1799" s="19"/>
      <c r="J1799" s="19"/>
      <c r="K1799" s="19"/>
      <c r="O1799" s="18"/>
      <c r="P1799" s="18"/>
    </row>
    <row r="1800">
      <c r="A1800" s="18"/>
      <c r="B1800" s="18"/>
      <c r="C1800" s="18"/>
      <c r="D1800" s="18"/>
      <c r="E1800" s="18"/>
      <c r="F1800" s="18"/>
      <c r="G1800" s="18"/>
      <c r="H1800" s="18"/>
      <c r="I1800" s="19"/>
      <c r="J1800" s="19"/>
      <c r="K1800" s="19"/>
      <c r="O1800" s="18"/>
      <c r="P1800" s="18"/>
    </row>
    <row r="1801">
      <c r="A1801" s="18"/>
      <c r="B1801" s="18"/>
      <c r="C1801" s="18"/>
      <c r="D1801" s="18"/>
      <c r="E1801" s="18"/>
      <c r="F1801" s="18"/>
      <c r="G1801" s="18"/>
      <c r="H1801" s="18"/>
      <c r="I1801" s="19"/>
      <c r="J1801" s="19"/>
      <c r="K1801" s="19"/>
      <c r="O1801" s="18"/>
      <c r="P1801" s="18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18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3</v>
      </c>
      <c r="G1" s="17" t="s">
        <v>23</v>
      </c>
      <c r="H1" s="17" t="s">
        <v>24</v>
      </c>
      <c r="I1" s="17" t="s">
        <v>25</v>
      </c>
      <c r="J1" s="17" t="s">
        <v>2982</v>
      </c>
      <c r="K1" s="17" t="s">
        <v>27</v>
      </c>
      <c r="L1" s="17" t="s">
        <v>28</v>
      </c>
      <c r="M1" s="17" t="s">
        <v>29</v>
      </c>
      <c r="N1" s="17" t="s">
        <v>30</v>
      </c>
      <c r="O1" s="17" t="s">
        <v>31</v>
      </c>
      <c r="P1" s="17" t="s">
        <v>2983</v>
      </c>
      <c r="Q1" s="17" t="s">
        <v>2984</v>
      </c>
      <c r="R1" s="17" t="s">
        <v>33</v>
      </c>
    </row>
    <row r="2">
      <c r="A2" s="18" t="s">
        <v>216</v>
      </c>
      <c r="B2" s="18" t="s">
        <v>44</v>
      </c>
      <c r="C2" s="18" t="s">
        <v>133</v>
      </c>
      <c r="D2" s="18" t="s">
        <v>221</v>
      </c>
      <c r="E2" s="18" t="s">
        <v>222</v>
      </c>
      <c r="F2" s="18" t="s">
        <v>128</v>
      </c>
      <c r="G2" s="18">
        <v>11.75</v>
      </c>
      <c r="H2" s="18" t="s">
        <v>56</v>
      </c>
      <c r="I2" s="19">
        <v>4684.0</v>
      </c>
      <c r="J2" s="19">
        <v>4850.0</v>
      </c>
      <c r="K2" s="19">
        <v>5650.0</v>
      </c>
      <c r="L2" s="18" t="s">
        <v>3639</v>
      </c>
      <c r="M2" s="18" t="s">
        <v>3766</v>
      </c>
      <c r="N2" s="18" t="s">
        <v>903</v>
      </c>
      <c r="O2" s="18" t="s">
        <v>41</v>
      </c>
      <c r="P2" s="18" t="s">
        <v>2988</v>
      </c>
      <c r="Q2" s="18" t="s">
        <v>2989</v>
      </c>
      <c r="R2" s="25">
        <v>46064.0</v>
      </c>
    </row>
    <row r="3">
      <c r="A3" s="18" t="s">
        <v>132</v>
      </c>
      <c r="B3" s="18" t="s">
        <v>44</v>
      </c>
      <c r="C3" s="18" t="s">
        <v>133</v>
      </c>
      <c r="D3" s="18" t="s">
        <v>134</v>
      </c>
      <c r="E3" s="18" t="s">
        <v>135</v>
      </c>
      <c r="F3" s="18" t="s">
        <v>128</v>
      </c>
      <c r="G3" s="18">
        <v>14.78</v>
      </c>
      <c r="H3" s="18" t="s">
        <v>62</v>
      </c>
      <c r="I3" s="19">
        <v>2975.44</v>
      </c>
      <c r="J3" s="19">
        <v>3100.0</v>
      </c>
      <c r="K3" s="19">
        <v>3500.0</v>
      </c>
      <c r="L3" s="18" t="s">
        <v>3645</v>
      </c>
      <c r="M3" s="18" t="s">
        <v>3646</v>
      </c>
      <c r="N3" s="18" t="s">
        <v>131</v>
      </c>
      <c r="O3" s="18" t="s">
        <v>41</v>
      </c>
      <c r="P3" s="18" t="s">
        <v>2988</v>
      </c>
      <c r="Q3" s="18" t="s">
        <v>2989</v>
      </c>
      <c r="R3" s="25">
        <v>46065.0</v>
      </c>
    </row>
    <row r="4">
      <c r="A4" s="18" t="s">
        <v>191</v>
      </c>
      <c r="B4" s="18" t="s">
        <v>45</v>
      </c>
      <c r="C4" s="18" t="s">
        <v>45</v>
      </c>
      <c r="D4" s="18" t="s">
        <v>192</v>
      </c>
      <c r="E4" s="18" t="s">
        <v>193</v>
      </c>
      <c r="F4" s="18" t="s">
        <v>128</v>
      </c>
      <c r="G4" s="18">
        <v>12.04</v>
      </c>
      <c r="H4" s="18" t="s">
        <v>45</v>
      </c>
      <c r="I4" s="19">
        <v>3900.0</v>
      </c>
      <c r="J4" s="19">
        <v>4050.0</v>
      </c>
      <c r="K4" s="19"/>
      <c r="L4" s="18" t="s">
        <v>3524</v>
      </c>
      <c r="M4" s="18" t="s">
        <v>3525</v>
      </c>
      <c r="N4" s="18" t="s">
        <v>240</v>
      </c>
      <c r="O4" s="18" t="s">
        <v>57</v>
      </c>
      <c r="P4" s="18"/>
      <c r="Q4" s="18"/>
      <c r="R4" s="25">
        <v>46068.0</v>
      </c>
    </row>
    <row r="5">
      <c r="A5" s="18" t="s">
        <v>154</v>
      </c>
      <c r="B5" s="18" t="s">
        <v>44</v>
      </c>
      <c r="C5" s="18" t="s">
        <v>180</v>
      </c>
      <c r="D5" s="18" t="s">
        <v>181</v>
      </c>
      <c r="E5" s="18" t="s">
        <v>182</v>
      </c>
      <c r="F5" s="18" t="s">
        <v>128</v>
      </c>
      <c r="G5" s="18">
        <v>22.0</v>
      </c>
      <c r="H5" s="18" t="s">
        <v>56</v>
      </c>
      <c r="I5" s="19">
        <v>6090.0</v>
      </c>
      <c r="J5" s="19">
        <v>6300.0</v>
      </c>
      <c r="K5" s="19">
        <v>7350.0</v>
      </c>
      <c r="L5" s="18" t="s">
        <v>3530</v>
      </c>
      <c r="M5" s="18" t="s">
        <v>3531</v>
      </c>
      <c r="N5" s="18" t="s">
        <v>363</v>
      </c>
      <c r="O5" s="18" t="s">
        <v>151</v>
      </c>
      <c r="P5" s="18" t="s">
        <v>2988</v>
      </c>
      <c r="Q5" s="18" t="s">
        <v>2989</v>
      </c>
      <c r="R5" s="25">
        <v>46068.0</v>
      </c>
    </row>
    <row r="6">
      <c r="A6" s="18" t="s">
        <v>154</v>
      </c>
      <c r="B6" s="18" t="s">
        <v>44</v>
      </c>
      <c r="C6" s="18" t="s">
        <v>53</v>
      </c>
      <c r="D6" s="18" t="s">
        <v>155</v>
      </c>
      <c r="E6" s="18" t="s">
        <v>156</v>
      </c>
      <c r="F6" s="18" t="s">
        <v>128</v>
      </c>
      <c r="G6" s="18">
        <v>16.0</v>
      </c>
      <c r="H6" s="18" t="s">
        <v>56</v>
      </c>
      <c r="I6" s="19">
        <v>4799.0</v>
      </c>
      <c r="J6" s="19">
        <v>4950.0</v>
      </c>
      <c r="K6" s="19">
        <v>5800.0</v>
      </c>
      <c r="L6" s="18" t="s">
        <v>3641</v>
      </c>
      <c r="M6" s="18" t="s">
        <v>3642</v>
      </c>
      <c r="N6" s="18" t="s">
        <v>903</v>
      </c>
      <c r="O6" s="18" t="s">
        <v>151</v>
      </c>
      <c r="P6" s="18" t="s">
        <v>2988</v>
      </c>
      <c r="Q6" s="18" t="s">
        <v>2989</v>
      </c>
      <c r="R6" s="25">
        <v>46068.0</v>
      </c>
    </row>
    <row r="7">
      <c r="A7" s="18" t="s">
        <v>191</v>
      </c>
      <c r="B7" s="18" t="s">
        <v>44</v>
      </c>
      <c r="C7" s="18" t="s">
        <v>64</v>
      </c>
      <c r="D7" s="18" t="s">
        <v>194</v>
      </c>
      <c r="E7" s="18" t="s">
        <v>195</v>
      </c>
      <c r="F7" s="18" t="s">
        <v>128</v>
      </c>
      <c r="G7" s="18">
        <v>18.84</v>
      </c>
      <c r="H7" s="18" t="s">
        <v>120</v>
      </c>
      <c r="I7" s="19">
        <v>6200.0</v>
      </c>
      <c r="J7" s="19">
        <v>6400.0</v>
      </c>
      <c r="K7" s="19"/>
      <c r="L7" s="18" t="s">
        <v>3605</v>
      </c>
      <c r="M7" s="18" t="s">
        <v>3606</v>
      </c>
      <c r="N7" s="18" t="s">
        <v>903</v>
      </c>
      <c r="O7" s="18" t="s">
        <v>57</v>
      </c>
      <c r="P7" s="18"/>
      <c r="Q7" s="18"/>
      <c r="R7" s="25">
        <v>46073.0</v>
      </c>
    </row>
    <row r="8">
      <c r="A8" s="18" t="s">
        <v>125</v>
      </c>
      <c r="B8" s="18" t="s">
        <v>44</v>
      </c>
      <c r="C8" s="18" t="s">
        <v>76</v>
      </c>
      <c r="D8" s="18" t="s">
        <v>126</v>
      </c>
      <c r="E8" s="18" t="s">
        <v>127</v>
      </c>
      <c r="F8" s="18" t="s">
        <v>128</v>
      </c>
      <c r="G8" s="18">
        <v>21.06</v>
      </c>
      <c r="H8" s="18" t="s">
        <v>120</v>
      </c>
      <c r="I8" s="19">
        <v>3229.0</v>
      </c>
      <c r="J8" s="19">
        <v>3350.0</v>
      </c>
      <c r="K8" s="19">
        <v>3900.0</v>
      </c>
      <c r="L8" s="18" t="s">
        <v>3767</v>
      </c>
      <c r="M8" s="18" t="s">
        <v>3768</v>
      </c>
      <c r="N8" s="18" t="s">
        <v>143</v>
      </c>
      <c r="O8" s="18" t="s">
        <v>83</v>
      </c>
      <c r="P8" s="18" t="s">
        <v>2988</v>
      </c>
      <c r="Q8" s="18" t="s">
        <v>2989</v>
      </c>
      <c r="R8" s="25">
        <v>46078.0</v>
      </c>
    </row>
    <row r="9">
      <c r="A9" s="18" t="s">
        <v>171</v>
      </c>
      <c r="B9" s="18" t="s">
        <v>44</v>
      </c>
      <c r="C9" s="18" t="s">
        <v>53</v>
      </c>
      <c r="D9" s="18" t="s">
        <v>174</v>
      </c>
      <c r="E9" s="18" t="s">
        <v>175</v>
      </c>
      <c r="F9" s="18" t="s">
        <v>128</v>
      </c>
      <c r="G9" s="18">
        <v>15.67</v>
      </c>
      <c r="H9" s="18" t="s">
        <v>56</v>
      </c>
      <c r="I9" s="19">
        <v>4250.0</v>
      </c>
      <c r="J9" s="19">
        <v>4400.0</v>
      </c>
      <c r="K9" s="19">
        <v>5100.0</v>
      </c>
      <c r="L9" s="18" t="s">
        <v>3769</v>
      </c>
      <c r="M9" s="18" t="s">
        <v>3770</v>
      </c>
      <c r="N9" s="18" t="s">
        <v>363</v>
      </c>
      <c r="O9" s="18" t="s">
        <v>117</v>
      </c>
      <c r="P9" s="18" t="s">
        <v>2988</v>
      </c>
      <c r="Q9" s="18" t="s">
        <v>2989</v>
      </c>
      <c r="R9" s="25">
        <v>46081.0</v>
      </c>
    </row>
    <row r="10">
      <c r="A10" s="18" t="s">
        <v>171</v>
      </c>
      <c r="B10" s="18" t="s">
        <v>44</v>
      </c>
      <c r="C10" s="18" t="s">
        <v>53</v>
      </c>
      <c r="D10" s="18" t="s">
        <v>172</v>
      </c>
      <c r="E10" s="18" t="s">
        <v>173</v>
      </c>
      <c r="F10" s="18" t="s">
        <v>128</v>
      </c>
      <c r="G10" s="18">
        <v>15.43</v>
      </c>
      <c r="H10" s="18" t="s">
        <v>56</v>
      </c>
      <c r="I10" s="19">
        <v>4250.0</v>
      </c>
      <c r="J10" s="19">
        <v>4400.0</v>
      </c>
      <c r="K10" s="19">
        <v>5100.0</v>
      </c>
      <c r="L10" s="18" t="s">
        <v>3771</v>
      </c>
      <c r="M10" s="18" t="s">
        <v>3772</v>
      </c>
      <c r="N10" s="18" t="s">
        <v>363</v>
      </c>
      <c r="O10" s="18" t="s">
        <v>117</v>
      </c>
      <c r="P10" s="18" t="s">
        <v>2988</v>
      </c>
      <c r="Q10" s="18" t="s">
        <v>2989</v>
      </c>
      <c r="R10" s="25">
        <v>46081.0</v>
      </c>
    </row>
    <row r="11">
      <c r="A11" s="18" t="s">
        <v>165</v>
      </c>
      <c r="B11" s="18" t="s">
        <v>44</v>
      </c>
      <c r="C11" s="18" t="s">
        <v>151</v>
      </c>
      <c r="D11" s="18" t="s">
        <v>166</v>
      </c>
      <c r="E11" s="18" t="s">
        <v>167</v>
      </c>
      <c r="F11" s="18" t="s">
        <v>128</v>
      </c>
      <c r="G11" s="18">
        <v>24.71</v>
      </c>
      <c r="H11" s="18" t="s">
        <v>168</v>
      </c>
      <c r="I11" s="19">
        <v>4750.0</v>
      </c>
      <c r="J11" s="19">
        <v>4900.0</v>
      </c>
      <c r="K11" s="19">
        <v>5700.0</v>
      </c>
      <c r="L11" s="18" t="s">
        <v>3773</v>
      </c>
      <c r="M11" s="18" t="s">
        <v>3774</v>
      </c>
      <c r="N11" s="18" t="s">
        <v>363</v>
      </c>
      <c r="O11" s="18" t="s">
        <v>117</v>
      </c>
      <c r="P11" s="18" t="s">
        <v>2988</v>
      </c>
      <c r="Q11" s="18" t="s">
        <v>2989</v>
      </c>
      <c r="R11" s="25">
        <v>46081.0</v>
      </c>
    </row>
    <row r="12">
      <c r="A12" s="18" t="s">
        <v>216</v>
      </c>
      <c r="B12" s="18" t="s">
        <v>44</v>
      </c>
      <c r="C12" s="18" t="s">
        <v>53</v>
      </c>
      <c r="D12" s="18" t="s">
        <v>217</v>
      </c>
      <c r="E12" s="18" t="s">
        <v>218</v>
      </c>
      <c r="F12" s="18" t="s">
        <v>128</v>
      </c>
      <c r="G12" s="18">
        <v>15.6</v>
      </c>
      <c r="H12" s="18" t="s">
        <v>120</v>
      </c>
      <c r="I12" s="19">
        <v>5494.0</v>
      </c>
      <c r="J12" s="19">
        <v>5700.0</v>
      </c>
      <c r="K12" s="19">
        <v>6600.0</v>
      </c>
      <c r="L12" s="18" t="s">
        <v>3602</v>
      </c>
      <c r="M12" s="18" t="s">
        <v>3603</v>
      </c>
      <c r="N12" s="18" t="s">
        <v>343</v>
      </c>
      <c r="O12" s="18" t="s">
        <v>57</v>
      </c>
      <c r="P12" s="18" t="s">
        <v>2988</v>
      </c>
      <c r="Q12" s="18" t="s">
        <v>2989</v>
      </c>
      <c r="R12" s="25">
        <v>46081.0</v>
      </c>
    </row>
    <row r="13">
      <c r="A13" s="18" t="s">
        <v>43</v>
      </c>
      <c r="B13" s="18" t="s">
        <v>44</v>
      </c>
      <c r="C13" s="18" t="s">
        <v>133</v>
      </c>
      <c r="D13" s="18" t="s">
        <v>189</v>
      </c>
      <c r="E13" s="18" t="s">
        <v>190</v>
      </c>
      <c r="F13" s="18" t="s">
        <v>128</v>
      </c>
      <c r="G13" s="18">
        <v>14.04</v>
      </c>
      <c r="H13" s="18" t="s">
        <v>56</v>
      </c>
      <c r="I13" s="19">
        <v>6000.0</v>
      </c>
      <c r="J13" s="19"/>
      <c r="K13" s="19"/>
      <c r="L13" s="18" t="s">
        <v>3616</v>
      </c>
      <c r="M13" s="18" t="s">
        <v>3617</v>
      </c>
      <c r="N13" s="18" t="s">
        <v>143</v>
      </c>
      <c r="O13" s="18" t="s">
        <v>41</v>
      </c>
      <c r="P13" s="18"/>
      <c r="Q13" s="18"/>
      <c r="R13" s="25">
        <v>46081.0</v>
      </c>
    </row>
    <row r="14">
      <c r="A14" s="18" t="s">
        <v>148</v>
      </c>
      <c r="B14" s="18" t="s">
        <v>44</v>
      </c>
      <c r="C14" s="18" t="s">
        <v>64</v>
      </c>
      <c r="D14" s="18" t="s">
        <v>149</v>
      </c>
      <c r="E14" s="18" t="s">
        <v>150</v>
      </c>
      <c r="F14" s="18" t="s">
        <v>128</v>
      </c>
      <c r="G14" s="18">
        <v>18.1</v>
      </c>
      <c r="H14" s="18" t="s">
        <v>56</v>
      </c>
      <c r="I14" s="19">
        <v>7096.0</v>
      </c>
      <c r="J14" s="19">
        <v>7350.0</v>
      </c>
      <c r="K14" s="19">
        <v>8550.0</v>
      </c>
      <c r="L14" s="18" t="s">
        <v>3668</v>
      </c>
      <c r="M14" s="18" t="s">
        <v>3775</v>
      </c>
      <c r="N14" s="18" t="s">
        <v>363</v>
      </c>
      <c r="O14" s="18" t="s">
        <v>151</v>
      </c>
      <c r="P14" s="18" t="s">
        <v>2988</v>
      </c>
      <c r="Q14" s="18" t="s">
        <v>2989</v>
      </c>
      <c r="R14" s="25">
        <v>46081.0</v>
      </c>
    </row>
    <row r="15">
      <c r="A15" s="18" t="s">
        <v>148</v>
      </c>
      <c r="B15" s="18" t="s">
        <v>44</v>
      </c>
      <c r="C15" s="18" t="s">
        <v>76</v>
      </c>
      <c r="D15" s="18" t="s">
        <v>152</v>
      </c>
      <c r="E15" s="18" t="s">
        <v>153</v>
      </c>
      <c r="F15" s="18" t="s">
        <v>128</v>
      </c>
      <c r="G15" s="18">
        <v>20.8</v>
      </c>
      <c r="H15" s="18" t="s">
        <v>56</v>
      </c>
      <c r="I15" s="19">
        <v>7514.0</v>
      </c>
      <c r="J15" s="19">
        <v>7750.0</v>
      </c>
      <c r="K15" s="19">
        <v>9100.0</v>
      </c>
      <c r="L15" s="18" t="s">
        <v>3776</v>
      </c>
      <c r="M15" s="18" t="s">
        <v>3777</v>
      </c>
      <c r="N15" s="18" t="s">
        <v>240</v>
      </c>
      <c r="O15" s="18" t="s">
        <v>57</v>
      </c>
      <c r="P15" s="18" t="s">
        <v>2988</v>
      </c>
      <c r="Q15" s="18" t="s">
        <v>2989</v>
      </c>
      <c r="R15" s="25">
        <v>46082.0</v>
      </c>
    </row>
    <row r="16">
      <c r="A16" s="18" t="s">
        <v>154</v>
      </c>
      <c r="B16" s="18" t="s">
        <v>44</v>
      </c>
      <c r="C16" s="18" t="s">
        <v>64</v>
      </c>
      <c r="D16" s="18" t="s">
        <v>185</v>
      </c>
      <c r="E16" s="18" t="s">
        <v>186</v>
      </c>
      <c r="F16" s="18" t="s">
        <v>128</v>
      </c>
      <c r="G16" s="18">
        <v>17.0</v>
      </c>
      <c r="H16" s="18" t="s">
        <v>56</v>
      </c>
      <c r="I16" s="19">
        <v>5731.0</v>
      </c>
      <c r="J16" s="19">
        <v>5950.0</v>
      </c>
      <c r="K16" s="19">
        <v>6900.0</v>
      </c>
      <c r="L16" s="18" t="s">
        <v>3570</v>
      </c>
      <c r="M16" s="18" t="s">
        <v>3571</v>
      </c>
      <c r="N16" s="18" t="s">
        <v>316</v>
      </c>
      <c r="O16" s="18" t="s">
        <v>151</v>
      </c>
      <c r="P16" s="18" t="s">
        <v>2988</v>
      </c>
      <c r="Q16" s="18" t="s">
        <v>2989</v>
      </c>
      <c r="R16" s="25">
        <v>46082.0</v>
      </c>
    </row>
    <row r="17">
      <c r="A17" s="18" t="s">
        <v>148</v>
      </c>
      <c r="B17" s="18" t="s">
        <v>44</v>
      </c>
      <c r="C17" s="18" t="s">
        <v>64</v>
      </c>
      <c r="D17" s="18" t="s">
        <v>163</v>
      </c>
      <c r="E17" s="18" t="s">
        <v>164</v>
      </c>
      <c r="F17" s="18" t="s">
        <v>128</v>
      </c>
      <c r="G17" s="18">
        <v>18.1</v>
      </c>
      <c r="H17" s="18" t="s">
        <v>56</v>
      </c>
      <c r="I17" s="19">
        <v>7096.0</v>
      </c>
      <c r="J17" s="19">
        <v>7350.0</v>
      </c>
      <c r="K17" s="19">
        <v>8550.0</v>
      </c>
      <c r="L17" s="18" t="s">
        <v>3594</v>
      </c>
      <c r="M17" s="18" t="s">
        <v>3595</v>
      </c>
      <c r="N17" s="26" t="s">
        <v>143</v>
      </c>
      <c r="O17" s="18" t="s">
        <v>151</v>
      </c>
      <c r="P17" s="18" t="s">
        <v>2988</v>
      </c>
      <c r="Q17" s="18" t="s">
        <v>2989</v>
      </c>
      <c r="R17" s="25">
        <v>46082.0</v>
      </c>
    </row>
    <row r="18">
      <c r="A18" s="18" t="s">
        <v>112</v>
      </c>
      <c r="B18" s="18" t="s">
        <v>45</v>
      </c>
      <c r="C18" s="18" t="s">
        <v>45</v>
      </c>
      <c r="D18" s="18" t="s">
        <v>196</v>
      </c>
      <c r="E18" s="18" t="s">
        <v>197</v>
      </c>
      <c r="F18" s="18" t="s">
        <v>128</v>
      </c>
      <c r="G18" s="18">
        <v>10.4</v>
      </c>
      <c r="H18" s="18" t="s">
        <v>45</v>
      </c>
      <c r="I18" s="19">
        <v>3257.0</v>
      </c>
      <c r="J18" s="19">
        <v>3400.0</v>
      </c>
      <c r="K18" s="19">
        <v>4000.0</v>
      </c>
      <c r="L18" s="18" t="s">
        <v>3596</v>
      </c>
      <c r="M18" s="18" t="s">
        <v>3597</v>
      </c>
      <c r="N18" s="18" t="s">
        <v>403</v>
      </c>
      <c r="O18" s="18" t="s">
        <v>198</v>
      </c>
      <c r="P18" s="18" t="s">
        <v>2992</v>
      </c>
      <c r="Q18" s="18" t="s">
        <v>400</v>
      </c>
      <c r="R18" s="27">
        <v>46082.0</v>
      </c>
    </row>
    <row r="19">
      <c r="A19" s="18" t="s">
        <v>154</v>
      </c>
      <c r="B19" s="18" t="s">
        <v>45</v>
      </c>
      <c r="C19" s="18" t="s">
        <v>45</v>
      </c>
      <c r="D19" s="18" t="s">
        <v>187</v>
      </c>
      <c r="E19" s="18" t="s">
        <v>188</v>
      </c>
      <c r="F19" s="18" t="s">
        <v>128</v>
      </c>
      <c r="G19" s="18">
        <v>11.0</v>
      </c>
      <c r="H19" s="18" t="s">
        <v>45</v>
      </c>
      <c r="I19" s="19">
        <v>3580.0</v>
      </c>
      <c r="J19" s="19">
        <v>3700.0</v>
      </c>
      <c r="K19" s="19">
        <v>4350.0</v>
      </c>
      <c r="L19" s="18" t="s">
        <v>3613</v>
      </c>
      <c r="M19" s="18" t="s">
        <v>3597</v>
      </c>
      <c r="N19" s="18" t="s">
        <v>403</v>
      </c>
      <c r="O19" s="18" t="s">
        <v>151</v>
      </c>
      <c r="P19" s="18" t="s">
        <v>2992</v>
      </c>
      <c r="Q19" s="18" t="s">
        <v>400</v>
      </c>
      <c r="R19" s="25">
        <v>46082.0</v>
      </c>
    </row>
    <row r="20">
      <c r="A20" s="18" t="s">
        <v>145</v>
      </c>
      <c r="B20" s="18" t="s">
        <v>44</v>
      </c>
      <c r="C20" s="18" t="s">
        <v>53</v>
      </c>
      <c r="D20" s="18" t="s">
        <v>146</v>
      </c>
      <c r="E20" s="18" t="s">
        <v>147</v>
      </c>
      <c r="F20" s="18" t="s">
        <v>128</v>
      </c>
      <c r="G20" s="18">
        <v>16.0</v>
      </c>
      <c r="H20" s="18" t="s">
        <v>56</v>
      </c>
      <c r="I20" s="19">
        <v>8592.0</v>
      </c>
      <c r="J20" s="19">
        <v>8850.0</v>
      </c>
      <c r="K20" s="19">
        <v>10350.0</v>
      </c>
      <c r="L20" s="18" t="s">
        <v>3625</v>
      </c>
      <c r="M20" s="18" t="s">
        <v>3626</v>
      </c>
      <c r="N20" s="18" t="s">
        <v>903</v>
      </c>
      <c r="O20" s="18" t="s">
        <v>57</v>
      </c>
      <c r="P20" s="18" t="s">
        <v>2988</v>
      </c>
      <c r="Q20" s="18" t="s">
        <v>2989</v>
      </c>
      <c r="R20" s="25">
        <v>46082.0</v>
      </c>
    </row>
    <row r="21">
      <c r="A21" s="18" t="s">
        <v>138</v>
      </c>
      <c r="B21" s="18" t="s">
        <v>44</v>
      </c>
      <c r="C21" s="18" t="s">
        <v>64</v>
      </c>
      <c r="D21" s="18" t="s">
        <v>169</v>
      </c>
      <c r="E21" s="18" t="s">
        <v>170</v>
      </c>
      <c r="F21" s="18" t="s">
        <v>128</v>
      </c>
      <c r="G21" s="18">
        <v>19.55</v>
      </c>
      <c r="H21" s="18" t="s">
        <v>120</v>
      </c>
      <c r="I21" s="19">
        <v>3944.0</v>
      </c>
      <c r="J21" s="19">
        <v>4100.0</v>
      </c>
      <c r="K21" s="19">
        <v>4750.0</v>
      </c>
      <c r="L21" s="18" t="s">
        <v>3627</v>
      </c>
      <c r="M21" s="18" t="s">
        <v>3628</v>
      </c>
      <c r="N21" s="18" t="s">
        <v>903</v>
      </c>
      <c r="O21" s="18" t="s">
        <v>57</v>
      </c>
      <c r="P21" s="18" t="s">
        <v>2988</v>
      </c>
      <c r="Q21" s="18" t="s">
        <v>2989</v>
      </c>
      <c r="R21" s="25">
        <v>46082.0</v>
      </c>
    </row>
    <row r="22">
      <c r="A22" s="18" t="s">
        <v>158</v>
      </c>
      <c r="B22" s="18" t="s">
        <v>44</v>
      </c>
      <c r="C22" s="18" t="s">
        <v>133</v>
      </c>
      <c r="D22" s="18" t="s">
        <v>159</v>
      </c>
      <c r="E22" s="18" t="s">
        <v>160</v>
      </c>
      <c r="F22" s="18" t="s">
        <v>128</v>
      </c>
      <c r="G22" s="18">
        <v>14.54</v>
      </c>
      <c r="H22" s="18" t="s">
        <v>56</v>
      </c>
      <c r="I22" s="19">
        <v>4666.0</v>
      </c>
      <c r="J22" s="19">
        <v>4850.0</v>
      </c>
      <c r="K22" s="19">
        <v>5650.0</v>
      </c>
      <c r="L22" s="18" t="s">
        <v>3648</v>
      </c>
      <c r="M22" s="18" t="s">
        <v>3649</v>
      </c>
      <c r="N22" s="18" t="s">
        <v>403</v>
      </c>
      <c r="O22" s="18" t="s">
        <v>161</v>
      </c>
      <c r="P22" s="18" t="s">
        <v>2988</v>
      </c>
      <c r="Q22" s="18" t="s">
        <v>2989</v>
      </c>
      <c r="R22" s="25">
        <v>46082.0</v>
      </c>
    </row>
    <row r="23">
      <c r="A23" s="18" t="s">
        <v>154</v>
      </c>
      <c r="B23" s="18" t="s">
        <v>44</v>
      </c>
      <c r="C23" s="18" t="s">
        <v>53</v>
      </c>
      <c r="D23" s="18" t="s">
        <v>178</v>
      </c>
      <c r="E23" s="18" t="s">
        <v>179</v>
      </c>
      <c r="F23" s="18" t="s">
        <v>128</v>
      </c>
      <c r="G23" s="18">
        <v>16.0</v>
      </c>
      <c r="H23" s="18" t="s">
        <v>56</v>
      </c>
      <c r="I23" s="19">
        <v>4799.0</v>
      </c>
      <c r="J23" s="19">
        <v>4950.0</v>
      </c>
      <c r="K23" s="19">
        <v>5800.0</v>
      </c>
      <c r="L23" s="18" t="s">
        <v>3650</v>
      </c>
      <c r="M23" s="18" t="s">
        <v>3651</v>
      </c>
      <c r="N23" s="18" t="s">
        <v>403</v>
      </c>
      <c r="O23" s="18" t="s">
        <v>151</v>
      </c>
      <c r="P23" s="18" t="s">
        <v>2988</v>
      </c>
      <c r="Q23" s="18" t="s">
        <v>2989</v>
      </c>
      <c r="R23" s="25">
        <v>46082.0</v>
      </c>
    </row>
    <row r="24">
      <c r="A24" s="18" t="s">
        <v>138</v>
      </c>
      <c r="B24" s="18" t="s">
        <v>44</v>
      </c>
      <c r="C24" s="18" t="s">
        <v>113</v>
      </c>
      <c r="D24" s="18" t="s">
        <v>139</v>
      </c>
      <c r="E24" s="18" t="s">
        <v>140</v>
      </c>
      <c r="F24" s="18" t="s">
        <v>128</v>
      </c>
      <c r="G24" s="18">
        <v>11.97</v>
      </c>
      <c r="H24" s="18" t="s">
        <v>116</v>
      </c>
      <c r="I24" s="19">
        <v>2482.0</v>
      </c>
      <c r="J24" s="19">
        <v>2600.0</v>
      </c>
      <c r="K24" s="19">
        <v>3000.0</v>
      </c>
      <c r="L24" s="18" t="s">
        <v>3652</v>
      </c>
      <c r="M24" s="18" t="s">
        <v>3653</v>
      </c>
      <c r="N24" s="18" t="s">
        <v>403</v>
      </c>
      <c r="O24" s="18" t="s">
        <v>57</v>
      </c>
      <c r="P24" s="18" t="s">
        <v>2988</v>
      </c>
      <c r="Q24" s="18" t="s">
        <v>2989</v>
      </c>
      <c r="R24" s="25">
        <v>46082.0</v>
      </c>
    </row>
    <row r="25">
      <c r="A25" s="18" t="s">
        <v>201</v>
      </c>
      <c r="B25" s="18" t="s">
        <v>44</v>
      </c>
      <c r="C25" s="18" t="s">
        <v>53</v>
      </c>
      <c r="D25" s="18" t="s">
        <v>202</v>
      </c>
      <c r="E25" s="18" t="s">
        <v>203</v>
      </c>
      <c r="F25" s="18" t="s">
        <v>128</v>
      </c>
      <c r="G25" s="18">
        <v>15.44</v>
      </c>
      <c r="H25" s="18" t="s">
        <v>56</v>
      </c>
      <c r="I25" s="19">
        <v>3150.0</v>
      </c>
      <c r="J25" s="19">
        <v>3250.0</v>
      </c>
      <c r="K25" s="19">
        <v>3700.0</v>
      </c>
      <c r="L25" s="18" t="s">
        <v>3555</v>
      </c>
      <c r="M25" s="18" t="s">
        <v>3778</v>
      </c>
      <c r="N25" s="18" t="s">
        <v>343</v>
      </c>
      <c r="O25" s="18" t="s">
        <v>57</v>
      </c>
      <c r="P25" s="18" t="s">
        <v>2988</v>
      </c>
      <c r="Q25" s="18" t="s">
        <v>2989</v>
      </c>
      <c r="R25" s="25">
        <v>46085.0</v>
      </c>
    </row>
    <row r="26">
      <c r="A26" s="18" t="s">
        <v>201</v>
      </c>
      <c r="B26" s="18" t="s">
        <v>44</v>
      </c>
      <c r="C26" s="18" t="s">
        <v>64</v>
      </c>
      <c r="D26" s="18" t="s">
        <v>208</v>
      </c>
      <c r="E26" s="18" t="s">
        <v>209</v>
      </c>
      <c r="F26" s="18" t="s">
        <v>128</v>
      </c>
      <c r="G26" s="18">
        <v>18.46</v>
      </c>
      <c r="H26" s="18" t="s">
        <v>120</v>
      </c>
      <c r="I26" s="19">
        <v>3500.0</v>
      </c>
      <c r="J26" s="19">
        <v>3650.0</v>
      </c>
      <c r="K26" s="19">
        <v>4100.0</v>
      </c>
      <c r="L26" s="18" t="s">
        <v>3551</v>
      </c>
      <c r="M26" s="18" t="s">
        <v>3552</v>
      </c>
      <c r="N26" s="18" t="s">
        <v>343</v>
      </c>
      <c r="O26" s="18" t="s">
        <v>41</v>
      </c>
      <c r="P26" s="18" t="s">
        <v>2988</v>
      </c>
      <c r="Q26" s="18" t="s">
        <v>2989</v>
      </c>
      <c r="R26" s="25">
        <v>46091.0</v>
      </c>
    </row>
    <row r="27">
      <c r="A27" s="18" t="s">
        <v>201</v>
      </c>
      <c r="B27" s="18" t="s">
        <v>45</v>
      </c>
      <c r="C27" s="18" t="s">
        <v>45</v>
      </c>
      <c r="D27" s="18" t="s">
        <v>206</v>
      </c>
      <c r="E27" s="18" t="s">
        <v>207</v>
      </c>
      <c r="F27" s="18" t="s">
        <v>128</v>
      </c>
      <c r="G27" s="18">
        <v>10.13</v>
      </c>
      <c r="H27" s="18" t="s">
        <v>45</v>
      </c>
      <c r="I27" s="19">
        <v>1900.0</v>
      </c>
      <c r="J27" s="19">
        <v>2000.0</v>
      </c>
      <c r="K27" s="19">
        <v>2300.0</v>
      </c>
      <c r="L27" s="18" t="s">
        <v>3538</v>
      </c>
      <c r="M27" s="18" t="s">
        <v>3539</v>
      </c>
      <c r="N27" s="18" t="s">
        <v>316</v>
      </c>
      <c r="O27" s="18" t="s">
        <v>57</v>
      </c>
      <c r="P27" s="18" t="s">
        <v>2992</v>
      </c>
      <c r="Q27" s="18" t="s">
        <v>400</v>
      </c>
      <c r="R27" s="25">
        <v>46091.0</v>
      </c>
    </row>
    <row r="28">
      <c r="A28" s="18" t="s">
        <v>210</v>
      </c>
      <c r="B28" s="18" t="s">
        <v>44</v>
      </c>
      <c r="C28" s="18" t="s">
        <v>64</v>
      </c>
      <c r="D28" s="18" t="s">
        <v>211</v>
      </c>
      <c r="E28" s="18" t="s">
        <v>212</v>
      </c>
      <c r="F28" s="18" t="s">
        <v>128</v>
      </c>
      <c r="G28" s="18">
        <v>18.15</v>
      </c>
      <c r="H28" s="18" t="s">
        <v>120</v>
      </c>
      <c r="I28" s="19">
        <v>6250.0</v>
      </c>
      <c r="J28" s="19">
        <v>6450.0</v>
      </c>
      <c r="K28" s="19">
        <v>7500.0</v>
      </c>
      <c r="L28" s="18" t="s">
        <v>3401</v>
      </c>
      <c r="M28" s="18" t="s">
        <v>3402</v>
      </c>
      <c r="N28" s="18" t="s">
        <v>240</v>
      </c>
      <c r="O28" s="18" t="s">
        <v>213</v>
      </c>
      <c r="P28" s="18" t="s">
        <v>2988</v>
      </c>
      <c r="Q28" s="18" t="s">
        <v>2989</v>
      </c>
      <c r="R28" s="25">
        <v>46092.0</v>
      </c>
    </row>
    <row r="29">
      <c r="A29" s="18" t="s">
        <v>35</v>
      </c>
      <c r="B29" s="18" t="s">
        <v>44</v>
      </c>
      <c r="C29" s="18" t="s">
        <v>53</v>
      </c>
      <c r="D29" s="18" t="s">
        <v>223</v>
      </c>
      <c r="E29" s="18" t="s">
        <v>224</v>
      </c>
      <c r="F29" s="18" t="s">
        <v>128</v>
      </c>
      <c r="G29" s="18">
        <v>18.68</v>
      </c>
      <c r="H29" s="18" t="s">
        <v>120</v>
      </c>
      <c r="I29" s="19">
        <v>6230.0</v>
      </c>
      <c r="J29" s="19">
        <v>6450.0</v>
      </c>
      <c r="K29" s="19">
        <v>7500.0</v>
      </c>
      <c r="L29" s="18" t="s">
        <v>3526</v>
      </c>
      <c r="M29" s="18" t="s">
        <v>3527</v>
      </c>
      <c r="N29" s="18" t="s">
        <v>143</v>
      </c>
      <c r="O29" s="18" t="s">
        <v>57</v>
      </c>
      <c r="P29" s="18" t="s">
        <v>2988</v>
      </c>
      <c r="Q29" s="18" t="s">
        <v>2989</v>
      </c>
      <c r="R29" s="25">
        <v>46102.0</v>
      </c>
    </row>
    <row r="30">
      <c r="A30" s="18" t="s">
        <v>165</v>
      </c>
      <c r="B30" s="18" t="s">
        <v>44</v>
      </c>
      <c r="C30" s="18" t="s">
        <v>53</v>
      </c>
      <c r="D30" s="18" t="s">
        <v>214</v>
      </c>
      <c r="E30" s="18" t="s">
        <v>215</v>
      </c>
      <c r="F30" s="18" t="s">
        <v>128</v>
      </c>
      <c r="G30" s="18">
        <v>16.38</v>
      </c>
      <c r="H30" s="18" t="s">
        <v>56</v>
      </c>
      <c r="I30" s="19">
        <v>3563.0</v>
      </c>
      <c r="J30" s="19">
        <v>3700.0</v>
      </c>
      <c r="K30" s="19">
        <v>4450.0</v>
      </c>
      <c r="L30" s="18" t="s">
        <v>3557</v>
      </c>
      <c r="M30" s="18" t="s">
        <v>3558</v>
      </c>
      <c r="N30" s="18" t="s">
        <v>316</v>
      </c>
      <c r="O30" s="18" t="s">
        <v>117</v>
      </c>
      <c r="P30" s="18" t="s">
        <v>2988</v>
      </c>
      <c r="Q30" s="18" t="s">
        <v>2989</v>
      </c>
      <c r="R30" s="25">
        <v>46110.0</v>
      </c>
    </row>
    <row r="31">
      <c r="A31" s="18" t="s">
        <v>112</v>
      </c>
      <c r="B31" s="18" t="s">
        <v>45</v>
      </c>
      <c r="C31" s="18" t="s">
        <v>45</v>
      </c>
      <c r="D31" s="18" t="s">
        <v>199</v>
      </c>
      <c r="E31" s="18" t="s">
        <v>200</v>
      </c>
      <c r="F31" s="18" t="s">
        <v>128</v>
      </c>
      <c r="G31" s="18">
        <v>10.6</v>
      </c>
      <c r="H31" s="18" t="s">
        <v>45</v>
      </c>
      <c r="I31" s="19">
        <v>3257.0</v>
      </c>
      <c r="J31" s="19">
        <v>3300.0</v>
      </c>
      <c r="K31" s="19">
        <v>4000.0</v>
      </c>
      <c r="L31" s="18" t="s">
        <v>3534</v>
      </c>
      <c r="M31" s="18" t="s">
        <v>3535</v>
      </c>
      <c r="N31" s="18" t="s">
        <v>131</v>
      </c>
      <c r="O31" s="18" t="s">
        <v>117</v>
      </c>
      <c r="P31" s="18" t="s">
        <v>2992</v>
      </c>
      <c r="Q31" s="18" t="s">
        <v>400</v>
      </c>
      <c r="R31" s="25">
        <v>46112.0</v>
      </c>
    </row>
    <row r="32">
      <c r="A32" s="18" t="s">
        <v>216</v>
      </c>
      <c r="B32" s="18" t="s">
        <v>44</v>
      </c>
      <c r="C32" s="18" t="s">
        <v>113</v>
      </c>
      <c r="D32" s="18" t="s">
        <v>219</v>
      </c>
      <c r="E32" s="18" t="s">
        <v>220</v>
      </c>
      <c r="F32" s="18" t="s">
        <v>128</v>
      </c>
      <c r="G32" s="18">
        <v>10.22</v>
      </c>
      <c r="H32" s="18" t="s">
        <v>116</v>
      </c>
      <c r="I32" s="19">
        <v>4173.0</v>
      </c>
      <c r="J32" s="19">
        <v>4300.0</v>
      </c>
      <c r="K32" s="19">
        <v>5050.0</v>
      </c>
      <c r="L32" s="18" t="s">
        <v>3607</v>
      </c>
      <c r="M32" s="18" t="s">
        <v>3608</v>
      </c>
      <c r="N32" s="18" t="s">
        <v>363</v>
      </c>
      <c r="O32" s="18" t="s">
        <v>41</v>
      </c>
      <c r="P32" s="18" t="s">
        <v>2988</v>
      </c>
      <c r="Q32" s="18" t="s">
        <v>2989</v>
      </c>
      <c r="R32" s="25">
        <v>46124.0</v>
      </c>
    </row>
    <row r="33">
      <c r="A33" s="18" t="s">
        <v>171</v>
      </c>
      <c r="B33" s="18" t="s">
        <v>44</v>
      </c>
      <c r="C33" s="18" t="s">
        <v>64</v>
      </c>
      <c r="D33" s="18" t="s">
        <v>176</v>
      </c>
      <c r="E33" s="18" t="s">
        <v>177</v>
      </c>
      <c r="F33" s="18" t="s">
        <v>128</v>
      </c>
      <c r="G33" s="18">
        <v>18.31</v>
      </c>
      <c r="H33" s="18" t="s">
        <v>120</v>
      </c>
      <c r="I33" s="19">
        <v>4990.0</v>
      </c>
      <c r="J33" s="19">
        <v>5150.0</v>
      </c>
      <c r="K33" s="19">
        <v>6000.0</v>
      </c>
      <c r="L33" s="18" t="s">
        <v>3032</v>
      </c>
      <c r="M33" s="18" t="s">
        <v>3033</v>
      </c>
      <c r="N33" s="18" t="s">
        <v>311</v>
      </c>
      <c r="O33" s="18" t="s">
        <v>41</v>
      </c>
      <c r="P33" s="18" t="s">
        <v>2988</v>
      </c>
      <c r="Q33" s="18" t="s">
        <v>2989</v>
      </c>
      <c r="R33" s="25">
        <v>46127.0</v>
      </c>
    </row>
    <row r="34">
      <c r="A34" s="18" t="s">
        <v>154</v>
      </c>
      <c r="B34" s="18" t="s">
        <v>44</v>
      </c>
      <c r="C34" s="18" t="s">
        <v>180</v>
      </c>
      <c r="D34" s="18" t="s">
        <v>183</v>
      </c>
      <c r="E34" s="18" t="s">
        <v>184</v>
      </c>
      <c r="F34" s="18" t="s">
        <v>128</v>
      </c>
      <c r="G34" s="18">
        <v>22.0</v>
      </c>
      <c r="H34" s="18" t="s">
        <v>56</v>
      </c>
      <c r="I34" s="19">
        <v>6090.0</v>
      </c>
      <c r="J34" s="19">
        <v>6100.0</v>
      </c>
      <c r="K34" s="19">
        <v>7350.0</v>
      </c>
      <c r="L34" s="18" t="s">
        <v>3553</v>
      </c>
      <c r="M34" s="18" t="s">
        <v>3554</v>
      </c>
      <c r="N34" s="18" t="s">
        <v>343</v>
      </c>
      <c r="O34" s="18" t="s">
        <v>151</v>
      </c>
      <c r="P34" s="18" t="s">
        <v>2988</v>
      </c>
      <c r="Q34" s="18" t="s">
        <v>2989</v>
      </c>
      <c r="R34" s="25">
        <v>46130.0</v>
      </c>
    </row>
    <row r="35">
      <c r="A35" s="18" t="s">
        <v>201</v>
      </c>
      <c r="B35" s="18" t="s">
        <v>44</v>
      </c>
      <c r="C35" s="18" t="s">
        <v>180</v>
      </c>
      <c r="D35" s="18" t="s">
        <v>204</v>
      </c>
      <c r="E35" s="18" t="s">
        <v>205</v>
      </c>
      <c r="F35" s="18" t="s">
        <v>128</v>
      </c>
      <c r="G35" s="18">
        <v>22.69</v>
      </c>
      <c r="H35" s="18" t="s">
        <v>168</v>
      </c>
      <c r="I35" s="19">
        <v>4150.0</v>
      </c>
      <c r="J35" s="19">
        <v>4300.0</v>
      </c>
      <c r="K35" s="19">
        <v>4800.0</v>
      </c>
      <c r="L35" s="18" t="s">
        <v>3528</v>
      </c>
      <c r="M35" s="18" t="s">
        <v>3529</v>
      </c>
      <c r="N35" s="18" t="s">
        <v>363</v>
      </c>
      <c r="O35" s="18" t="s">
        <v>41</v>
      </c>
      <c r="P35" s="18" t="s">
        <v>2988</v>
      </c>
      <c r="Q35" s="18" t="s">
        <v>2989</v>
      </c>
      <c r="R35" s="25">
        <v>46142.0</v>
      </c>
    </row>
    <row r="36">
      <c r="A36" s="18"/>
      <c r="B36" s="18"/>
      <c r="C36" s="18"/>
      <c r="D36" s="18"/>
      <c r="E36" s="18"/>
      <c r="F36" s="18"/>
      <c r="G36" s="18"/>
      <c r="H36" s="18"/>
      <c r="I36" s="19"/>
      <c r="J36" s="19"/>
      <c r="K36" s="19"/>
      <c r="L36" s="18"/>
      <c r="M36" s="18"/>
      <c r="N36" s="18"/>
      <c r="O36" s="18"/>
      <c r="P36" s="18"/>
      <c r="Q36" s="18"/>
      <c r="R36" s="25"/>
    </row>
    <row r="37">
      <c r="A37" s="18"/>
      <c r="B37" s="18"/>
      <c r="C37" s="18"/>
      <c r="D37" s="18"/>
      <c r="E37" s="18"/>
      <c r="F37" s="18"/>
      <c r="G37" s="18"/>
      <c r="H37" s="18"/>
      <c r="I37" s="19"/>
      <c r="J37" s="19"/>
      <c r="K37" s="19"/>
      <c r="L37" s="18"/>
      <c r="M37" s="18"/>
      <c r="N37" s="18"/>
      <c r="O37" s="18"/>
      <c r="P37" s="18"/>
      <c r="Q37" s="18"/>
      <c r="R37" s="25"/>
    </row>
    <row r="38">
      <c r="A38" s="18"/>
      <c r="B38" s="18"/>
      <c r="C38" s="18"/>
      <c r="D38" s="18"/>
      <c r="E38" s="18"/>
      <c r="F38" s="18"/>
      <c r="G38" s="18"/>
      <c r="H38" s="18"/>
      <c r="I38" s="19"/>
      <c r="J38" s="19"/>
      <c r="K38" s="19"/>
      <c r="L38" s="18"/>
      <c r="M38" s="18"/>
      <c r="N38" s="18"/>
      <c r="O38" s="18"/>
      <c r="P38" s="18"/>
      <c r="Q38" s="18"/>
      <c r="R38" s="25"/>
    </row>
    <row r="39">
      <c r="A39" s="18"/>
      <c r="B39" s="18"/>
      <c r="C39" s="18"/>
      <c r="D39" s="18"/>
      <c r="E39" s="18"/>
      <c r="F39" s="18"/>
      <c r="G39" s="18"/>
      <c r="H39" s="18"/>
      <c r="I39" s="19"/>
      <c r="J39" s="19"/>
      <c r="K39" s="19"/>
      <c r="L39" s="18"/>
      <c r="M39" s="18"/>
      <c r="N39" s="18"/>
      <c r="O39" s="18"/>
      <c r="P39" s="18"/>
      <c r="Q39" s="18"/>
      <c r="R39" s="25"/>
    </row>
    <row r="40">
      <c r="A40" s="18"/>
      <c r="B40" s="18"/>
      <c r="C40" s="18"/>
      <c r="D40" s="18"/>
      <c r="E40" s="18"/>
      <c r="F40" s="18"/>
      <c r="G40" s="18"/>
      <c r="H40" s="18"/>
      <c r="I40" s="19"/>
      <c r="J40" s="19"/>
      <c r="K40" s="19"/>
      <c r="L40" s="18"/>
      <c r="M40" s="18"/>
      <c r="N40" s="18"/>
      <c r="O40" s="18"/>
      <c r="P40" s="18"/>
      <c r="Q40" s="18"/>
      <c r="R40" s="25"/>
    </row>
    <row r="41">
      <c r="A41" s="18"/>
      <c r="B41" s="18"/>
      <c r="C41" s="18"/>
      <c r="D41" s="18"/>
      <c r="E41" s="18"/>
      <c r="F41" s="18"/>
      <c r="G41" s="18"/>
      <c r="H41" s="18"/>
      <c r="I41" s="19"/>
      <c r="J41" s="19"/>
      <c r="K41" s="19"/>
      <c r="L41" s="18"/>
      <c r="M41" s="18"/>
      <c r="N41" s="18"/>
      <c r="O41" s="18"/>
      <c r="P41" s="18"/>
      <c r="Q41" s="18"/>
      <c r="R41" s="27"/>
    </row>
    <row r="42">
      <c r="A42" s="18"/>
      <c r="B42" s="18"/>
      <c r="C42" s="18"/>
      <c r="D42" s="18"/>
      <c r="E42" s="18"/>
      <c r="F42" s="18"/>
      <c r="G42" s="18"/>
      <c r="H42" s="18"/>
      <c r="I42" s="19"/>
      <c r="J42" s="19"/>
      <c r="K42" s="19"/>
      <c r="L42" s="18"/>
      <c r="M42" s="18"/>
      <c r="N42" s="18"/>
      <c r="O42" s="18"/>
      <c r="P42" s="18"/>
      <c r="Q42" s="18"/>
      <c r="R42" s="25"/>
    </row>
    <row r="43">
      <c r="A43" s="18"/>
      <c r="B43" s="18"/>
      <c r="C43" s="18"/>
      <c r="D43" s="18"/>
      <c r="E43" s="18"/>
      <c r="F43" s="18"/>
      <c r="G43" s="18"/>
      <c r="H43" s="18"/>
      <c r="I43" s="19"/>
      <c r="J43" s="19"/>
      <c r="K43" s="19"/>
      <c r="L43" s="18"/>
      <c r="M43" s="18"/>
      <c r="N43" s="18"/>
      <c r="O43" s="18"/>
      <c r="P43" s="18"/>
      <c r="Q43" s="18"/>
      <c r="R43" s="25"/>
    </row>
    <row r="44">
      <c r="A44" s="18"/>
      <c r="B44" s="18"/>
      <c r="C44" s="18"/>
      <c r="D44" s="18"/>
      <c r="E44" s="18"/>
      <c r="F44" s="18"/>
      <c r="G44" s="18"/>
      <c r="H44" s="18"/>
      <c r="I44" s="19"/>
      <c r="J44" s="19"/>
      <c r="K44" s="19"/>
      <c r="L44" s="18"/>
      <c r="M44" s="18"/>
      <c r="N44" s="18"/>
      <c r="O44" s="18"/>
      <c r="P44" s="18"/>
      <c r="Q44" s="18"/>
      <c r="R44" s="25"/>
    </row>
    <row r="45">
      <c r="A45" s="18"/>
      <c r="B45" s="18"/>
      <c r="C45" s="18"/>
      <c r="D45" s="18"/>
      <c r="E45" s="18"/>
      <c r="F45" s="18"/>
      <c r="G45" s="18"/>
      <c r="H45" s="18"/>
      <c r="I45" s="19"/>
      <c r="J45" s="19"/>
      <c r="K45" s="19"/>
      <c r="L45" s="18"/>
      <c r="M45" s="18"/>
      <c r="N45" s="18"/>
      <c r="O45" s="18"/>
      <c r="P45" s="18"/>
      <c r="Q45" s="18"/>
      <c r="R45" s="25"/>
    </row>
    <row r="46">
      <c r="A46" s="18"/>
      <c r="B46" s="18"/>
      <c r="C46" s="18"/>
      <c r="D46" s="18"/>
      <c r="E46" s="18"/>
      <c r="F46" s="18"/>
      <c r="G46" s="18"/>
      <c r="H46" s="18"/>
      <c r="I46" s="19"/>
      <c r="J46" s="19"/>
      <c r="K46" s="19"/>
      <c r="L46" s="18"/>
      <c r="M46" s="18"/>
      <c r="N46" s="18"/>
      <c r="O46" s="18"/>
      <c r="P46" s="18"/>
      <c r="Q46" s="18"/>
      <c r="R46" s="25"/>
    </row>
    <row r="47">
      <c r="A47" s="18"/>
      <c r="B47" s="18"/>
      <c r="C47" s="18"/>
      <c r="D47" s="18"/>
      <c r="E47" s="18"/>
      <c r="F47" s="18"/>
      <c r="G47" s="18"/>
      <c r="H47" s="18"/>
      <c r="I47" s="19"/>
      <c r="J47" s="19"/>
      <c r="K47" s="19"/>
      <c r="L47" s="18"/>
      <c r="M47" s="18"/>
      <c r="N47" s="18"/>
      <c r="O47" s="18"/>
      <c r="P47" s="18"/>
      <c r="Q47" s="18"/>
      <c r="R47" s="25"/>
    </row>
    <row r="48">
      <c r="A48" s="18"/>
      <c r="B48" s="18"/>
      <c r="C48" s="18"/>
      <c r="D48" s="18"/>
      <c r="E48" s="18"/>
      <c r="F48" s="18"/>
      <c r="G48" s="18"/>
      <c r="H48" s="18"/>
      <c r="I48" s="19"/>
      <c r="J48" s="19"/>
      <c r="K48" s="19"/>
      <c r="L48" s="18"/>
      <c r="M48" s="18"/>
      <c r="N48" s="18"/>
      <c r="O48" s="18"/>
      <c r="P48" s="18"/>
      <c r="Q48" s="18"/>
      <c r="R48" s="25"/>
    </row>
    <row r="49">
      <c r="A49" s="18"/>
      <c r="B49" s="18"/>
      <c r="C49" s="18"/>
      <c r="D49" s="18"/>
      <c r="E49" s="18"/>
      <c r="F49" s="18"/>
      <c r="G49" s="18"/>
      <c r="H49" s="18"/>
      <c r="I49" s="19"/>
      <c r="J49" s="19"/>
      <c r="K49" s="19"/>
      <c r="L49" s="18"/>
      <c r="M49" s="18"/>
      <c r="N49" s="18"/>
      <c r="O49" s="18"/>
      <c r="P49" s="18"/>
      <c r="Q49" s="18"/>
      <c r="R49" s="27"/>
    </row>
    <row r="50">
      <c r="A50" s="18"/>
      <c r="B50" s="18"/>
      <c r="C50" s="18"/>
      <c r="D50" s="18"/>
      <c r="E50" s="18"/>
      <c r="F50" s="18"/>
      <c r="G50" s="18"/>
      <c r="H50" s="18"/>
      <c r="I50" s="19"/>
      <c r="J50" s="19"/>
      <c r="K50" s="19"/>
      <c r="L50" s="18"/>
      <c r="M50" s="18"/>
      <c r="N50" s="18"/>
      <c r="O50" s="18"/>
      <c r="P50" s="18"/>
      <c r="Q50" s="18"/>
      <c r="R50" s="27"/>
    </row>
    <row r="51">
      <c r="A51" s="18"/>
      <c r="B51" s="18"/>
      <c r="C51" s="18"/>
      <c r="D51" s="18"/>
      <c r="E51" s="18"/>
      <c r="F51" s="18"/>
      <c r="G51" s="18"/>
      <c r="H51" s="18"/>
      <c r="I51" s="19"/>
      <c r="J51" s="19"/>
      <c r="K51" s="19"/>
      <c r="L51" s="18"/>
      <c r="M51" s="18"/>
      <c r="N51" s="18"/>
      <c r="O51" s="18"/>
      <c r="P51" s="18"/>
      <c r="Q51" s="18"/>
      <c r="R51" s="25"/>
    </row>
    <row r="52">
      <c r="A52" s="18"/>
      <c r="B52" s="18"/>
      <c r="C52" s="18"/>
      <c r="D52" s="18"/>
      <c r="E52" s="18"/>
      <c r="F52" s="18"/>
      <c r="G52" s="18"/>
      <c r="H52" s="18"/>
      <c r="I52" s="19"/>
      <c r="J52" s="19"/>
      <c r="K52" s="19"/>
      <c r="L52" s="18"/>
      <c r="M52" s="18"/>
      <c r="N52" s="18"/>
      <c r="O52" s="18"/>
      <c r="P52" s="18"/>
      <c r="Q52" s="18"/>
      <c r="R52" s="25"/>
    </row>
    <row r="53">
      <c r="A53" s="18"/>
      <c r="B53" s="18"/>
      <c r="C53" s="18"/>
      <c r="D53" s="18"/>
      <c r="E53" s="18"/>
      <c r="F53" s="18"/>
      <c r="G53" s="18"/>
      <c r="H53" s="18"/>
      <c r="I53" s="19"/>
      <c r="J53" s="19"/>
      <c r="K53" s="19"/>
      <c r="L53" s="18"/>
      <c r="M53" s="18"/>
      <c r="N53" s="18"/>
      <c r="O53" s="18"/>
      <c r="P53" s="18"/>
      <c r="Q53" s="18"/>
      <c r="R53" s="25"/>
    </row>
    <row r="54">
      <c r="A54" s="18"/>
      <c r="B54" s="18"/>
      <c r="C54" s="18"/>
      <c r="D54" s="18"/>
      <c r="E54" s="18"/>
      <c r="F54" s="18"/>
      <c r="G54" s="18"/>
      <c r="H54" s="18"/>
      <c r="I54" s="19"/>
      <c r="J54" s="19"/>
      <c r="K54" s="19"/>
      <c r="L54" s="18"/>
      <c r="M54" s="18"/>
      <c r="N54" s="18"/>
      <c r="O54" s="18"/>
      <c r="P54" s="18"/>
      <c r="Q54" s="18"/>
      <c r="R54" s="25"/>
    </row>
    <row r="55">
      <c r="A55" s="18"/>
      <c r="B55" s="18"/>
      <c r="C55" s="18"/>
      <c r="D55" s="18"/>
      <c r="E55" s="18"/>
      <c r="F55" s="18"/>
      <c r="G55" s="18"/>
      <c r="H55" s="18"/>
      <c r="I55" s="19"/>
      <c r="J55" s="19"/>
      <c r="K55" s="19"/>
      <c r="L55" s="18"/>
      <c r="M55" s="18"/>
      <c r="N55" s="18"/>
      <c r="O55" s="18"/>
      <c r="P55" s="18"/>
      <c r="Q55" s="18"/>
      <c r="R55" s="25"/>
    </row>
    <row r="56">
      <c r="A56" s="18"/>
      <c r="B56" s="18"/>
      <c r="C56" s="18"/>
      <c r="D56" s="18"/>
      <c r="E56" s="18"/>
      <c r="F56" s="18"/>
      <c r="G56" s="18"/>
      <c r="H56" s="18"/>
      <c r="I56" s="19"/>
      <c r="J56" s="19"/>
      <c r="K56" s="19"/>
      <c r="L56" s="18"/>
      <c r="M56" s="18"/>
      <c r="N56" s="18"/>
      <c r="O56" s="18"/>
      <c r="P56" s="18"/>
      <c r="Q56" s="18"/>
      <c r="R56" s="25"/>
    </row>
    <row r="57">
      <c r="A57" s="18"/>
      <c r="B57" s="18"/>
      <c r="C57" s="18"/>
      <c r="D57" s="18"/>
      <c r="E57" s="18"/>
      <c r="F57" s="18"/>
      <c r="G57" s="18"/>
      <c r="H57" s="18"/>
      <c r="I57" s="19"/>
      <c r="J57" s="19"/>
      <c r="K57" s="19"/>
      <c r="L57" s="18"/>
      <c r="M57" s="18"/>
      <c r="N57" s="18"/>
      <c r="O57" s="18"/>
      <c r="P57" s="18"/>
      <c r="Q57" s="18"/>
      <c r="R57" s="25"/>
    </row>
    <row r="58">
      <c r="A58" s="18"/>
      <c r="B58" s="18"/>
      <c r="C58" s="18"/>
      <c r="D58" s="18"/>
      <c r="E58" s="18"/>
      <c r="F58" s="18"/>
      <c r="G58" s="18"/>
      <c r="H58" s="18"/>
      <c r="I58" s="19"/>
      <c r="J58" s="19"/>
      <c r="K58" s="19"/>
      <c r="L58" s="18"/>
      <c r="M58" s="18"/>
      <c r="N58" s="18"/>
      <c r="O58" s="18"/>
      <c r="P58" s="18"/>
      <c r="Q58" s="18"/>
      <c r="R58" s="25"/>
    </row>
    <row r="59">
      <c r="A59" s="18"/>
      <c r="B59" s="18"/>
      <c r="C59" s="18"/>
      <c r="D59" s="18"/>
      <c r="E59" s="18"/>
      <c r="F59" s="18"/>
      <c r="G59" s="18"/>
      <c r="H59" s="18"/>
      <c r="I59" s="19"/>
      <c r="J59" s="19"/>
      <c r="K59" s="19"/>
      <c r="L59" s="18"/>
      <c r="M59" s="18"/>
      <c r="N59" s="18"/>
      <c r="O59" s="18"/>
      <c r="P59" s="18"/>
      <c r="Q59" s="18"/>
      <c r="R59" s="25"/>
    </row>
    <row r="60">
      <c r="A60" s="18"/>
      <c r="B60" s="18"/>
      <c r="C60" s="18"/>
      <c r="D60" s="18"/>
      <c r="E60" s="18"/>
      <c r="F60" s="18"/>
      <c r="G60" s="18"/>
      <c r="H60" s="18"/>
      <c r="I60" s="19"/>
      <c r="J60" s="19"/>
      <c r="K60" s="19"/>
      <c r="L60" s="18"/>
      <c r="M60" s="18"/>
      <c r="N60" s="18"/>
      <c r="O60" s="18"/>
      <c r="P60" s="18"/>
      <c r="Q60" s="18"/>
      <c r="R60" s="25"/>
    </row>
    <row r="61">
      <c r="A61" s="18"/>
      <c r="B61" s="18"/>
      <c r="C61" s="18"/>
      <c r="D61" s="18"/>
      <c r="E61" s="18"/>
      <c r="F61" s="18"/>
      <c r="G61" s="18"/>
      <c r="H61" s="18"/>
      <c r="I61" s="19"/>
      <c r="J61" s="19"/>
      <c r="K61" s="19"/>
      <c r="O61" s="18"/>
      <c r="P61" s="18"/>
      <c r="Q61" s="18"/>
    </row>
    <row r="62">
      <c r="A62" s="18"/>
      <c r="B62" s="18"/>
      <c r="C62" s="18"/>
      <c r="D62" s="18"/>
      <c r="E62" s="18"/>
      <c r="F62" s="18"/>
      <c r="G62" s="18"/>
      <c r="H62" s="18"/>
      <c r="I62" s="19"/>
      <c r="J62" s="19"/>
      <c r="K62" s="19"/>
      <c r="O62" s="18"/>
      <c r="P62" s="18"/>
      <c r="Q62" s="18"/>
    </row>
    <row r="63">
      <c r="A63" s="18"/>
      <c r="B63" s="18"/>
      <c r="C63" s="18"/>
      <c r="D63" s="18"/>
      <c r="E63" s="18"/>
      <c r="F63" s="18"/>
      <c r="G63" s="18"/>
      <c r="H63" s="18"/>
      <c r="I63" s="19"/>
      <c r="J63" s="19"/>
      <c r="K63" s="19"/>
      <c r="O63" s="18"/>
      <c r="P63" s="18"/>
      <c r="Q63" s="18"/>
    </row>
    <row r="64">
      <c r="A64" s="18"/>
      <c r="B64" s="18"/>
      <c r="C64" s="18"/>
      <c r="D64" s="18"/>
      <c r="E64" s="18"/>
      <c r="F64" s="18"/>
      <c r="G64" s="18"/>
      <c r="H64" s="18"/>
      <c r="I64" s="19"/>
      <c r="J64" s="19"/>
      <c r="K64" s="19"/>
      <c r="O64" s="18"/>
      <c r="P64" s="18"/>
      <c r="Q64" s="18"/>
    </row>
    <row r="65">
      <c r="A65" s="18"/>
      <c r="B65" s="18"/>
      <c r="C65" s="18"/>
      <c r="D65" s="18"/>
      <c r="E65" s="18"/>
      <c r="F65" s="18"/>
      <c r="G65" s="18"/>
      <c r="H65" s="18"/>
      <c r="I65" s="19"/>
      <c r="J65" s="19"/>
      <c r="K65" s="19"/>
      <c r="O65" s="18"/>
      <c r="P65" s="18"/>
      <c r="Q65" s="18"/>
    </row>
    <row r="66">
      <c r="A66" s="18"/>
      <c r="B66" s="18"/>
      <c r="C66" s="18"/>
      <c r="D66" s="18"/>
      <c r="E66" s="18"/>
      <c r="F66" s="18"/>
      <c r="G66" s="18"/>
      <c r="H66" s="18"/>
      <c r="I66" s="19"/>
      <c r="J66" s="19"/>
      <c r="K66" s="19"/>
      <c r="O66" s="18"/>
      <c r="P66" s="18"/>
      <c r="Q66" s="18"/>
    </row>
    <row r="67">
      <c r="A67" s="18"/>
      <c r="B67" s="18"/>
      <c r="C67" s="18"/>
      <c r="D67" s="18"/>
      <c r="E67" s="18"/>
      <c r="F67" s="18"/>
      <c r="G67" s="18"/>
      <c r="H67" s="18"/>
      <c r="I67" s="19"/>
      <c r="J67" s="19"/>
      <c r="K67" s="19"/>
      <c r="O67" s="18"/>
      <c r="P67" s="18"/>
      <c r="Q67" s="18"/>
    </row>
    <row r="68">
      <c r="A68" s="18"/>
      <c r="B68" s="18"/>
      <c r="C68" s="18"/>
      <c r="D68" s="18"/>
      <c r="E68" s="18"/>
      <c r="F68" s="18"/>
      <c r="G68" s="18"/>
      <c r="H68" s="18"/>
      <c r="I68" s="19"/>
      <c r="J68" s="19"/>
      <c r="K68" s="19"/>
      <c r="O68" s="18"/>
      <c r="P68" s="18"/>
      <c r="Q68" s="18"/>
    </row>
    <row r="69">
      <c r="A69" s="18"/>
      <c r="B69" s="18"/>
      <c r="C69" s="18"/>
      <c r="D69" s="18"/>
      <c r="E69" s="18"/>
      <c r="F69" s="18"/>
      <c r="G69" s="18"/>
      <c r="H69" s="18"/>
      <c r="I69" s="19"/>
      <c r="J69" s="19"/>
      <c r="K69" s="19"/>
      <c r="O69" s="18"/>
      <c r="P69" s="18"/>
      <c r="Q69" s="18"/>
    </row>
    <row r="70">
      <c r="A70" s="18"/>
      <c r="B70" s="18"/>
      <c r="C70" s="18"/>
      <c r="D70" s="18"/>
      <c r="E70" s="18"/>
      <c r="F70" s="18"/>
      <c r="G70" s="18"/>
      <c r="H70" s="18"/>
      <c r="I70" s="19"/>
      <c r="J70" s="19"/>
      <c r="K70" s="19"/>
      <c r="O70" s="18"/>
      <c r="P70" s="18"/>
      <c r="Q70" s="18"/>
    </row>
    <row r="71">
      <c r="A71" s="18"/>
      <c r="B71" s="18"/>
      <c r="C71" s="18"/>
      <c r="D71" s="18"/>
      <c r="E71" s="18"/>
      <c r="F71" s="18"/>
      <c r="G71" s="18"/>
      <c r="H71" s="18"/>
      <c r="I71" s="19"/>
      <c r="J71" s="19"/>
      <c r="K71" s="19"/>
      <c r="O71" s="18"/>
      <c r="P71" s="18"/>
      <c r="Q71" s="18"/>
    </row>
    <row r="72">
      <c r="A72" s="18"/>
      <c r="B72" s="18"/>
      <c r="C72" s="18"/>
      <c r="D72" s="18"/>
      <c r="E72" s="18"/>
      <c r="F72" s="18"/>
      <c r="G72" s="18"/>
      <c r="H72" s="18"/>
      <c r="I72" s="19"/>
      <c r="J72" s="19"/>
      <c r="K72" s="19"/>
      <c r="O72" s="18"/>
      <c r="P72" s="18"/>
      <c r="Q72" s="18"/>
    </row>
    <row r="73">
      <c r="A73" s="18"/>
      <c r="B73" s="18"/>
      <c r="C73" s="18"/>
      <c r="D73" s="18"/>
      <c r="E73" s="18"/>
      <c r="F73" s="18"/>
      <c r="G73" s="18"/>
      <c r="H73" s="18"/>
      <c r="I73" s="19"/>
      <c r="J73" s="19"/>
      <c r="K73" s="19"/>
      <c r="O73" s="18"/>
      <c r="P73" s="18"/>
      <c r="Q73" s="18"/>
    </row>
    <row r="74">
      <c r="A74" s="18"/>
      <c r="B74" s="18"/>
      <c r="C74" s="18"/>
      <c r="D74" s="18"/>
      <c r="E74" s="18"/>
      <c r="F74" s="18"/>
      <c r="G74" s="18"/>
      <c r="H74" s="18"/>
      <c r="I74" s="19"/>
      <c r="J74" s="19"/>
      <c r="K74" s="19"/>
      <c r="O74" s="18"/>
      <c r="P74" s="18"/>
      <c r="Q74" s="18"/>
    </row>
    <row r="75">
      <c r="A75" s="18"/>
      <c r="B75" s="18"/>
      <c r="C75" s="18"/>
      <c r="D75" s="18"/>
      <c r="E75" s="18"/>
      <c r="F75" s="18"/>
      <c r="G75" s="18"/>
      <c r="H75" s="18"/>
      <c r="I75" s="19"/>
      <c r="J75" s="19"/>
      <c r="K75" s="19"/>
      <c r="O75" s="18"/>
      <c r="P75" s="18"/>
      <c r="Q75" s="18"/>
    </row>
    <row r="76">
      <c r="A76" s="18"/>
      <c r="B76" s="18"/>
      <c r="C76" s="18"/>
      <c r="D76" s="18"/>
      <c r="E76" s="18"/>
      <c r="F76" s="18"/>
      <c r="G76" s="18"/>
      <c r="H76" s="18"/>
      <c r="I76" s="19"/>
      <c r="J76" s="19"/>
      <c r="K76" s="19"/>
      <c r="O76" s="18"/>
      <c r="P76" s="18"/>
      <c r="Q76" s="18"/>
    </row>
    <row r="77">
      <c r="A77" s="18"/>
      <c r="B77" s="18"/>
      <c r="C77" s="18"/>
      <c r="D77" s="18"/>
      <c r="E77" s="18"/>
      <c r="F77" s="18"/>
      <c r="G77" s="18"/>
      <c r="H77" s="18"/>
      <c r="I77" s="19"/>
      <c r="J77" s="19"/>
      <c r="K77" s="19"/>
      <c r="O77" s="18"/>
      <c r="P77" s="18"/>
      <c r="Q77" s="18"/>
    </row>
    <row r="78">
      <c r="A78" s="18"/>
      <c r="B78" s="18"/>
      <c r="C78" s="18"/>
      <c r="D78" s="18"/>
      <c r="E78" s="18"/>
      <c r="F78" s="18"/>
      <c r="G78" s="18"/>
      <c r="H78" s="18"/>
      <c r="I78" s="19"/>
      <c r="J78" s="19"/>
      <c r="K78" s="19"/>
      <c r="O78" s="18"/>
      <c r="P78" s="18"/>
      <c r="Q78" s="18"/>
    </row>
    <row r="79">
      <c r="A79" s="18"/>
      <c r="B79" s="18"/>
      <c r="C79" s="18"/>
      <c r="D79" s="18"/>
      <c r="E79" s="18"/>
      <c r="F79" s="18"/>
      <c r="G79" s="18"/>
      <c r="H79" s="18"/>
      <c r="I79" s="19"/>
      <c r="J79" s="19"/>
      <c r="K79" s="19"/>
      <c r="O79" s="18"/>
      <c r="P79" s="18"/>
      <c r="Q79" s="18"/>
    </row>
    <row r="80">
      <c r="A80" s="18"/>
      <c r="B80" s="18"/>
      <c r="C80" s="18"/>
      <c r="D80" s="18"/>
      <c r="E80" s="18"/>
      <c r="F80" s="18"/>
      <c r="G80" s="18"/>
      <c r="H80" s="18"/>
      <c r="I80" s="19"/>
      <c r="J80" s="19"/>
      <c r="K80" s="19"/>
      <c r="O80" s="18"/>
      <c r="P80" s="18"/>
      <c r="Q80" s="18"/>
    </row>
    <row r="81">
      <c r="A81" s="18"/>
      <c r="B81" s="18"/>
      <c r="C81" s="18"/>
      <c r="D81" s="18"/>
      <c r="E81" s="18"/>
      <c r="F81" s="18"/>
      <c r="G81" s="18"/>
      <c r="H81" s="18"/>
      <c r="I81" s="19"/>
      <c r="J81" s="19"/>
      <c r="K81" s="19"/>
      <c r="O81" s="18"/>
      <c r="P81" s="18"/>
      <c r="Q81" s="18"/>
    </row>
    <row r="82">
      <c r="A82" s="18"/>
      <c r="B82" s="18"/>
      <c r="C82" s="18"/>
      <c r="D82" s="18"/>
      <c r="E82" s="18"/>
      <c r="F82" s="18"/>
      <c r="G82" s="18"/>
      <c r="H82" s="18"/>
      <c r="I82" s="19"/>
      <c r="J82" s="19"/>
      <c r="K82" s="19"/>
      <c r="O82" s="18"/>
      <c r="P82" s="18"/>
      <c r="Q82" s="18"/>
    </row>
    <row r="83">
      <c r="A83" s="18"/>
      <c r="B83" s="18"/>
      <c r="C83" s="18"/>
      <c r="D83" s="18"/>
      <c r="E83" s="18"/>
      <c r="F83" s="18"/>
      <c r="G83" s="18"/>
      <c r="H83" s="18"/>
      <c r="I83" s="19"/>
      <c r="J83" s="19"/>
      <c r="K83" s="19"/>
      <c r="O83" s="18"/>
      <c r="P83" s="18"/>
      <c r="Q83" s="18"/>
    </row>
    <row r="84">
      <c r="A84" s="18"/>
      <c r="B84" s="18"/>
      <c r="C84" s="18"/>
      <c r="D84" s="18"/>
      <c r="E84" s="18"/>
      <c r="F84" s="18"/>
      <c r="G84" s="18"/>
      <c r="H84" s="18"/>
      <c r="I84" s="19"/>
      <c r="J84" s="19"/>
      <c r="K84" s="19"/>
      <c r="O84" s="18"/>
      <c r="P84" s="18"/>
      <c r="Q84" s="18"/>
    </row>
    <row r="85">
      <c r="A85" s="18"/>
      <c r="B85" s="18"/>
      <c r="C85" s="18"/>
      <c r="D85" s="18"/>
      <c r="E85" s="18"/>
      <c r="F85" s="18"/>
      <c r="G85" s="18"/>
      <c r="H85" s="18"/>
      <c r="I85" s="19"/>
      <c r="J85" s="19"/>
      <c r="K85" s="19"/>
      <c r="O85" s="18"/>
      <c r="P85" s="18"/>
      <c r="Q85" s="18"/>
    </row>
    <row r="86">
      <c r="A86" s="18"/>
      <c r="B86" s="18"/>
      <c r="C86" s="18"/>
      <c r="D86" s="18"/>
      <c r="E86" s="18"/>
      <c r="F86" s="18"/>
      <c r="G86" s="18"/>
      <c r="H86" s="18"/>
      <c r="I86" s="19"/>
      <c r="J86" s="19"/>
      <c r="K86" s="19"/>
      <c r="O86" s="18"/>
      <c r="P86" s="18"/>
      <c r="Q86" s="18"/>
    </row>
    <row r="87">
      <c r="A87" s="18"/>
      <c r="B87" s="18"/>
      <c r="C87" s="18"/>
      <c r="D87" s="18"/>
      <c r="E87" s="18"/>
      <c r="F87" s="18"/>
      <c r="G87" s="18"/>
      <c r="H87" s="18"/>
      <c r="I87" s="19"/>
      <c r="J87" s="19"/>
      <c r="K87" s="19"/>
      <c r="O87" s="18"/>
      <c r="P87" s="18"/>
      <c r="Q87" s="18"/>
    </row>
    <row r="88">
      <c r="A88" s="18"/>
      <c r="B88" s="18"/>
      <c r="C88" s="18"/>
      <c r="D88" s="18"/>
      <c r="E88" s="18"/>
      <c r="F88" s="18"/>
      <c r="G88" s="18"/>
      <c r="H88" s="18"/>
      <c r="I88" s="19"/>
      <c r="J88" s="19"/>
      <c r="K88" s="19"/>
      <c r="O88" s="18"/>
      <c r="P88" s="18"/>
      <c r="Q88" s="18"/>
    </row>
    <row r="89">
      <c r="A89" s="18"/>
      <c r="B89" s="18"/>
      <c r="C89" s="18"/>
      <c r="D89" s="18"/>
      <c r="E89" s="18"/>
      <c r="F89" s="18"/>
      <c r="G89" s="18"/>
      <c r="H89" s="18"/>
      <c r="I89" s="19"/>
      <c r="J89" s="19"/>
      <c r="K89" s="19"/>
      <c r="O89" s="18"/>
      <c r="P89" s="18"/>
      <c r="Q89" s="18"/>
    </row>
    <row r="90">
      <c r="A90" s="18"/>
      <c r="B90" s="18"/>
      <c r="C90" s="18"/>
      <c r="D90" s="18"/>
      <c r="E90" s="18"/>
      <c r="F90" s="18"/>
      <c r="G90" s="18"/>
      <c r="H90" s="18"/>
      <c r="I90" s="19"/>
      <c r="J90" s="19"/>
      <c r="K90" s="19"/>
      <c r="O90" s="18"/>
      <c r="P90" s="18"/>
      <c r="Q90" s="18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88"/>
    <col customWidth="1" min="2" max="2" width="12.63"/>
    <col customWidth="1" min="3" max="3" width="8.0"/>
    <col customWidth="1" min="4" max="4" width="14.0"/>
    <col customWidth="1" min="5" max="5" width="10.5"/>
    <col customWidth="1" min="9" max="9" width="11.88"/>
    <col customWidth="1" min="10" max="10" width="7.13"/>
    <col customWidth="1" min="11" max="11" width="9.75"/>
    <col customWidth="1" min="12" max="12" width="6.0"/>
    <col customWidth="1" min="13" max="13" width="7.63"/>
    <col customWidth="1" min="14" max="14" width="9.13"/>
    <col customWidth="1" min="15" max="15" width="11.25"/>
    <col customWidth="1" min="16" max="16" width="9.75"/>
    <col customWidth="1" min="17" max="17" width="10.13"/>
    <col customWidth="1" min="18" max="18" width="11.5"/>
    <col customWidth="1" hidden="1" min="19" max="19" width="17.88"/>
    <col customWidth="1" hidden="1" min="20" max="20" width="20.0"/>
    <col customWidth="1" hidden="1" min="21" max="21" width="16.5"/>
    <col customWidth="1" hidden="1" min="22" max="22" width="24.38"/>
    <col customWidth="1" hidden="1" min="23" max="23" width="19.5"/>
    <col customWidth="1" hidden="1" min="24" max="24" width="15.0"/>
    <col customWidth="1" min="25" max="25" width="79.88"/>
  </cols>
  <sheetData>
    <row r="1">
      <c r="A1" s="28" t="str">
        <f>IFERROR(__xludf.DUMMYFUNCTION("IMPORTRANGE(""https://docs.google.com/spreadsheets/d/13fYxFebXtxNn_D_3MCocKQ0TNDUGI3oe20PQCwwHVIY/edit#gid=0"",""Saudi!A:Y"")"),"No.")</f>
        <v>No.</v>
      </c>
      <c r="B1" s="28" t="str">
        <f>IFERROR(__xludf.DUMMYFUNCTION("""COMPUTED_VALUE"""),"Facility Code")</f>
        <v>Facility Code</v>
      </c>
      <c r="C1" s="28" t="str">
        <f>IFERROR(__xludf.DUMMYFUNCTION("""COMPUTED_VALUE"""),"UR sheet")</f>
        <v>UR sheet</v>
      </c>
      <c r="D1" s="28" t="str">
        <f>IFERROR(__xludf.DUMMYFUNCTION("""COMPUTED_VALUE"""),"Facility name")</f>
        <v>Facility name</v>
      </c>
      <c r="E1" s="28" t="str">
        <f>IFERROR(__xludf.DUMMYFUNCTION("""COMPUTED_VALUE"""),"Kitchens")</f>
        <v>Kitchens</v>
      </c>
      <c r="F1" s="28" t="str">
        <f>IFERROR(__xludf.DUMMYFUNCTION("""COMPUTED_VALUE"""),"Partial Go Live Date")</f>
        <v>Partial Go Live Date</v>
      </c>
      <c r="G1" s="28" t="str">
        <f>IFERROR(__xludf.DUMMYFUNCTION("""COMPUTED_VALUE"""),"Full Go Live Date")</f>
        <v>Full Go Live Date</v>
      </c>
      <c r="H1" s="28" t="str">
        <f>IFERROR(__xludf.DUMMYFUNCTION("""COMPUTED_VALUE"""),"Status")</f>
        <v>Status</v>
      </c>
      <c r="I1" s="28" t="str">
        <f>IFERROR(__xludf.DUMMYFUNCTION("""COMPUTED_VALUE"""),"Location")</f>
        <v>Location</v>
      </c>
      <c r="J1" s="28" t="str">
        <f>IFERROR(__xludf.DUMMYFUNCTION("""COMPUTED_VALUE"""),"Layout")</f>
        <v>Layout</v>
      </c>
      <c r="K1" s="28" t="str">
        <f>IFERROR(__xludf.DUMMYFUNCTION("""COMPUTED_VALUE"""),"LODs")</f>
        <v>LODs</v>
      </c>
      <c r="L1" s="28" t="str">
        <f>IFERROR(__xludf.DUMMYFUNCTION("""COMPUTED_VALUE"""),"SF Update")</f>
        <v>SF Update</v>
      </c>
      <c r="M1" s="28" t="str">
        <f>IFERROR(__xludf.DUMMYFUNCTION("""COMPUTED_VALUE"""),"Retail Space")</f>
        <v>Retail Space</v>
      </c>
      <c r="N1" s="28" t="str">
        <f>IFERROR(__xludf.DUMMYFUNCTION("""COMPUTED_VALUE"""),"Address")</f>
        <v>Address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>
      <c r="A2" s="10">
        <f>IFERROR(__xludf.DUMMYFUNCTION("""COMPUTED_VALUE"""),1.0)</f>
        <v>1</v>
      </c>
      <c r="B2" s="10" t="str">
        <f>IFERROR(__xludf.DUMMYFUNCTION("""COMPUTED_VALUE"""),"SA - RUH - Qurtoba")</f>
        <v>SA - RUH - Qurtoba</v>
      </c>
      <c r="C2" s="29" t="str">
        <f>IFERROR(__xludf.DUMMYFUNCTION("""COMPUTED_VALUE"""),"Link")</f>
        <v>Link</v>
      </c>
      <c r="D2" s="10" t="str">
        <f>IFERROR(__xludf.DUMMYFUNCTION("""COMPUTED_VALUE"""),"Qurtoba")</f>
        <v>Qurtoba</v>
      </c>
      <c r="E2" s="10">
        <f>IFERROR(__xludf.DUMMYFUNCTION("""COMPUTED_VALUE"""),52.0)</f>
        <v>52</v>
      </c>
      <c r="F2" s="30" t="str">
        <f>IFERROR(__xludf.DUMMYFUNCTION("""COMPUTED_VALUE"""),"-")</f>
        <v>-</v>
      </c>
      <c r="G2" s="30">
        <f>IFERROR(__xludf.DUMMYFUNCTION("""COMPUTED_VALUE"""),44090.0)</f>
        <v>44090</v>
      </c>
      <c r="H2" s="10" t="str">
        <f>IFERROR(__xludf.DUMMYFUNCTION("""COMPUTED_VALUE"""),"Live")</f>
        <v>Live</v>
      </c>
      <c r="I2" s="31" t="str">
        <f>IFERROR(__xludf.DUMMYFUNCTION("""COMPUTED_VALUE"""),"Link")</f>
        <v>Link</v>
      </c>
      <c r="J2" s="29" t="str">
        <f>IFERROR(__xludf.DUMMYFUNCTION("""COMPUTED_VALUE"""),"Link")</f>
        <v>Link</v>
      </c>
      <c r="K2" s="29" t="str">
        <f>IFERROR(__xludf.DUMMYFUNCTION("""COMPUTED_VALUE"""),"Link")</f>
        <v>Link</v>
      </c>
      <c r="L2" s="10" t="b">
        <f>IFERROR(__xludf.DUMMYFUNCTION("""COMPUTED_VALUE"""),TRUE)</f>
        <v>1</v>
      </c>
      <c r="M2" s="10" t="b">
        <f>IFERROR(__xludf.DUMMYFUNCTION("""COMPUTED_VALUE"""),FALSE)</f>
        <v>0</v>
      </c>
      <c r="N2" s="29" t="str">
        <f>IFERROR(__xludf.DUMMYFUNCTION("""COMPUTED_VALUE"""),"RPCJ+54 Qurtubah, Riyadh Saudi Arabia")</f>
        <v>RPCJ+54 Qurtubah, Riyadh Saudi Arabia</v>
      </c>
      <c r="O2" s="10"/>
    </row>
    <row r="3">
      <c r="A3" s="10">
        <f>IFERROR(__xludf.DUMMYFUNCTION("""COMPUTED_VALUE"""),2.0)</f>
        <v>2</v>
      </c>
      <c r="B3" s="10" t="str">
        <f>IFERROR(__xludf.DUMMYFUNCTION("""COMPUTED_VALUE"""),"SA - RUH - Wadi")</f>
        <v>SA - RUH - Wadi</v>
      </c>
      <c r="C3" s="29" t="str">
        <f>IFERROR(__xludf.DUMMYFUNCTION("""COMPUTED_VALUE"""),"Link")</f>
        <v>Link</v>
      </c>
      <c r="D3" s="10" t="str">
        <f>IFERROR(__xludf.DUMMYFUNCTION("""COMPUTED_VALUE"""),"Wadi")</f>
        <v>Wadi</v>
      </c>
      <c r="E3" s="10">
        <f>IFERROR(__xludf.DUMMYFUNCTION("""COMPUTED_VALUE"""),56.0)</f>
        <v>56</v>
      </c>
      <c r="F3" s="30" t="str">
        <f>IFERROR(__xludf.DUMMYFUNCTION("""COMPUTED_VALUE"""),"-")</f>
        <v>-</v>
      </c>
      <c r="G3" s="30">
        <f>IFERROR(__xludf.DUMMYFUNCTION("""COMPUTED_VALUE"""),44130.0)</f>
        <v>44130</v>
      </c>
      <c r="H3" s="10" t="str">
        <f>IFERROR(__xludf.DUMMYFUNCTION("""COMPUTED_VALUE"""),"Live")</f>
        <v>Live</v>
      </c>
      <c r="I3" s="31" t="str">
        <f>IFERROR(__xludf.DUMMYFUNCTION("""COMPUTED_VALUE"""),"Link")</f>
        <v>Link</v>
      </c>
      <c r="J3" s="29" t="str">
        <f>IFERROR(__xludf.DUMMYFUNCTION("""COMPUTED_VALUE"""),"Link")</f>
        <v>Link</v>
      </c>
      <c r="K3" s="29" t="str">
        <f>IFERROR(__xludf.DUMMYFUNCTION("""COMPUTED_VALUE"""),"Link")</f>
        <v>Link</v>
      </c>
      <c r="L3" s="10" t="b">
        <f>IFERROR(__xludf.DUMMYFUNCTION("""COMPUTED_VALUE"""),TRUE)</f>
        <v>1</v>
      </c>
      <c r="M3" s="32" t="b">
        <f>IFERROR(__xludf.DUMMYFUNCTION("""COMPUTED_VALUE"""),FALSE)</f>
        <v>0</v>
      </c>
      <c r="N3" s="33" t="str">
        <f>IFERROR(__xludf.DUMMYFUNCTION("""COMPUTED_VALUE"""),"QMPJ+XR Al Wadi, Riyadh Saudi Arabia")</f>
        <v>QMPJ+XR Al Wadi, Riyadh Saudi Arabia</v>
      </c>
      <c r="O3" s="32"/>
      <c r="P3" s="32"/>
    </row>
    <row r="4">
      <c r="A4" s="10">
        <f>IFERROR(__xludf.DUMMYFUNCTION("""COMPUTED_VALUE"""),3.0)</f>
        <v>3</v>
      </c>
      <c r="B4" s="10" t="str">
        <f>IFERROR(__xludf.DUMMYFUNCTION("""COMPUTED_VALUE"""),"SA - RUH - Olaya")</f>
        <v>SA - RUH - Olaya</v>
      </c>
      <c r="C4" s="29" t="str">
        <f>IFERROR(__xludf.DUMMYFUNCTION("""COMPUTED_VALUE"""),"Link")</f>
        <v>Link</v>
      </c>
      <c r="D4" s="34" t="str">
        <f>IFERROR(__xludf.DUMMYFUNCTION("""COMPUTED_VALUE"""),"Olaya")</f>
        <v>Olaya</v>
      </c>
      <c r="E4" s="10">
        <f>IFERROR(__xludf.DUMMYFUNCTION("""COMPUTED_VALUE"""),22.0)</f>
        <v>22</v>
      </c>
      <c r="F4" s="30" t="str">
        <f>IFERROR(__xludf.DUMMYFUNCTION("""COMPUTED_VALUE"""),"-")</f>
        <v>-</v>
      </c>
      <c r="G4" s="30">
        <f>IFERROR(__xludf.DUMMYFUNCTION("""COMPUTED_VALUE"""),44168.0)</f>
        <v>44168</v>
      </c>
      <c r="H4" s="10" t="str">
        <f>IFERROR(__xludf.DUMMYFUNCTION("""COMPUTED_VALUE"""),"Live")</f>
        <v>Live</v>
      </c>
      <c r="I4" s="31" t="str">
        <f>IFERROR(__xludf.DUMMYFUNCTION("""COMPUTED_VALUE"""),"Link")</f>
        <v>Link</v>
      </c>
      <c r="J4" s="29" t="str">
        <f>IFERROR(__xludf.DUMMYFUNCTION("""COMPUTED_VALUE"""),"Link")</f>
        <v>Link</v>
      </c>
      <c r="K4" s="29" t="str">
        <f>IFERROR(__xludf.DUMMYFUNCTION("""COMPUTED_VALUE"""),"Link")</f>
        <v>Link</v>
      </c>
      <c r="L4" s="10" t="b">
        <f>IFERROR(__xludf.DUMMYFUNCTION("""COMPUTED_VALUE"""),TRUE)</f>
        <v>1</v>
      </c>
      <c r="M4" s="10" t="b">
        <f>IFERROR(__xludf.DUMMYFUNCTION("""COMPUTED_VALUE"""),FALSE)</f>
        <v>0</v>
      </c>
      <c r="N4" s="29" t="str">
        <f>IFERROR(__xludf.DUMMYFUNCTION("""COMPUTED_VALUE"""),"MMVW+54 Al Olaya, Riyadh Saudi Arabia")</f>
        <v>MMVW+54 Al Olaya, Riyadh Saudi Arabia</v>
      </c>
      <c r="O4" s="10"/>
    </row>
    <row r="5">
      <c r="A5" s="10">
        <f>IFERROR(__xludf.DUMMYFUNCTION("""COMPUTED_VALUE"""),4.0)</f>
        <v>4</v>
      </c>
      <c r="B5" s="10" t="str">
        <f>IFERROR(__xludf.DUMMYFUNCTION("""COMPUTED_VALUE"""),"SA - RUH - Dahrat Laban")</f>
        <v>SA - RUH - Dahrat Laban</v>
      </c>
      <c r="C5" s="29" t="str">
        <f>IFERROR(__xludf.DUMMYFUNCTION("""COMPUTED_VALUE"""),"Link")</f>
        <v>Link</v>
      </c>
      <c r="D5" s="10" t="str">
        <f>IFERROR(__xludf.DUMMYFUNCTION("""COMPUTED_VALUE"""),"Dahrat Laban")</f>
        <v>Dahrat Laban</v>
      </c>
      <c r="E5" s="10">
        <f>IFERROR(__xludf.DUMMYFUNCTION("""COMPUTED_VALUE"""),38.0)</f>
        <v>38</v>
      </c>
      <c r="F5" s="30" t="str">
        <f>IFERROR(__xludf.DUMMYFUNCTION("""COMPUTED_VALUE"""),"-")</f>
        <v>-</v>
      </c>
      <c r="G5" s="30">
        <f>IFERROR(__xludf.DUMMYFUNCTION("""COMPUTED_VALUE"""),44270.0)</f>
        <v>44270</v>
      </c>
      <c r="H5" s="10" t="str">
        <f>IFERROR(__xludf.DUMMYFUNCTION("""COMPUTED_VALUE"""),"Live")</f>
        <v>Live</v>
      </c>
      <c r="I5" s="31" t="str">
        <f>IFERROR(__xludf.DUMMYFUNCTION("""COMPUTED_VALUE"""),"Link")</f>
        <v>Link</v>
      </c>
      <c r="J5" s="29" t="str">
        <f>IFERROR(__xludf.DUMMYFUNCTION("""COMPUTED_VALUE"""),"Link")</f>
        <v>Link</v>
      </c>
      <c r="K5" s="29" t="str">
        <f>IFERROR(__xludf.DUMMYFUNCTION("""COMPUTED_VALUE"""),"Link")</f>
        <v>Link</v>
      </c>
      <c r="L5" s="10" t="b">
        <f>IFERROR(__xludf.DUMMYFUNCTION("""COMPUTED_VALUE"""),TRUE)</f>
        <v>1</v>
      </c>
      <c r="M5" s="10" t="b">
        <f>IFERROR(__xludf.DUMMYFUNCTION("""COMPUTED_VALUE"""),FALSE)</f>
        <v>0</v>
      </c>
      <c r="N5" s="29" t="str">
        <f>IFERROR(__xludf.DUMMYFUNCTION("""COMPUTED_VALUE"""),"3160-3062 Taif Street, Dhahrat Laban, Riyadh 12553, Saudi Arabia")</f>
        <v>3160-3062 Taif Street, Dhahrat Laban, Riyadh 12553, Saudi Arabia</v>
      </c>
      <c r="O5" s="10"/>
    </row>
    <row r="6">
      <c r="A6" s="10">
        <f>IFERROR(__xludf.DUMMYFUNCTION("""COMPUTED_VALUE"""),5.0)</f>
        <v>5</v>
      </c>
      <c r="B6" s="10" t="str">
        <f>IFERROR(__xludf.DUMMYFUNCTION("""COMPUTED_VALUE"""),"SA - RUH - Sweidi")</f>
        <v>SA - RUH - Sweidi</v>
      </c>
      <c r="C6" s="29" t="str">
        <f>IFERROR(__xludf.DUMMYFUNCTION("""COMPUTED_VALUE"""),"Link")</f>
        <v>Link</v>
      </c>
      <c r="D6" s="10" t="str">
        <f>IFERROR(__xludf.DUMMYFUNCTION("""COMPUTED_VALUE"""),"Suwaidi")</f>
        <v>Suwaidi</v>
      </c>
      <c r="E6" s="10">
        <f>IFERROR(__xludf.DUMMYFUNCTION("""COMPUTED_VALUE"""),25.0)</f>
        <v>25</v>
      </c>
      <c r="F6" s="30" t="str">
        <f>IFERROR(__xludf.DUMMYFUNCTION("""COMPUTED_VALUE"""),"-")</f>
        <v>-</v>
      </c>
      <c r="G6" s="30">
        <f>IFERROR(__xludf.DUMMYFUNCTION("""COMPUTED_VALUE"""),44356.0)</f>
        <v>44356</v>
      </c>
      <c r="H6" s="10" t="str">
        <f>IFERROR(__xludf.DUMMYFUNCTION("""COMPUTED_VALUE"""),"Live")</f>
        <v>Live</v>
      </c>
      <c r="I6" s="31" t="str">
        <f>IFERROR(__xludf.DUMMYFUNCTION("""COMPUTED_VALUE"""),"Link")</f>
        <v>Link</v>
      </c>
      <c r="J6" s="29" t="str">
        <f>IFERROR(__xludf.DUMMYFUNCTION("""COMPUTED_VALUE"""),"Link")</f>
        <v>Link</v>
      </c>
      <c r="K6" s="29" t="str">
        <f>IFERROR(__xludf.DUMMYFUNCTION("""COMPUTED_VALUE"""),"Link")</f>
        <v>Link</v>
      </c>
      <c r="L6" s="10" t="b">
        <f>IFERROR(__xludf.DUMMYFUNCTION("""COMPUTED_VALUE"""),TRUE)</f>
        <v>1</v>
      </c>
      <c r="M6" s="10" t="b">
        <f>IFERROR(__xludf.DUMMYFUNCTION("""COMPUTED_VALUE"""),FALSE)</f>
        <v>0</v>
      </c>
      <c r="N6" s="29" t="str">
        <f>IFERROR(__xludf.DUMMYFUNCTION("""COMPUTED_VALUE"""),"HMQC+J4H, As Suwaidi, Riyadh 12787, Saudi Arabia")</f>
        <v>HMQC+J4H, As Suwaidi, Riyadh 12787, Saudi Arabia</v>
      </c>
      <c r="O6" s="10"/>
    </row>
    <row r="7">
      <c r="A7" s="10">
        <f>IFERROR(__xludf.DUMMYFUNCTION("""COMPUTED_VALUE"""),6.0)</f>
        <v>6</v>
      </c>
      <c r="B7" s="10" t="str">
        <f>IFERROR(__xludf.DUMMYFUNCTION("""COMPUTED_VALUE"""),"SA - RUH - Malga (1)")</f>
        <v>SA - RUH - Malga (1)</v>
      </c>
      <c r="C7" s="29" t="str">
        <f>IFERROR(__xludf.DUMMYFUNCTION("""COMPUTED_VALUE"""),"Link")</f>
        <v>Link</v>
      </c>
      <c r="D7" s="10" t="str">
        <f>IFERROR(__xludf.DUMMYFUNCTION("""COMPUTED_VALUE"""),"Malga")</f>
        <v>Malga</v>
      </c>
      <c r="E7" s="10">
        <f>IFERROR(__xludf.DUMMYFUNCTION("""COMPUTED_VALUE"""),21.0)</f>
        <v>21</v>
      </c>
      <c r="F7" s="30" t="str">
        <f>IFERROR(__xludf.DUMMYFUNCTION("""COMPUTED_VALUE"""),"-")</f>
        <v>-</v>
      </c>
      <c r="G7" s="30">
        <f>IFERROR(__xludf.DUMMYFUNCTION("""COMPUTED_VALUE"""),44642.0)</f>
        <v>44642</v>
      </c>
      <c r="H7" s="10" t="str">
        <f>IFERROR(__xludf.DUMMYFUNCTION("""COMPUTED_VALUE"""),"Live")</f>
        <v>Live</v>
      </c>
      <c r="I7" s="31" t="str">
        <f>IFERROR(__xludf.DUMMYFUNCTION("""COMPUTED_VALUE"""),"Link")</f>
        <v>Link</v>
      </c>
      <c r="J7" s="29" t="str">
        <f>IFERROR(__xludf.DUMMYFUNCTION("""COMPUTED_VALUE"""),"Link")</f>
        <v>Link</v>
      </c>
      <c r="K7" s="29" t="str">
        <f>IFERROR(__xludf.DUMMYFUNCTION("""COMPUTED_VALUE"""),"Link")</f>
        <v>Link</v>
      </c>
      <c r="L7" s="10" t="b">
        <f>IFERROR(__xludf.DUMMYFUNCTION("""COMPUTED_VALUE"""),TRUE)</f>
        <v>1</v>
      </c>
      <c r="M7" s="10" t="b">
        <f>IFERROR(__xludf.DUMMYFUNCTION("""COMPUTED_VALUE"""),FALSE)</f>
        <v>0</v>
      </c>
      <c r="N7" s="29" t="str">
        <f>IFERROR(__xludf.DUMMYFUNCTION("""COMPUTED_VALUE"""),"4050 Nawar Valley, حي الملقا، Riyadh 13521 7813, Saudi Arabia")</f>
        <v>4050 Nawar Valley, حي الملقا، Riyadh 13521 7813, Saudi Arabia</v>
      </c>
      <c r="O7" s="10"/>
    </row>
    <row r="8">
      <c r="A8" s="10">
        <f>IFERROR(__xludf.DUMMYFUNCTION("""COMPUTED_VALUE"""),7.0)</f>
        <v>7</v>
      </c>
      <c r="B8" s="10" t="str">
        <f>IFERROR(__xludf.DUMMYFUNCTION("""COMPUTED_VALUE"""),"SA - RUH - Khaleej")</f>
        <v>SA - RUH - Khaleej</v>
      </c>
      <c r="C8" s="29" t="str">
        <f>IFERROR(__xludf.DUMMYFUNCTION("""COMPUTED_VALUE"""),"Link")</f>
        <v>Link</v>
      </c>
      <c r="D8" s="34" t="str">
        <f>IFERROR(__xludf.DUMMYFUNCTION("""COMPUTED_VALUE"""),"Khaleej")</f>
        <v>Khaleej</v>
      </c>
      <c r="E8" s="10">
        <f>IFERROR(__xludf.DUMMYFUNCTION("""COMPUTED_VALUE"""),35.0)</f>
        <v>35</v>
      </c>
      <c r="F8" s="30" t="str">
        <f>IFERROR(__xludf.DUMMYFUNCTION("""COMPUTED_VALUE"""),"-")</f>
        <v>-</v>
      </c>
      <c r="G8" s="30">
        <f>IFERROR(__xludf.DUMMYFUNCTION("""COMPUTED_VALUE"""),44805.0)</f>
        <v>44805</v>
      </c>
      <c r="H8" s="10" t="str">
        <f>IFERROR(__xludf.DUMMYFUNCTION("""COMPUTED_VALUE"""),"Live")</f>
        <v>Live</v>
      </c>
      <c r="I8" s="31" t="str">
        <f>IFERROR(__xludf.DUMMYFUNCTION("""COMPUTED_VALUE"""),"Link")</f>
        <v>Link</v>
      </c>
      <c r="J8" s="29" t="str">
        <f>IFERROR(__xludf.DUMMYFUNCTION("""COMPUTED_VALUE"""),"Link")</f>
        <v>Link</v>
      </c>
      <c r="K8" s="29" t="str">
        <f>IFERROR(__xludf.DUMMYFUNCTION("""COMPUTED_VALUE"""),"Link")</f>
        <v>Link</v>
      </c>
      <c r="L8" s="10" t="b">
        <f>IFERROR(__xludf.DUMMYFUNCTION("""COMPUTED_VALUE"""),TRUE)</f>
        <v>1</v>
      </c>
      <c r="M8" s="10" t="b">
        <f>IFERROR(__xludf.DUMMYFUNCTION("""COMPUTED_VALUE"""),FALSE)</f>
        <v>0</v>
      </c>
      <c r="N8" s="29" t="str">
        <f>IFERROR(__xludf.DUMMYFUNCTION("""COMPUTED_VALUE"""),"RFKD3260, 3260 Shaikh Abdulaziz Ibn Abdulrahman Ibn Bishr, 8177، حي الخليج، Riyadh 13223, Saudi Arabia")</f>
        <v>RFKD3260, 3260 Shaikh Abdulaziz Ibn Abdulrahman Ibn Bishr, 8177، حي الخليج، Riyadh 13223, Saudi Arabia</v>
      </c>
      <c r="O8" s="10"/>
    </row>
    <row r="9">
      <c r="A9" s="10">
        <f>IFERROR(__xludf.DUMMYFUNCTION("""COMPUTED_VALUE"""),8.0)</f>
        <v>8</v>
      </c>
      <c r="B9" s="10" t="str">
        <f>IFERROR(__xludf.DUMMYFUNCTION("""COMPUTED_VALUE"""),"SA - KBR - Aqrabiya")</f>
        <v>SA - KBR - Aqrabiya</v>
      </c>
      <c r="C9" s="29" t="str">
        <f>IFERROR(__xludf.DUMMYFUNCTION("""COMPUTED_VALUE"""),"Link")</f>
        <v>Link</v>
      </c>
      <c r="D9" s="10" t="str">
        <f>IFERROR(__xludf.DUMMYFUNCTION("""COMPUTED_VALUE"""),"Aqrabiya")</f>
        <v>Aqrabiya</v>
      </c>
      <c r="E9" s="10">
        <f>IFERROR(__xludf.DUMMYFUNCTION("""COMPUTED_VALUE"""),30.0)</f>
        <v>30</v>
      </c>
      <c r="F9" s="30" t="str">
        <f>IFERROR(__xludf.DUMMYFUNCTION("""COMPUTED_VALUE"""),"-")</f>
        <v>-</v>
      </c>
      <c r="G9" s="30">
        <f>IFERROR(__xludf.DUMMYFUNCTION("""COMPUTED_VALUE"""),44788.0)</f>
        <v>44788</v>
      </c>
      <c r="H9" s="10" t="str">
        <f>IFERROR(__xludf.DUMMYFUNCTION("""COMPUTED_VALUE"""),"Live")</f>
        <v>Live</v>
      </c>
      <c r="I9" s="31" t="str">
        <f>IFERROR(__xludf.DUMMYFUNCTION("""COMPUTED_VALUE"""),"Link")</f>
        <v>Link</v>
      </c>
      <c r="J9" s="29" t="str">
        <f>IFERROR(__xludf.DUMMYFUNCTION("""COMPUTED_VALUE"""),"Link")</f>
        <v>Link</v>
      </c>
      <c r="K9" s="29" t="str">
        <f>IFERROR(__xludf.DUMMYFUNCTION("""COMPUTED_VALUE"""),"Link")</f>
        <v>Link</v>
      </c>
      <c r="L9" s="10" t="b">
        <f>IFERROR(__xludf.DUMMYFUNCTION("""COMPUTED_VALUE"""),TRUE)</f>
        <v>1</v>
      </c>
      <c r="M9" s="10" t="b">
        <f>IFERROR(__xludf.DUMMYFUNCTION("""COMPUTED_VALUE"""),FALSE)</f>
        <v>0</v>
      </c>
      <c r="N9" s="29" t="str">
        <f>IFERROR(__xludf.DUMMYFUNCTION("""COMPUTED_VALUE"""),"EKJC7086, 7086 Al Abrar, 3473، حي العقربية،, Al Khobar 34446, Saudi Arabia")</f>
        <v>EKJC7086, 7086 Al Abrar, 3473، حي العقربية،, Al Khobar 34446, Saudi Arabia</v>
      </c>
      <c r="O9" s="10"/>
    </row>
    <row r="10">
      <c r="A10" s="10">
        <f>IFERROR(__xludf.DUMMYFUNCTION("""COMPUTED_VALUE"""),9.0)</f>
        <v>9</v>
      </c>
      <c r="B10" s="10" t="str">
        <f>IFERROR(__xludf.DUMMYFUNCTION("""COMPUTED_VALUE"""),"SA - JED - Nahda")</f>
        <v>SA - JED - Nahda</v>
      </c>
      <c r="C10" s="29" t="str">
        <f>IFERROR(__xludf.DUMMYFUNCTION("""COMPUTED_VALUE"""),"Link")</f>
        <v>Link</v>
      </c>
      <c r="D10" s="34" t="str">
        <f>IFERROR(__xludf.DUMMYFUNCTION("""COMPUTED_VALUE"""),"Nahda")</f>
        <v>Nahda</v>
      </c>
      <c r="E10" s="10">
        <f>IFERROR(__xludf.DUMMYFUNCTION("""COMPUTED_VALUE"""),29.0)</f>
        <v>29</v>
      </c>
      <c r="F10" s="30" t="str">
        <f>IFERROR(__xludf.DUMMYFUNCTION("""COMPUTED_VALUE"""),"-")</f>
        <v>-</v>
      </c>
      <c r="G10" s="30">
        <f>IFERROR(__xludf.DUMMYFUNCTION("""COMPUTED_VALUE"""),46035.0)</f>
        <v>46035</v>
      </c>
      <c r="H10" s="10" t="str">
        <f>IFERROR(__xludf.DUMMYFUNCTION("""COMPUTED_VALUE"""),"Live")</f>
        <v>Live</v>
      </c>
      <c r="I10" s="31" t="str">
        <f>IFERROR(__xludf.DUMMYFUNCTION("""COMPUTED_VALUE"""),"Link")</f>
        <v>Link</v>
      </c>
      <c r="J10" s="29" t="str">
        <f>IFERROR(__xludf.DUMMYFUNCTION("""COMPUTED_VALUE"""),"Link")</f>
        <v>Link</v>
      </c>
      <c r="K10" s="29" t="str">
        <f>IFERROR(__xludf.DUMMYFUNCTION("""COMPUTED_VALUE"""),"Link")</f>
        <v>Link</v>
      </c>
      <c r="L10" s="10" t="b">
        <f>IFERROR(__xludf.DUMMYFUNCTION("""COMPUTED_VALUE"""),TRUE)</f>
        <v>1</v>
      </c>
      <c r="M10" s="10" t="b">
        <f>IFERROR(__xludf.DUMMYFUNCTION("""COMPUTED_VALUE"""),FALSE)</f>
        <v>0</v>
      </c>
      <c r="N10" s="29" t="str">
        <f>IFERROR(__xludf.DUMMYFUNCTION("""COMPUTED_VALUE"""),"At Tasni, An Nahdah, Jeddah 23523")</f>
        <v>At Tasni, An Nahdah, Jeddah 23523</v>
      </c>
      <c r="O10" s="10"/>
    </row>
    <row r="11">
      <c r="A11" s="10">
        <f>IFERROR(__xludf.DUMMYFUNCTION("""COMPUTED_VALUE"""),10.0)</f>
        <v>10</v>
      </c>
      <c r="B11" s="10" t="str">
        <f>IFERROR(__xludf.DUMMYFUNCTION("""COMPUTED_VALUE"""),"SA - JED - Safa")</f>
        <v>SA - JED - Safa</v>
      </c>
      <c r="C11" s="29" t="str">
        <f>IFERROR(__xludf.DUMMYFUNCTION("""COMPUTED_VALUE"""),"Link")</f>
        <v>Link</v>
      </c>
      <c r="D11" s="10" t="str">
        <f>IFERROR(__xludf.DUMMYFUNCTION("""COMPUTED_VALUE"""),"Safa")</f>
        <v>Safa</v>
      </c>
      <c r="E11" s="10">
        <f>IFERROR(__xludf.DUMMYFUNCTION("""COMPUTED_VALUE"""),29.0)</f>
        <v>29</v>
      </c>
      <c r="F11" s="30" t="str">
        <f>IFERROR(__xludf.DUMMYFUNCTION("""COMPUTED_VALUE"""),"-")</f>
        <v>-</v>
      </c>
      <c r="G11" s="30">
        <f>IFERROR(__xludf.DUMMYFUNCTION("""COMPUTED_VALUE"""),45446.0)</f>
        <v>45446</v>
      </c>
      <c r="H11" s="10" t="str">
        <f>IFERROR(__xludf.DUMMYFUNCTION("""COMPUTED_VALUE"""),"Live")</f>
        <v>Live</v>
      </c>
      <c r="I11" s="31" t="str">
        <f>IFERROR(__xludf.DUMMYFUNCTION("""COMPUTED_VALUE"""),"Link")</f>
        <v>Link</v>
      </c>
      <c r="J11" s="10" t="str">
        <f>IFERROR(__xludf.DUMMYFUNCTION("""COMPUTED_VALUE"""),"Link")</f>
        <v>Link</v>
      </c>
      <c r="K11" s="10" t="str">
        <f>IFERROR(__xludf.DUMMYFUNCTION("""COMPUTED_VALUE"""),"Link")</f>
        <v>Link</v>
      </c>
      <c r="L11" s="10" t="b">
        <f>IFERROR(__xludf.DUMMYFUNCTION("""COMPUTED_VALUE"""),TRUE)</f>
        <v>1</v>
      </c>
      <c r="M11" s="10" t="b">
        <f>IFERROR(__xludf.DUMMYFUNCTION("""COMPUTED_VALUE"""),FALSE)</f>
        <v>0</v>
      </c>
      <c r="N11" s="35" t="str">
        <f>IFERROR(__xludf.DUMMYFUNCTION("""COMPUTED_VALUE"""),"Prince Abdallah Al Sharbatli, Al-Safa, Jeddah 23455, Saudi Arabia")</f>
        <v>Prince Abdallah Al Sharbatli, Al-Safa, Jeddah 23455, Saudi Arabia</v>
      </c>
      <c r="O11" s="10"/>
    </row>
    <row r="12">
      <c r="A12" s="10">
        <f>IFERROR(__xludf.DUMMYFUNCTION("""COMPUTED_VALUE"""),11.0)</f>
        <v>11</v>
      </c>
      <c r="B12" s="10" t="str">
        <f>IFERROR(__xludf.DUMMYFUNCTION("""COMPUTED_VALUE"""),"SA - DMM - Zuhur")</f>
        <v>SA - DMM - Zuhur</v>
      </c>
      <c r="C12" s="29" t="str">
        <f>IFERROR(__xludf.DUMMYFUNCTION("""COMPUTED_VALUE"""),"Link")</f>
        <v>Link</v>
      </c>
      <c r="D12" s="10" t="str">
        <f>IFERROR(__xludf.DUMMYFUNCTION("""COMPUTED_VALUE"""),"Zuhur")</f>
        <v>Zuhur</v>
      </c>
      <c r="E12" s="10">
        <f>IFERROR(__xludf.DUMMYFUNCTION("""COMPUTED_VALUE"""),24.0)</f>
        <v>24</v>
      </c>
      <c r="F12" s="30" t="str">
        <f>IFERROR(__xludf.DUMMYFUNCTION("""COMPUTED_VALUE"""),"-")</f>
        <v>-</v>
      </c>
      <c r="G12" s="30">
        <f>IFERROR(__xludf.DUMMYFUNCTION("""COMPUTED_VALUE"""),45170.0)</f>
        <v>45170</v>
      </c>
      <c r="H12" s="10" t="str">
        <f>IFERROR(__xludf.DUMMYFUNCTION("""COMPUTED_VALUE"""),"Live")</f>
        <v>Live</v>
      </c>
      <c r="I12" s="31" t="str">
        <f>IFERROR(__xludf.DUMMYFUNCTION("""COMPUTED_VALUE"""),"Link")</f>
        <v>Link</v>
      </c>
      <c r="J12" s="29" t="str">
        <f>IFERROR(__xludf.DUMMYFUNCTION("""COMPUTED_VALUE"""),"Link")</f>
        <v>Link</v>
      </c>
      <c r="K12" s="29" t="str">
        <f>IFERROR(__xludf.DUMMYFUNCTION("""COMPUTED_VALUE"""),"Link")</f>
        <v>Link</v>
      </c>
      <c r="L12" s="10" t="b">
        <f>IFERROR(__xludf.DUMMYFUNCTION("""COMPUTED_VALUE"""),TRUE)</f>
        <v>1</v>
      </c>
      <c r="M12" s="10" t="b">
        <f>IFERROR(__xludf.DUMMYFUNCTION("""COMPUTED_VALUE"""),FALSE)</f>
        <v>0</v>
      </c>
      <c r="N12" s="35" t="str">
        <f>IFERROR(__xludf.DUMMYFUNCTION("""COMPUTED_VALUE"""),"F33R+PX Dammam")</f>
        <v>F33R+PX Dammam</v>
      </c>
      <c r="O12" s="10"/>
    </row>
    <row r="13">
      <c r="A13" s="10">
        <f>IFERROR(__xludf.DUMMYFUNCTION("""COMPUTED_VALUE"""),12.0)</f>
        <v>12</v>
      </c>
      <c r="B13" s="10" t="str">
        <f>IFERROR(__xludf.DUMMYFUNCTION("""COMPUTED_VALUE"""),"SA - RUH - Aqiq")</f>
        <v>SA - RUH - Aqiq</v>
      </c>
      <c r="C13" s="29" t="str">
        <f>IFERROR(__xludf.DUMMYFUNCTION("""COMPUTED_VALUE"""),"Link")</f>
        <v>Link</v>
      </c>
      <c r="D13" s="10" t="str">
        <f>IFERROR(__xludf.DUMMYFUNCTION("""COMPUTED_VALUE"""),"Aqiq")</f>
        <v>Aqiq</v>
      </c>
      <c r="E13" s="10">
        <f>IFERROR(__xludf.DUMMYFUNCTION("""COMPUTED_VALUE"""),21.0)</f>
        <v>21</v>
      </c>
      <c r="F13" s="30" t="str">
        <f>IFERROR(__xludf.DUMMYFUNCTION("""COMPUTED_VALUE"""),"-")</f>
        <v>-</v>
      </c>
      <c r="G13" s="30">
        <f>IFERROR(__xludf.DUMMYFUNCTION("""COMPUTED_VALUE"""),44910.0)</f>
        <v>44910</v>
      </c>
      <c r="H13" s="10" t="str">
        <f>IFERROR(__xludf.DUMMYFUNCTION("""COMPUTED_VALUE"""),"Live")</f>
        <v>Live</v>
      </c>
      <c r="I13" s="31" t="str">
        <f>IFERROR(__xludf.DUMMYFUNCTION("""COMPUTED_VALUE"""),"Link")</f>
        <v>Link</v>
      </c>
      <c r="J13" s="29" t="str">
        <f>IFERROR(__xludf.DUMMYFUNCTION("""COMPUTED_VALUE"""),"Link")</f>
        <v>Link</v>
      </c>
      <c r="K13" s="29" t="str">
        <f>IFERROR(__xludf.DUMMYFUNCTION("""COMPUTED_VALUE"""),"Link")</f>
        <v>Link</v>
      </c>
      <c r="L13" s="10" t="b">
        <f>IFERROR(__xludf.DUMMYFUNCTION("""COMPUTED_VALUE"""),TRUE)</f>
        <v>1</v>
      </c>
      <c r="M13" s="10" t="b">
        <f>IFERROR(__xludf.DUMMYFUNCTION("""COMPUTED_VALUE"""),FALSE)</f>
        <v>0</v>
      </c>
      <c r="N13" s="35" t="str">
        <f>IFERROR(__xludf.DUMMYFUNCTION("""COMPUTED_VALUE"""),"QJJM+6W6 Al Aqiq, Riyadh Saudi Arabia")</f>
        <v>QJJM+6W6 Al Aqiq, Riyadh Saudi Arabia</v>
      </c>
      <c r="O13" s="10"/>
    </row>
    <row r="14">
      <c r="A14" s="10">
        <f>IFERROR(__xludf.DUMMYFUNCTION("""COMPUTED_VALUE"""),13.0)</f>
        <v>13</v>
      </c>
      <c r="B14" s="10" t="str">
        <f>IFERROR(__xludf.DUMMYFUNCTION("""COMPUTED_VALUE"""),"SA - RUH - King Fahd")</f>
        <v>SA - RUH - King Fahd</v>
      </c>
      <c r="C14" s="29" t="str">
        <f>IFERROR(__xludf.DUMMYFUNCTION("""COMPUTED_VALUE"""),"Link")</f>
        <v>Link</v>
      </c>
      <c r="D14" s="10" t="str">
        <f>IFERROR(__xludf.DUMMYFUNCTION("""COMPUTED_VALUE"""),"King Fahd")</f>
        <v>King Fahd</v>
      </c>
      <c r="E14" s="10">
        <f>IFERROR(__xludf.DUMMYFUNCTION("""COMPUTED_VALUE"""),29.0)</f>
        <v>29</v>
      </c>
      <c r="F14" s="30" t="str">
        <f>IFERROR(__xludf.DUMMYFUNCTION("""COMPUTED_VALUE"""),"-")</f>
        <v>-</v>
      </c>
      <c r="G14" s="30">
        <f>IFERROR(__xludf.DUMMYFUNCTION("""COMPUTED_VALUE"""),44941.0)</f>
        <v>44941</v>
      </c>
      <c r="H14" s="10" t="str">
        <f>IFERROR(__xludf.DUMMYFUNCTION("""COMPUTED_VALUE"""),"Live")</f>
        <v>Live</v>
      </c>
      <c r="I14" s="31" t="str">
        <f>IFERROR(__xludf.DUMMYFUNCTION("""COMPUTED_VALUE"""),"Link")</f>
        <v>Link</v>
      </c>
      <c r="J14" s="29" t="str">
        <f>IFERROR(__xludf.DUMMYFUNCTION("""COMPUTED_VALUE"""),"Link")</f>
        <v>Link</v>
      </c>
      <c r="K14" s="29" t="str">
        <f>IFERROR(__xludf.DUMMYFUNCTION("""COMPUTED_VALUE"""),"Link")</f>
        <v>Link</v>
      </c>
      <c r="L14" s="10" t="b">
        <f>IFERROR(__xludf.DUMMYFUNCTION("""COMPUTED_VALUE"""),TRUE)</f>
        <v>1</v>
      </c>
      <c r="M14" s="10" t="b">
        <f>IFERROR(__xludf.DUMMYFUNCTION("""COMPUTED_VALUE"""),FALSE)</f>
        <v>0</v>
      </c>
      <c r="N14" s="35" t="str">
        <f>IFERROR(__xludf.DUMMYFUNCTION("""COMPUTED_VALUE"""),"PMPG+HC7 King Fahd, Riyadh Saudi Arabia")</f>
        <v>PMPG+HC7 King Fahd, Riyadh Saudi Arabia</v>
      </c>
      <c r="O14" s="10"/>
    </row>
    <row r="15">
      <c r="A15" s="10">
        <f>IFERROR(__xludf.DUMMYFUNCTION("""COMPUTED_VALUE"""),14.0)</f>
        <v>14</v>
      </c>
      <c r="B15" s="10" t="str">
        <f>IFERROR(__xludf.DUMMYFUNCTION("""COMPUTED_VALUE"""),"SA - RUH - Malga (2)")</f>
        <v>SA - RUH - Malga (2)</v>
      </c>
      <c r="C15" s="29" t="str">
        <f>IFERROR(__xludf.DUMMYFUNCTION("""COMPUTED_VALUE"""),"Link")</f>
        <v>Link</v>
      </c>
      <c r="D15" s="10" t="str">
        <f>IFERROR(__xludf.DUMMYFUNCTION("""COMPUTED_VALUE"""),"Malga 2")</f>
        <v>Malga 2</v>
      </c>
      <c r="E15" s="10">
        <f>IFERROR(__xludf.DUMMYFUNCTION("""COMPUTED_VALUE"""),29.0)</f>
        <v>29</v>
      </c>
      <c r="F15" s="30" t="str">
        <f>IFERROR(__xludf.DUMMYFUNCTION("""COMPUTED_VALUE"""),"-")</f>
        <v>-</v>
      </c>
      <c r="G15" s="30">
        <f>IFERROR(__xludf.DUMMYFUNCTION("""COMPUTED_VALUE"""),44927.0)</f>
        <v>44927</v>
      </c>
      <c r="H15" s="10" t="str">
        <f>IFERROR(__xludf.DUMMYFUNCTION("""COMPUTED_VALUE"""),"Live")</f>
        <v>Live</v>
      </c>
      <c r="I15" s="31" t="str">
        <f>IFERROR(__xludf.DUMMYFUNCTION("""COMPUTED_VALUE"""),"Link")</f>
        <v>Link</v>
      </c>
      <c r="J15" s="29" t="str">
        <f>IFERROR(__xludf.DUMMYFUNCTION("""COMPUTED_VALUE"""),"Link")</f>
        <v>Link</v>
      </c>
      <c r="K15" s="29" t="str">
        <f>IFERROR(__xludf.DUMMYFUNCTION("""COMPUTED_VALUE"""),"Link")</f>
        <v>Link</v>
      </c>
      <c r="L15" s="10" t="b">
        <f>IFERROR(__xludf.DUMMYFUNCTION("""COMPUTED_VALUE"""),TRUE)</f>
        <v>1</v>
      </c>
      <c r="M15" s="10" t="b">
        <f>IFERROR(__xludf.DUMMYFUNCTION("""COMPUTED_VALUE"""),FALSE)</f>
        <v>0</v>
      </c>
      <c r="N15" s="29" t="str">
        <f>IFERROR(__xludf.DUMMYFUNCTION("""COMPUTED_VALUE"""),"QJXG+4XP Al Malqa, Riyadh")</f>
        <v>QJXG+4XP Al Malqa, Riyadh</v>
      </c>
      <c r="O15" s="10"/>
    </row>
    <row r="16">
      <c r="A16" s="10">
        <f>IFERROR(__xludf.DUMMYFUNCTION("""COMPUTED_VALUE"""),15.0)</f>
        <v>15</v>
      </c>
      <c r="B16" s="10" t="str">
        <f>IFERROR(__xludf.DUMMYFUNCTION("""COMPUTED_VALUE"""),"SA - RUH - Rawda")</f>
        <v>SA - RUH - Rawda</v>
      </c>
      <c r="C16" s="29" t="str">
        <f>IFERROR(__xludf.DUMMYFUNCTION("""COMPUTED_VALUE"""),"Link")</f>
        <v>Link</v>
      </c>
      <c r="D16" s="10" t="str">
        <f>IFERROR(__xludf.DUMMYFUNCTION("""COMPUTED_VALUE"""),"Rawdah")</f>
        <v>Rawdah</v>
      </c>
      <c r="E16" s="10">
        <f>IFERROR(__xludf.DUMMYFUNCTION("""COMPUTED_VALUE"""),21.0)</f>
        <v>21</v>
      </c>
      <c r="F16" s="30" t="str">
        <f>IFERROR(__xludf.DUMMYFUNCTION("""COMPUTED_VALUE"""),"-")</f>
        <v>-</v>
      </c>
      <c r="G16" s="30">
        <f>IFERROR(__xludf.DUMMYFUNCTION("""COMPUTED_VALUE"""),44986.0)</f>
        <v>44986</v>
      </c>
      <c r="H16" s="10" t="str">
        <f>IFERROR(__xludf.DUMMYFUNCTION("""COMPUTED_VALUE"""),"Live")</f>
        <v>Live</v>
      </c>
      <c r="I16" s="31" t="str">
        <f>IFERROR(__xludf.DUMMYFUNCTION("""COMPUTED_VALUE"""),"Link")</f>
        <v>Link</v>
      </c>
      <c r="J16" s="29" t="str">
        <f>IFERROR(__xludf.DUMMYFUNCTION("""COMPUTED_VALUE"""),"Link")</f>
        <v>Link</v>
      </c>
      <c r="K16" s="29" t="str">
        <f>IFERROR(__xludf.DUMMYFUNCTION("""COMPUTED_VALUE"""),"Link")</f>
        <v>Link</v>
      </c>
      <c r="L16" s="10" t="b">
        <f>IFERROR(__xludf.DUMMYFUNCTION("""COMPUTED_VALUE"""),TRUE)</f>
        <v>1</v>
      </c>
      <c r="M16" s="10" t="b">
        <f>IFERROR(__xludf.DUMMYFUNCTION("""COMPUTED_VALUE"""),FALSE)</f>
        <v>0</v>
      </c>
      <c r="N16" s="29" t="str">
        <f>IFERROR(__xludf.DUMMYFUNCTION("""COMPUTED_VALUE"""),"PQRH+V52 Ar Rawdah, Riyadh")</f>
        <v>PQRH+V52 Ar Rawdah, Riyadh</v>
      </c>
      <c r="O16" s="10"/>
    </row>
    <row r="17">
      <c r="A17" s="10">
        <f>IFERROR(__xludf.DUMMYFUNCTION("""COMPUTED_VALUE"""),16.0)</f>
        <v>16</v>
      </c>
      <c r="B17" s="10" t="str">
        <f>IFERROR(__xludf.DUMMYFUNCTION("""COMPUTED_VALUE"""),"SA - JED - Bawadi")</f>
        <v>SA - JED - Bawadi</v>
      </c>
      <c r="C17" s="29" t="str">
        <f>IFERROR(__xludf.DUMMYFUNCTION("""COMPUTED_VALUE"""),"Link")</f>
        <v>Link</v>
      </c>
      <c r="D17" s="10" t="str">
        <f>IFERROR(__xludf.DUMMYFUNCTION("""COMPUTED_VALUE"""),"Bawadi")</f>
        <v>Bawadi</v>
      </c>
      <c r="E17" s="10">
        <f>IFERROR(__xludf.DUMMYFUNCTION("""COMPUTED_VALUE"""),25.0)</f>
        <v>25</v>
      </c>
      <c r="F17" s="30" t="str">
        <f>IFERROR(__xludf.DUMMYFUNCTION("""COMPUTED_VALUE"""),"-")</f>
        <v>-</v>
      </c>
      <c r="G17" s="30">
        <f>IFERROR(__xludf.DUMMYFUNCTION("""COMPUTED_VALUE"""),45070.0)</f>
        <v>45070</v>
      </c>
      <c r="H17" s="10" t="str">
        <f>IFERROR(__xludf.DUMMYFUNCTION("""COMPUTED_VALUE"""),"Live")</f>
        <v>Live</v>
      </c>
      <c r="I17" s="31" t="str">
        <f>IFERROR(__xludf.DUMMYFUNCTION("""COMPUTED_VALUE"""),"Link")</f>
        <v>Link</v>
      </c>
      <c r="J17" s="29" t="str">
        <f>IFERROR(__xludf.DUMMYFUNCTION("""COMPUTED_VALUE"""),"Link")</f>
        <v>Link</v>
      </c>
      <c r="K17" s="29" t="str">
        <f>IFERROR(__xludf.DUMMYFUNCTION("""COMPUTED_VALUE"""),"Link")</f>
        <v>Link</v>
      </c>
      <c r="L17" s="10" t="b">
        <f>IFERROR(__xludf.DUMMYFUNCTION("""COMPUTED_VALUE"""),TRUE)</f>
        <v>1</v>
      </c>
      <c r="M17" s="10" t="b">
        <f>IFERROR(__xludf.DUMMYFUNCTION("""COMPUTED_VALUE"""),FALSE)</f>
        <v>0</v>
      </c>
      <c r="N17" s="29" t="str">
        <f>IFERROR(__xludf.DUMMYFUNCTION("""COMPUTED_VALUE"""),"H5R8+QPX Al Bawadi, Jeddah Saudi Arabia")</f>
        <v>H5R8+QPX Al Bawadi, Jeddah Saudi Arabia</v>
      </c>
      <c r="O17" s="10"/>
    </row>
    <row r="18">
      <c r="A18" s="10">
        <f>IFERROR(__xludf.DUMMYFUNCTION("""COMPUTED_VALUE"""),17.0)</f>
        <v>17</v>
      </c>
      <c r="B18" s="10" t="str">
        <f>IFERROR(__xludf.DUMMYFUNCTION("""COMPUTED_VALUE"""),"SA - RUH - Salam")</f>
        <v>SA - RUH - Salam</v>
      </c>
      <c r="C18" s="29" t="str">
        <f>IFERROR(__xludf.DUMMYFUNCTION("""COMPUTED_VALUE"""),"Link")</f>
        <v>Link</v>
      </c>
      <c r="D18" s="10" t="str">
        <f>IFERROR(__xludf.DUMMYFUNCTION("""COMPUTED_VALUE"""),"Salam")</f>
        <v>Salam</v>
      </c>
      <c r="E18" s="10">
        <f>IFERROR(__xludf.DUMMYFUNCTION("""COMPUTED_VALUE"""),23.0)</f>
        <v>23</v>
      </c>
      <c r="F18" s="30" t="str">
        <f>IFERROR(__xludf.DUMMYFUNCTION("""COMPUTED_VALUE"""),"-")</f>
        <v>-</v>
      </c>
      <c r="G18" s="30">
        <f>IFERROR(__xludf.DUMMYFUNCTION("""COMPUTED_VALUE"""),44986.0)</f>
        <v>44986</v>
      </c>
      <c r="H18" s="10" t="str">
        <f>IFERROR(__xludf.DUMMYFUNCTION("""COMPUTED_VALUE"""),"Live")</f>
        <v>Live</v>
      </c>
      <c r="I18" s="31" t="str">
        <f>IFERROR(__xludf.DUMMYFUNCTION("""COMPUTED_VALUE"""),"Link")</f>
        <v>Link</v>
      </c>
      <c r="J18" s="29" t="str">
        <f>IFERROR(__xludf.DUMMYFUNCTION("""COMPUTED_VALUE"""),"Link")</f>
        <v>Link</v>
      </c>
      <c r="K18" s="29" t="str">
        <f>IFERROR(__xludf.DUMMYFUNCTION("""COMPUTED_VALUE"""),"Link")</f>
        <v>Link</v>
      </c>
      <c r="L18" s="10" t="b">
        <f>IFERROR(__xludf.DUMMYFUNCTION("""COMPUTED_VALUE"""),TRUE)</f>
        <v>1</v>
      </c>
      <c r="M18" s="10" t="b">
        <f>IFERROR(__xludf.DUMMYFUNCTION("""COMPUTED_VALUE"""),FALSE)</f>
        <v>0</v>
      </c>
      <c r="N18" s="29" t="str">
        <f>IFERROR(__xludf.DUMMYFUNCTION("""COMPUTED_VALUE"""),"MRX4+3F5 As Salam, Riyadh")</f>
        <v>MRX4+3F5 As Salam, Riyadh</v>
      </c>
      <c r="O18" s="10"/>
    </row>
    <row r="19">
      <c r="A19" s="10">
        <f>IFERROR(__xludf.DUMMYFUNCTION("""COMPUTED_VALUE"""),18.0)</f>
        <v>18</v>
      </c>
      <c r="B19" s="10" t="str">
        <f>IFERROR(__xludf.DUMMYFUNCTION("""COMPUTED_VALUE"""),"SA - JED - Marwa")</f>
        <v>SA - JED - Marwa</v>
      </c>
      <c r="C19" s="29" t="str">
        <f>IFERROR(__xludf.DUMMYFUNCTION("""COMPUTED_VALUE"""),"Link")</f>
        <v>Link</v>
      </c>
      <c r="D19" s="10" t="str">
        <f>IFERROR(__xludf.DUMMYFUNCTION("""COMPUTED_VALUE"""),"Marwa")</f>
        <v>Marwa</v>
      </c>
      <c r="E19" s="10">
        <f>IFERROR(__xludf.DUMMYFUNCTION("""COMPUTED_VALUE"""),17.0)</f>
        <v>17</v>
      </c>
      <c r="F19" s="30" t="str">
        <f>IFERROR(__xludf.DUMMYFUNCTION("""COMPUTED_VALUE"""),"-")</f>
        <v>-</v>
      </c>
      <c r="G19" s="30">
        <f>IFERROR(__xludf.DUMMYFUNCTION("""COMPUTED_VALUE"""),45275.0)</f>
        <v>45275</v>
      </c>
      <c r="H19" s="10" t="str">
        <f>IFERROR(__xludf.DUMMYFUNCTION("""COMPUTED_VALUE"""),"Live")</f>
        <v>Live</v>
      </c>
      <c r="I19" s="31" t="str">
        <f>IFERROR(__xludf.DUMMYFUNCTION("""COMPUTED_VALUE"""),"Link")</f>
        <v>Link</v>
      </c>
      <c r="J19" s="29" t="str">
        <f>IFERROR(__xludf.DUMMYFUNCTION("""COMPUTED_VALUE"""),"Link")</f>
        <v>Link</v>
      </c>
      <c r="K19" s="29" t="str">
        <f>IFERROR(__xludf.DUMMYFUNCTION("""COMPUTED_VALUE"""),"Link")</f>
        <v>Link</v>
      </c>
      <c r="L19" s="10" t="b">
        <f>IFERROR(__xludf.DUMMYFUNCTION("""COMPUTED_VALUE"""),TRUE)</f>
        <v>1</v>
      </c>
      <c r="M19" s="10" t="b">
        <f>IFERROR(__xludf.DUMMYFUNCTION("""COMPUTED_VALUE"""),FALSE)</f>
        <v>0</v>
      </c>
      <c r="N19" s="29" t="str">
        <f>IFERROR(__xludf.DUMMYFUNCTION("""COMPUTED_VALUE"""),"J59R+GR2 Al Marwah, Jeddah, Saudi Arabia")</f>
        <v>J59R+GR2 Al Marwah, Jeddah, Saudi Arabia</v>
      </c>
      <c r="O19" s="10"/>
    </row>
    <row r="20">
      <c r="A20" s="10">
        <f>IFERROR(__xludf.DUMMYFUNCTION("""COMPUTED_VALUE"""),19.0)</f>
        <v>19</v>
      </c>
      <c r="B20" s="10" t="str">
        <f>IFERROR(__xludf.DUMMYFUNCTION("""COMPUTED_VALUE"""),"SA - RUH - Tuwaiq")</f>
        <v>SA - RUH - Tuwaiq</v>
      </c>
      <c r="C20" s="29" t="str">
        <f>IFERROR(__xludf.DUMMYFUNCTION("""COMPUTED_VALUE"""),"Link")</f>
        <v>Link</v>
      </c>
      <c r="D20" s="34" t="str">
        <f>IFERROR(__xludf.DUMMYFUNCTION("""COMPUTED_VALUE"""),"Tuwaiq")</f>
        <v>Tuwaiq</v>
      </c>
      <c r="E20" s="10">
        <f>IFERROR(__xludf.DUMMYFUNCTION("""COMPUTED_VALUE"""),18.0)</f>
        <v>18</v>
      </c>
      <c r="F20" s="30" t="str">
        <f>IFERROR(__xludf.DUMMYFUNCTION("""COMPUTED_VALUE"""),"-")</f>
        <v>-</v>
      </c>
      <c r="G20" s="30">
        <f>IFERROR(__xludf.DUMMYFUNCTION("""COMPUTED_VALUE"""),45031.0)</f>
        <v>45031</v>
      </c>
      <c r="H20" s="10" t="str">
        <f>IFERROR(__xludf.DUMMYFUNCTION("""COMPUTED_VALUE"""),"Live")</f>
        <v>Live</v>
      </c>
      <c r="I20" s="31" t="str">
        <f>IFERROR(__xludf.DUMMYFUNCTION("""COMPUTED_VALUE"""),"Link")</f>
        <v>Link</v>
      </c>
      <c r="J20" s="29" t="str">
        <f>IFERROR(__xludf.DUMMYFUNCTION("""COMPUTED_VALUE"""),"Link")</f>
        <v>Link</v>
      </c>
      <c r="K20" s="29" t="str">
        <f>IFERROR(__xludf.DUMMYFUNCTION("""COMPUTED_VALUE"""),"Link")</f>
        <v>Link</v>
      </c>
      <c r="L20" s="10" t="b">
        <f>IFERROR(__xludf.DUMMYFUNCTION("""COMPUTED_VALUE"""),TRUE)</f>
        <v>1</v>
      </c>
      <c r="M20" s="10" t="b">
        <f>IFERROR(__xludf.DUMMYFUNCTION("""COMPUTED_VALUE"""),FALSE)</f>
        <v>0</v>
      </c>
      <c r="N20" s="29" t="str">
        <f>IFERROR(__xludf.DUMMYFUNCTION("""COMPUTED_VALUE"""),"HGJW+PQ7 Tuwaiq, Riyadh")</f>
        <v>HGJW+PQ7 Tuwaiq, Riyadh</v>
      </c>
      <c r="O20" s="10"/>
    </row>
    <row r="21">
      <c r="A21" s="10">
        <f>IFERROR(__xludf.DUMMYFUNCTION("""COMPUTED_VALUE"""),20.0)</f>
        <v>20</v>
      </c>
      <c r="B21" s="10" t="str">
        <f>IFERROR(__xludf.DUMMYFUNCTION("""COMPUTED_VALUE"""),"SA - RUH - Jarir")</f>
        <v>SA - RUH - Jarir</v>
      </c>
      <c r="C21" s="29" t="str">
        <f>IFERROR(__xludf.DUMMYFUNCTION("""COMPUTED_VALUE"""),"Link")</f>
        <v>Link</v>
      </c>
      <c r="D21" s="10" t="str">
        <f>IFERROR(__xludf.DUMMYFUNCTION("""COMPUTED_VALUE"""),"Jarir")</f>
        <v>Jarir</v>
      </c>
      <c r="E21" s="10">
        <f>IFERROR(__xludf.DUMMYFUNCTION("""COMPUTED_VALUE"""),23.0)</f>
        <v>23</v>
      </c>
      <c r="F21" s="30" t="str">
        <f>IFERROR(__xludf.DUMMYFUNCTION("""COMPUTED_VALUE"""),"-")</f>
        <v>-</v>
      </c>
      <c r="G21" s="30">
        <f>IFERROR(__xludf.DUMMYFUNCTION("""COMPUTED_VALUE"""),45170.0)</f>
        <v>45170</v>
      </c>
      <c r="H21" s="10" t="str">
        <f>IFERROR(__xludf.DUMMYFUNCTION("""COMPUTED_VALUE"""),"Live")</f>
        <v>Live</v>
      </c>
      <c r="I21" s="31" t="str">
        <f>IFERROR(__xludf.DUMMYFUNCTION("""COMPUTED_VALUE"""),"Link")</f>
        <v>Link</v>
      </c>
      <c r="J21" s="29" t="str">
        <f>IFERROR(__xludf.DUMMYFUNCTION("""COMPUTED_VALUE"""),"Link")</f>
        <v>Link</v>
      </c>
      <c r="K21" s="29" t="str">
        <f>IFERROR(__xludf.DUMMYFUNCTION("""COMPUTED_VALUE"""),"Link")</f>
        <v>Link</v>
      </c>
      <c r="L21" s="10" t="b">
        <f>IFERROR(__xludf.DUMMYFUNCTION("""COMPUTED_VALUE"""),TRUE)</f>
        <v>1</v>
      </c>
      <c r="M21" s="10" t="b">
        <f>IFERROR(__xludf.DUMMYFUNCTION("""COMPUTED_VALUE"""),FALSE)</f>
        <v>0</v>
      </c>
      <c r="N21" s="29" t="str">
        <f>IFERROR(__xludf.DUMMYFUNCTION("""COMPUTED_VALUE"""),"7625 Haouran, Jarir, Riyadh 12837, Saudi Arabia")</f>
        <v>7625 Haouran, Jarir, Riyadh 12837, Saudi Arabia</v>
      </c>
      <c r="O21" s="10"/>
    </row>
    <row r="22">
      <c r="A22" s="10">
        <f>IFERROR(__xludf.DUMMYFUNCTION("""COMPUTED_VALUE"""),21.0)</f>
        <v>21</v>
      </c>
      <c r="B22" s="10" t="str">
        <f>IFERROR(__xludf.DUMMYFUNCTION("""COMPUTED_VALUE"""),"SA - RUH - Sulimaniyah")</f>
        <v>SA - RUH - Sulimaniyah</v>
      </c>
      <c r="C22" s="29" t="str">
        <f>IFERROR(__xludf.DUMMYFUNCTION("""COMPUTED_VALUE"""),"Link")</f>
        <v>Link</v>
      </c>
      <c r="D22" s="10" t="str">
        <f>IFERROR(__xludf.DUMMYFUNCTION("""COMPUTED_VALUE"""),"Sulimaniah ")</f>
        <v>Sulimaniah </v>
      </c>
      <c r="E22" s="10">
        <f>IFERROR(__xludf.DUMMYFUNCTION("""COMPUTED_VALUE"""),25.0)</f>
        <v>25</v>
      </c>
      <c r="F22" s="30" t="str">
        <f>IFERROR(__xludf.DUMMYFUNCTION("""COMPUTED_VALUE"""),"-")</f>
        <v>-</v>
      </c>
      <c r="G22" s="30">
        <f>IFERROR(__xludf.DUMMYFUNCTION("""COMPUTED_VALUE"""),45122.0)</f>
        <v>45122</v>
      </c>
      <c r="H22" s="10" t="str">
        <f>IFERROR(__xludf.DUMMYFUNCTION("""COMPUTED_VALUE"""),"Live")</f>
        <v>Live</v>
      </c>
      <c r="I22" s="31" t="str">
        <f>IFERROR(__xludf.DUMMYFUNCTION("""COMPUTED_VALUE"""),"Link")</f>
        <v>Link</v>
      </c>
      <c r="J22" s="29" t="str">
        <f>IFERROR(__xludf.DUMMYFUNCTION("""COMPUTED_VALUE"""),"Link")</f>
        <v>Link</v>
      </c>
      <c r="K22" s="29" t="str">
        <f>IFERROR(__xludf.DUMMYFUNCTION("""COMPUTED_VALUE"""),"Link")</f>
        <v>Link</v>
      </c>
      <c r="L22" s="10" t="b">
        <f>IFERROR(__xludf.DUMMYFUNCTION("""COMPUTED_VALUE"""),TRUE)</f>
        <v>1</v>
      </c>
      <c r="M22" s="10" t="b">
        <f>IFERROR(__xludf.DUMMYFUNCTION("""COMPUTED_VALUE"""),FALSE)</f>
        <v>0</v>
      </c>
      <c r="N22" s="29" t="str">
        <f>IFERROR(__xludf.DUMMYFUNCTION("""COMPUTED_VALUE"""),"RHSB7807، 7807 الأمير مساعد بن عبدالعزيز، 3526، حي السليمانية، Riyadh 12233, Saudi Arabia")</f>
        <v>RHSB7807، 7807 الأمير مساعد بن عبدالعزيز، 3526، حي السليمانية، Riyadh 12233, Saudi Arabia</v>
      </c>
      <c r="O22" s="10"/>
    </row>
    <row r="23">
      <c r="A23" s="10">
        <f>IFERROR(__xludf.DUMMYFUNCTION("""COMPUTED_VALUE"""),22.0)</f>
        <v>22</v>
      </c>
      <c r="B23" s="10" t="str">
        <f>IFERROR(__xludf.DUMMYFUNCTION("""COMPUTED_VALUE"""),"SA - JED - Rehab")</f>
        <v>SA - JED - Rehab</v>
      </c>
      <c r="C23" s="29" t="str">
        <f>IFERROR(__xludf.DUMMYFUNCTION("""COMPUTED_VALUE"""),"Link")</f>
        <v>Link</v>
      </c>
      <c r="D23" s="10" t="str">
        <f>IFERROR(__xludf.DUMMYFUNCTION("""COMPUTED_VALUE"""),"Rehab")</f>
        <v>Rehab</v>
      </c>
      <c r="E23" s="10">
        <f>IFERROR(__xludf.DUMMYFUNCTION("""COMPUTED_VALUE"""),18.0)</f>
        <v>18</v>
      </c>
      <c r="F23" s="30" t="str">
        <f>IFERROR(__xludf.DUMMYFUNCTION("""COMPUTED_VALUE"""),"-")</f>
        <v>-</v>
      </c>
      <c r="G23" s="30">
        <f>IFERROR(__xludf.DUMMYFUNCTION("""COMPUTED_VALUE"""),45249.0)</f>
        <v>45249</v>
      </c>
      <c r="H23" s="10" t="str">
        <f>IFERROR(__xludf.DUMMYFUNCTION("""COMPUTED_VALUE"""),"Live")</f>
        <v>Live</v>
      </c>
      <c r="I23" s="31" t="str">
        <f>IFERROR(__xludf.DUMMYFUNCTION("""COMPUTED_VALUE"""),"Link")</f>
        <v>Link</v>
      </c>
      <c r="J23" s="29" t="str">
        <f>IFERROR(__xludf.DUMMYFUNCTION("""COMPUTED_VALUE"""),"Link")</f>
        <v>Link</v>
      </c>
      <c r="K23" s="29" t="str">
        <f>IFERROR(__xludf.DUMMYFUNCTION("""COMPUTED_VALUE"""),"Link")</f>
        <v>Link</v>
      </c>
      <c r="L23" s="10" t="b">
        <f>IFERROR(__xludf.DUMMYFUNCTION("""COMPUTED_VALUE"""),TRUE)</f>
        <v>1</v>
      </c>
      <c r="M23" s="10" t="b">
        <f>IFERROR(__xludf.DUMMYFUNCTION("""COMPUTED_VALUE"""),FALSE)</f>
        <v>0</v>
      </c>
      <c r="N23" s="29" t="str">
        <f>IFERROR(__xludf.DUMMYFUNCTION("""COMPUTED_VALUE"""),"Ghernatah, Jeddah 23342, Saudi Arabia")</f>
        <v>Ghernatah, Jeddah 23342, Saudi Arabia</v>
      </c>
      <c r="O23" s="10"/>
    </row>
    <row r="24">
      <c r="A24" s="10">
        <f>IFERROR(__xludf.DUMMYFUNCTION("""COMPUTED_VALUE"""),23.0)</f>
        <v>23</v>
      </c>
      <c r="B24" s="10" t="str">
        <f>IFERROR(__xludf.DUMMYFUNCTION("""COMPUTED_VALUE"""),"SA - DMM - Rawda")</f>
        <v>SA - DMM - Rawda</v>
      </c>
      <c r="C24" s="29" t="str">
        <f>IFERROR(__xludf.DUMMYFUNCTION("""COMPUTED_VALUE"""),"Link")</f>
        <v>Link</v>
      </c>
      <c r="D24" s="10" t="str">
        <f>IFERROR(__xludf.DUMMYFUNCTION("""COMPUTED_VALUE"""),"Rawda")</f>
        <v>Rawda</v>
      </c>
      <c r="E24" s="10">
        <f>IFERROR(__xludf.DUMMYFUNCTION("""COMPUTED_VALUE"""),24.0)</f>
        <v>24</v>
      </c>
      <c r="F24" s="30" t="str">
        <f>IFERROR(__xludf.DUMMYFUNCTION("""COMPUTED_VALUE"""),"-")</f>
        <v>-</v>
      </c>
      <c r="G24" s="30">
        <f>IFERROR(__xludf.DUMMYFUNCTION("""COMPUTED_VALUE"""),45108.0)</f>
        <v>45108</v>
      </c>
      <c r="H24" s="10" t="str">
        <f>IFERROR(__xludf.DUMMYFUNCTION("""COMPUTED_VALUE"""),"Live")</f>
        <v>Live</v>
      </c>
      <c r="I24" s="31" t="str">
        <f>IFERROR(__xludf.DUMMYFUNCTION("""COMPUTED_VALUE"""),"Link")</f>
        <v>Link</v>
      </c>
      <c r="J24" s="29" t="str">
        <f>IFERROR(__xludf.DUMMYFUNCTION("""COMPUTED_VALUE"""),"Link")</f>
        <v>Link</v>
      </c>
      <c r="K24" s="29" t="str">
        <f>IFERROR(__xludf.DUMMYFUNCTION("""COMPUTED_VALUE"""),"Link")</f>
        <v>Link</v>
      </c>
      <c r="L24" s="10" t="b">
        <f>IFERROR(__xludf.DUMMYFUNCTION("""COMPUTED_VALUE"""),TRUE)</f>
        <v>1</v>
      </c>
      <c r="M24" s="10" t="b">
        <f>IFERROR(__xludf.DUMMYFUNCTION("""COMPUTED_VALUE"""),FALSE)</f>
        <v>0</v>
      </c>
      <c r="N24" s="29" t="str">
        <f>IFERROR(__xludf.DUMMYFUNCTION("""COMPUTED_VALUE"""),"EDMB2637، 2637 الامام علي بن ابي طالب، 8177، حي الروضة، Dammam 32255, Saudi Arabia")</f>
        <v>EDMB2637، 2637 الامام علي بن ابي طالب، 8177، حي الروضة، Dammam 32255, Saudi Arabia</v>
      </c>
      <c r="O24" s="10"/>
    </row>
    <row r="25">
      <c r="A25" s="10">
        <f>IFERROR(__xludf.DUMMYFUNCTION("""COMPUTED_VALUE"""),24.0)</f>
        <v>24</v>
      </c>
      <c r="B25" s="10" t="str">
        <f>IFERROR(__xludf.DUMMYFUNCTION("""COMPUTED_VALUE"""),"SA - RUH - Narjis")</f>
        <v>SA - RUH - Narjis</v>
      </c>
      <c r="C25" s="29" t="str">
        <f>IFERROR(__xludf.DUMMYFUNCTION("""COMPUTED_VALUE"""),"Link")</f>
        <v>Link</v>
      </c>
      <c r="D25" s="10" t="str">
        <f>IFERROR(__xludf.DUMMYFUNCTION("""COMPUTED_VALUE"""),"Narjis")</f>
        <v>Narjis</v>
      </c>
      <c r="E25" s="10">
        <f>IFERROR(__xludf.DUMMYFUNCTION("""COMPUTED_VALUE"""),27.0)</f>
        <v>27</v>
      </c>
      <c r="F25" s="30" t="str">
        <f>IFERROR(__xludf.DUMMYFUNCTION("""COMPUTED_VALUE"""),"-")</f>
        <v>-</v>
      </c>
      <c r="G25" s="30">
        <f>IFERROR(__xludf.DUMMYFUNCTION("""COMPUTED_VALUE"""),45261.0)</f>
        <v>45261</v>
      </c>
      <c r="H25" s="10" t="str">
        <f>IFERROR(__xludf.DUMMYFUNCTION("""COMPUTED_VALUE"""),"Live")</f>
        <v>Live</v>
      </c>
      <c r="I25" s="31" t="str">
        <f>IFERROR(__xludf.DUMMYFUNCTION("""COMPUTED_VALUE"""),"Link")</f>
        <v>Link</v>
      </c>
      <c r="J25" s="29" t="str">
        <f>IFERROR(__xludf.DUMMYFUNCTION("""COMPUTED_VALUE"""),"Link")</f>
        <v>Link</v>
      </c>
      <c r="K25" s="29" t="str">
        <f>IFERROR(__xludf.DUMMYFUNCTION("""COMPUTED_VALUE"""),"Link")</f>
        <v>Link</v>
      </c>
      <c r="L25" s="10" t="b">
        <f>IFERROR(__xludf.DUMMYFUNCTION("""COMPUTED_VALUE"""),TRUE)</f>
        <v>1</v>
      </c>
      <c r="M25" s="32" t="b">
        <f>IFERROR(__xludf.DUMMYFUNCTION("""COMPUTED_VALUE"""),FALSE)</f>
        <v>0</v>
      </c>
      <c r="N25" s="29" t="str">
        <f>IFERROR(__xludf.DUMMYFUNCTION("""COMPUTED_VALUE"""),"RMHJ+9V2 An Narjis, Riyadh")</f>
        <v>RMHJ+9V2 An Narjis, Riyadh</v>
      </c>
      <c r="O25" s="10"/>
    </row>
    <row r="26">
      <c r="A26" s="10">
        <f>IFERROR(__xludf.DUMMYFUNCTION("""COMPUTED_VALUE"""),25.0)</f>
        <v>25</v>
      </c>
      <c r="B26" s="10" t="str">
        <f>IFERROR(__xludf.DUMMYFUNCTION("""COMPUTED_VALUE"""),"SA - AHS - Hofuf")</f>
        <v>SA - AHS - Hofuf</v>
      </c>
      <c r="C26" s="29" t="str">
        <f>IFERROR(__xludf.DUMMYFUNCTION("""COMPUTED_VALUE"""),"Link")</f>
        <v>Link</v>
      </c>
      <c r="D26" s="10" t="str">
        <f>IFERROR(__xludf.DUMMYFUNCTION("""COMPUTED_VALUE"""),"Hofuf")</f>
        <v>Hofuf</v>
      </c>
      <c r="E26" s="10">
        <f>IFERROR(__xludf.DUMMYFUNCTION("""COMPUTED_VALUE"""),20.0)</f>
        <v>20</v>
      </c>
      <c r="F26" s="30" t="str">
        <f>IFERROR(__xludf.DUMMYFUNCTION("""COMPUTED_VALUE"""),"-")</f>
        <v>-</v>
      </c>
      <c r="G26" s="30">
        <f>IFERROR(__xludf.DUMMYFUNCTION("""COMPUTED_VALUE"""),45352.0)</f>
        <v>45352</v>
      </c>
      <c r="H26" s="10" t="str">
        <f>IFERROR(__xludf.DUMMYFUNCTION("""COMPUTED_VALUE"""),"Live")</f>
        <v>Live</v>
      </c>
      <c r="I26" s="31" t="str">
        <f>IFERROR(__xludf.DUMMYFUNCTION("""COMPUTED_VALUE"""),"Link")</f>
        <v>Link</v>
      </c>
      <c r="J26" s="29" t="str">
        <f>IFERROR(__xludf.DUMMYFUNCTION("""COMPUTED_VALUE"""),"Link")</f>
        <v>Link</v>
      </c>
      <c r="K26" s="29" t="str">
        <f>IFERROR(__xludf.DUMMYFUNCTION("""COMPUTED_VALUE"""),"Link")</f>
        <v>Link</v>
      </c>
      <c r="L26" s="10" t="b">
        <f>IFERROR(__xludf.DUMMYFUNCTION("""COMPUTED_VALUE"""),TRUE)</f>
        <v>1</v>
      </c>
      <c r="M26" s="10" t="b">
        <f>IFERROR(__xludf.DUMMYFUNCTION("""COMPUTED_VALUE"""),FALSE)</f>
        <v>0</v>
      </c>
      <c r="N26" s="29" t="str">
        <f>IFERROR(__xludf.DUMMYFUNCTION("""COMPUTED_VALUE"""),"8HXC+FHJ Al Hofuf, Saudi Arabia")</f>
        <v>8HXC+FHJ Al Hofuf, Saudi Arabia</v>
      </c>
      <c r="O26" s="10"/>
    </row>
    <row r="27">
      <c r="A27" s="10">
        <f>IFERROR(__xludf.DUMMYFUNCTION("""COMPUTED_VALUE"""),26.0)</f>
        <v>26</v>
      </c>
      <c r="B27" s="10" t="str">
        <f>IFERROR(__xludf.DUMMYFUNCTION("""COMPUTED_VALUE"""),"SA - RUH - Yasmin")</f>
        <v>SA - RUH - Yasmin</v>
      </c>
      <c r="C27" s="29" t="str">
        <f>IFERROR(__xludf.DUMMYFUNCTION("""COMPUTED_VALUE"""),"Link")</f>
        <v>Link</v>
      </c>
      <c r="D27" s="10" t="str">
        <f>IFERROR(__xludf.DUMMYFUNCTION("""COMPUTED_VALUE"""),"Yasmin")</f>
        <v>Yasmin</v>
      </c>
      <c r="E27" s="10">
        <f>IFERROR(__xludf.DUMMYFUNCTION("""COMPUTED_VALUE"""),20.0)</f>
        <v>20</v>
      </c>
      <c r="F27" s="30" t="str">
        <f>IFERROR(__xludf.DUMMYFUNCTION("""COMPUTED_VALUE"""),"-")</f>
        <v>-</v>
      </c>
      <c r="G27" s="30">
        <f>IFERROR(__xludf.DUMMYFUNCTION("""COMPUTED_VALUE"""),45383.0)</f>
        <v>45383</v>
      </c>
      <c r="H27" s="10" t="str">
        <f>IFERROR(__xludf.DUMMYFUNCTION("""COMPUTED_VALUE"""),"Live")</f>
        <v>Live</v>
      </c>
      <c r="I27" s="31" t="str">
        <f>IFERROR(__xludf.DUMMYFUNCTION("""COMPUTED_VALUE"""),"Link")</f>
        <v>Link</v>
      </c>
      <c r="J27" s="29" t="str">
        <f>IFERROR(__xludf.DUMMYFUNCTION("""COMPUTED_VALUE"""),"Link")</f>
        <v>Link</v>
      </c>
      <c r="K27" s="29" t="str">
        <f>IFERROR(__xludf.DUMMYFUNCTION("""COMPUTED_VALUE"""),"Link")</f>
        <v>Link</v>
      </c>
      <c r="L27" s="10" t="b">
        <f>IFERROR(__xludf.DUMMYFUNCTION("""COMPUTED_VALUE"""),TRUE)</f>
        <v>1</v>
      </c>
      <c r="M27" s="10" t="b">
        <f>IFERROR(__xludf.DUMMYFUNCTION("""COMPUTED_VALUE"""),FALSE)</f>
        <v>0</v>
      </c>
      <c r="N27" s="29" t="str">
        <f>IFERROR(__xludf.DUMMYFUNCTION("""COMPUTED_VALUE"""),"RM64+7VJ Alyasmin, Riyadh")</f>
        <v>RM64+7VJ Alyasmin, Riyadh</v>
      </c>
      <c r="O27" s="10"/>
    </row>
    <row r="28">
      <c r="A28" s="10">
        <f>IFERROR(__xludf.DUMMYFUNCTION("""COMPUTED_VALUE"""),27.0)</f>
        <v>27</v>
      </c>
      <c r="B28" s="10" t="str">
        <f>IFERROR(__xludf.DUMMYFUNCTION("""COMPUTED_VALUE"""),"SA - JED - Mishrifah")</f>
        <v>SA - JED - Mishrifah</v>
      </c>
      <c r="C28" s="29" t="str">
        <f>IFERROR(__xludf.DUMMYFUNCTION("""COMPUTED_VALUE"""),"Link")</f>
        <v>Link</v>
      </c>
      <c r="D28" s="10" t="str">
        <f>IFERROR(__xludf.DUMMYFUNCTION("""COMPUTED_VALUE"""),"Mishrifah")</f>
        <v>Mishrifah</v>
      </c>
      <c r="E28" s="10">
        <f>IFERROR(__xludf.DUMMYFUNCTION("""COMPUTED_VALUE"""),30.0)</f>
        <v>30</v>
      </c>
      <c r="F28" s="30" t="str">
        <f>IFERROR(__xludf.DUMMYFUNCTION("""COMPUTED_VALUE"""),"-")</f>
        <v>-</v>
      </c>
      <c r="G28" s="30">
        <f>IFERROR(__xludf.DUMMYFUNCTION("""COMPUTED_VALUE"""),45397.0)</f>
        <v>45397</v>
      </c>
      <c r="H28" s="10" t="str">
        <f>IFERROR(__xludf.DUMMYFUNCTION("""COMPUTED_VALUE"""),"Live")</f>
        <v>Live</v>
      </c>
      <c r="I28" s="31" t="str">
        <f>IFERROR(__xludf.DUMMYFUNCTION("""COMPUTED_VALUE"""),"LINK")</f>
        <v>LINK</v>
      </c>
      <c r="J28" s="29" t="str">
        <f>IFERROR(__xludf.DUMMYFUNCTION("""COMPUTED_VALUE"""),"Link")</f>
        <v>Link</v>
      </c>
      <c r="K28" s="29" t="str">
        <f>IFERROR(__xludf.DUMMYFUNCTION("""COMPUTED_VALUE"""),"Link")</f>
        <v>Link</v>
      </c>
      <c r="L28" s="10" t="b">
        <f>IFERROR(__xludf.DUMMYFUNCTION("""COMPUTED_VALUE"""),TRUE)</f>
        <v>1</v>
      </c>
      <c r="M28" s="10" t="b">
        <f>IFERROR(__xludf.DUMMYFUNCTION("""COMPUTED_VALUE"""),FALSE)</f>
        <v>0</v>
      </c>
      <c r="N28" s="29" t="str">
        <f>IFERROR(__xludf.DUMMYFUNCTION("""COMPUTED_VALUE"""),"G5PJ+85F Mishrifah, Jeddah")</f>
        <v>G5PJ+85F Mishrifah, Jeddah</v>
      </c>
      <c r="O28" s="10"/>
    </row>
    <row r="29">
      <c r="A29" s="10">
        <f>IFERROR(__xludf.DUMMYFUNCTION("""COMPUTED_VALUE"""),28.0)</f>
        <v>28</v>
      </c>
      <c r="B29" s="10" t="str">
        <f>IFERROR(__xludf.DUMMYFUNCTION("""COMPUTED_VALUE"""),"SA - RUH - Arid (1)")</f>
        <v>SA - RUH - Arid (1)</v>
      </c>
      <c r="C29" s="29" t="str">
        <f>IFERROR(__xludf.DUMMYFUNCTION("""COMPUTED_VALUE"""),"Link")</f>
        <v>Link</v>
      </c>
      <c r="D29" s="10" t="str">
        <f>IFERROR(__xludf.DUMMYFUNCTION("""COMPUTED_VALUE"""),"Arid")</f>
        <v>Arid</v>
      </c>
      <c r="E29" s="10">
        <f>IFERROR(__xludf.DUMMYFUNCTION("""COMPUTED_VALUE"""),21.0)</f>
        <v>21</v>
      </c>
      <c r="F29" s="30" t="str">
        <f>IFERROR(__xludf.DUMMYFUNCTION("""COMPUTED_VALUE"""),"-")</f>
        <v>-</v>
      </c>
      <c r="G29" s="30">
        <f>IFERROR(__xludf.DUMMYFUNCTION("""COMPUTED_VALUE"""),45352.0)</f>
        <v>45352</v>
      </c>
      <c r="H29" s="10" t="str">
        <f>IFERROR(__xludf.DUMMYFUNCTION("""COMPUTED_VALUE"""),"Live")</f>
        <v>Live</v>
      </c>
      <c r="I29" s="31" t="str">
        <f>IFERROR(__xludf.DUMMYFUNCTION("""COMPUTED_VALUE"""),"Link")</f>
        <v>Link</v>
      </c>
      <c r="J29" s="29" t="str">
        <f>IFERROR(__xludf.DUMMYFUNCTION("""COMPUTED_VALUE"""),"Link")</f>
        <v>Link</v>
      </c>
      <c r="K29" s="29" t="str">
        <f>IFERROR(__xludf.DUMMYFUNCTION("""COMPUTED_VALUE"""),"Link")</f>
        <v>Link</v>
      </c>
      <c r="L29" s="36" t="b">
        <f>IFERROR(__xludf.DUMMYFUNCTION("""COMPUTED_VALUE"""),TRUE)</f>
        <v>1</v>
      </c>
      <c r="M29" s="10" t="b">
        <f>IFERROR(__xludf.DUMMYFUNCTION("""COMPUTED_VALUE"""),FALSE)</f>
        <v>0</v>
      </c>
      <c r="N29" s="29" t="str">
        <f>IFERROR(__xludf.DUMMYFUNCTION("""COMPUTED_VALUE"""),"VJMC+MQX Al Aarid, Riyadh")</f>
        <v>VJMC+MQX Al Aarid, Riyadh</v>
      </c>
      <c r="O29" s="10"/>
    </row>
    <row r="30">
      <c r="A30" s="10">
        <f>IFERROR(__xludf.DUMMYFUNCTION("""COMPUTED_VALUE"""),29.0)</f>
        <v>29</v>
      </c>
      <c r="B30" s="10" t="str">
        <f>IFERROR(__xludf.DUMMYFUNCTION("""COMPUTED_VALUE"""),"SA - QSM - Al Bishr")</f>
        <v>SA - QSM - Al Bishr</v>
      </c>
      <c r="C30" s="29" t="str">
        <f>IFERROR(__xludf.DUMMYFUNCTION("""COMPUTED_VALUE"""),"Link")</f>
        <v>Link</v>
      </c>
      <c r="D30" s="10" t="str">
        <f>IFERROR(__xludf.DUMMYFUNCTION("""COMPUTED_VALUE"""),"Bishir")</f>
        <v>Bishir</v>
      </c>
      <c r="E30" s="10">
        <f>IFERROR(__xludf.DUMMYFUNCTION("""COMPUTED_VALUE"""),18.0)</f>
        <v>18</v>
      </c>
      <c r="F30" s="30" t="str">
        <f>IFERROR(__xludf.DUMMYFUNCTION("""COMPUTED_VALUE"""),"-")</f>
        <v>-</v>
      </c>
      <c r="G30" s="30">
        <f>IFERROR(__xludf.DUMMYFUNCTION("""COMPUTED_VALUE"""),45444.0)</f>
        <v>45444</v>
      </c>
      <c r="H30" s="10" t="str">
        <f>IFERROR(__xludf.DUMMYFUNCTION("""COMPUTED_VALUE"""),"Live")</f>
        <v>Live</v>
      </c>
      <c r="I30" s="31" t="str">
        <f>IFERROR(__xludf.DUMMYFUNCTION("""COMPUTED_VALUE"""),"Link")</f>
        <v>Link</v>
      </c>
      <c r="J30" s="29" t="str">
        <f>IFERROR(__xludf.DUMMYFUNCTION("""COMPUTED_VALUE"""),"Link")</f>
        <v>Link</v>
      </c>
      <c r="K30" s="29" t="str">
        <f>IFERROR(__xludf.DUMMYFUNCTION("""COMPUTED_VALUE"""),"Link")</f>
        <v>Link</v>
      </c>
      <c r="L30" s="10" t="b">
        <f>IFERROR(__xludf.DUMMYFUNCTION("""COMPUTED_VALUE"""),TRUE)</f>
        <v>1</v>
      </c>
      <c r="M30" s="10" t="b">
        <f>IFERROR(__xludf.DUMMYFUNCTION("""COMPUTED_VALUE"""),FALSE)</f>
        <v>0</v>
      </c>
      <c r="N30" s="29" t="str">
        <f>IFERROR(__xludf.DUMMYFUNCTION("""COMPUTED_VALUE"""),"9WHH+4RH Buraydah")</f>
        <v>9WHH+4RH Buraydah</v>
      </c>
      <c r="O30" s="10"/>
    </row>
    <row r="31">
      <c r="A31" s="10">
        <f>IFERROR(__xludf.DUMMYFUNCTION("""COMPUTED_VALUE"""),30.0)</f>
        <v>30</v>
      </c>
      <c r="B31" s="10" t="str">
        <f>IFERROR(__xludf.DUMMYFUNCTION("""COMPUTED_VALUE"""),"SA - RUH - Al Nazim")</f>
        <v>SA - RUH - Al Nazim</v>
      </c>
      <c r="C31" s="29" t="str">
        <f>IFERROR(__xludf.DUMMYFUNCTION("""COMPUTED_VALUE"""),"Link")</f>
        <v>Link</v>
      </c>
      <c r="D31" s="10" t="str">
        <f>IFERROR(__xludf.DUMMYFUNCTION("""COMPUTED_VALUE"""),"Al Nazim")</f>
        <v>Al Nazim</v>
      </c>
      <c r="E31" s="10">
        <f>IFERROR(__xludf.DUMMYFUNCTION("""COMPUTED_VALUE"""),25.0)</f>
        <v>25</v>
      </c>
      <c r="F31" s="30" t="str">
        <f>IFERROR(__xludf.DUMMYFUNCTION("""COMPUTED_VALUE"""),"-")</f>
        <v>-</v>
      </c>
      <c r="G31" s="30">
        <f>IFERROR(__xludf.DUMMYFUNCTION("""COMPUTED_VALUE"""),46054.0)</f>
        <v>46054</v>
      </c>
      <c r="H31" s="10" t="str">
        <f>IFERROR(__xludf.DUMMYFUNCTION("""COMPUTED_VALUE"""),"U/C")</f>
        <v>U/C</v>
      </c>
      <c r="I31" s="31" t="str">
        <f>IFERROR(__xludf.DUMMYFUNCTION("""COMPUTED_VALUE"""),"Link")</f>
        <v>Link</v>
      </c>
      <c r="J31" s="29" t="str">
        <f>IFERROR(__xludf.DUMMYFUNCTION("""COMPUTED_VALUE"""),"Link")</f>
        <v>Link</v>
      </c>
      <c r="K31" s="10" t="str">
        <f>IFERROR(__xludf.DUMMYFUNCTION("""COMPUTED_VALUE"""),"Link")</f>
        <v>Link</v>
      </c>
      <c r="L31" s="10" t="b">
        <f>IFERROR(__xludf.DUMMYFUNCTION("""COMPUTED_VALUE"""),FALSE)</f>
        <v>0</v>
      </c>
      <c r="M31" s="10" t="b">
        <f>IFERROR(__xludf.DUMMYFUNCTION("""COMPUTED_VALUE"""),FALSE)</f>
        <v>0</v>
      </c>
      <c r="N31" s="29" t="str">
        <f>IFERROR(__xludf.DUMMYFUNCTION("""COMPUTED_VALUE"""),"RW55+782 Al Nadwa, Riyadh")</f>
        <v>RW55+782 Al Nadwa, Riyadh</v>
      </c>
      <c r="O31" s="10"/>
    </row>
    <row r="32">
      <c r="A32" s="10">
        <f>IFERROR(__xludf.DUMMYFUNCTION("""COMPUTED_VALUE"""),31.0)</f>
        <v>31</v>
      </c>
      <c r="B32" s="10" t="str">
        <f>IFERROR(__xludf.DUMMYFUNCTION("""COMPUTED_VALUE"""),"SA - RUH - Sweidi (2)")</f>
        <v>SA - RUH - Sweidi (2)</v>
      </c>
      <c r="C32" s="29" t="str">
        <f>IFERROR(__xludf.DUMMYFUNCTION("""COMPUTED_VALUE"""),"Link")</f>
        <v>Link</v>
      </c>
      <c r="D32" s="10" t="str">
        <f>IFERROR(__xludf.DUMMYFUNCTION("""COMPUTED_VALUE"""),"Sweidi 2")</f>
        <v>Sweidi 2</v>
      </c>
      <c r="E32" s="10">
        <f>IFERROR(__xludf.DUMMYFUNCTION("""COMPUTED_VALUE"""),13.0)</f>
        <v>13</v>
      </c>
      <c r="F32" s="30" t="str">
        <f>IFERROR(__xludf.DUMMYFUNCTION("""COMPUTED_VALUE"""),"-")</f>
        <v>-</v>
      </c>
      <c r="G32" s="30">
        <f>IFERROR(__xludf.DUMMYFUNCTION("""COMPUTED_VALUE"""),45929.0)</f>
        <v>45929</v>
      </c>
      <c r="H32" s="10" t="str">
        <f>IFERROR(__xludf.DUMMYFUNCTION("""COMPUTED_VALUE"""),"Live")</f>
        <v>Live</v>
      </c>
      <c r="I32" s="31" t="str">
        <f>IFERROR(__xludf.DUMMYFUNCTION("""COMPUTED_VALUE"""),"Link")</f>
        <v>Link</v>
      </c>
      <c r="J32" s="29" t="str">
        <f>IFERROR(__xludf.DUMMYFUNCTION("""COMPUTED_VALUE"""),"Link")</f>
        <v>Link</v>
      </c>
      <c r="K32" s="29" t="str">
        <f>IFERROR(__xludf.DUMMYFUNCTION("""COMPUTED_VALUE"""),"Link")</f>
        <v>Link</v>
      </c>
      <c r="L32" s="10" t="b">
        <f>IFERROR(__xludf.DUMMYFUNCTION("""COMPUTED_VALUE"""),TRUE)</f>
        <v>1</v>
      </c>
      <c r="M32" s="10" t="b">
        <f>IFERROR(__xludf.DUMMYFUNCTION("""COMPUTED_VALUE"""),FALSE)</f>
        <v>0</v>
      </c>
      <c r="N32" s="29" t="str">
        <f>IFERROR(__xludf.DUMMYFUNCTION("""COMPUTED_VALUE"""),"HMQ8+VCX As Suwaidi, Riyadh")</f>
        <v>HMQ8+VCX As Suwaidi, Riyadh</v>
      </c>
      <c r="O32" s="10"/>
    </row>
    <row r="33">
      <c r="A33" s="10">
        <f>IFERROR(__xludf.DUMMYFUNCTION("""COMPUTED_VALUE"""),32.0)</f>
        <v>32</v>
      </c>
      <c r="B33" s="10" t="str">
        <f>IFERROR(__xludf.DUMMYFUNCTION("""COMPUTED_VALUE"""),"SA - RUH - King Faisal")</f>
        <v>SA - RUH - King Faisal</v>
      </c>
      <c r="C33" s="29" t="str">
        <f>IFERROR(__xludf.DUMMYFUNCTION("""COMPUTED_VALUE"""),"Link")</f>
        <v>Link</v>
      </c>
      <c r="D33" s="10" t="str">
        <f>IFERROR(__xludf.DUMMYFUNCTION("""COMPUTED_VALUE"""),"King Faisal")</f>
        <v>King Faisal</v>
      </c>
      <c r="E33" s="10">
        <f>IFERROR(__xludf.DUMMYFUNCTION("""COMPUTED_VALUE"""),23.0)</f>
        <v>23</v>
      </c>
      <c r="F33" s="30" t="str">
        <f>IFERROR(__xludf.DUMMYFUNCTION("""COMPUTED_VALUE"""),"-")</f>
        <v>-</v>
      </c>
      <c r="G33" s="30">
        <f>IFERROR(__xludf.DUMMYFUNCTION("""COMPUTED_VALUE"""),46011.0)</f>
        <v>46011</v>
      </c>
      <c r="H33" s="10" t="str">
        <f>IFERROR(__xludf.DUMMYFUNCTION("""COMPUTED_VALUE"""),"Live")</f>
        <v>Live</v>
      </c>
      <c r="I33" s="31" t="str">
        <f>IFERROR(__xludf.DUMMYFUNCTION("""COMPUTED_VALUE"""),"Link")</f>
        <v>Link</v>
      </c>
      <c r="J33" s="29" t="str">
        <f>IFERROR(__xludf.DUMMYFUNCTION("""COMPUTED_VALUE"""),"Link")</f>
        <v>Link</v>
      </c>
      <c r="K33" s="29" t="str">
        <f>IFERROR(__xludf.DUMMYFUNCTION("""COMPUTED_VALUE"""),"Link")</f>
        <v>Link</v>
      </c>
      <c r="L33" s="10" t="b">
        <f>IFERROR(__xludf.DUMMYFUNCTION("""COMPUTED_VALUE"""),TRUE)</f>
        <v>1</v>
      </c>
      <c r="M33" s="10" t="b">
        <f>IFERROR(__xludf.DUMMYFUNCTION("""COMPUTED_VALUE"""),FALSE)</f>
        <v>0</v>
      </c>
      <c r="N33" s="29" t="str">
        <f>IFERROR(__xludf.DUMMYFUNCTION("""COMPUTED_VALUE"""),"QQ5G+MJ4 King Faisal Dt., Riyadh")</f>
        <v>QQ5G+MJ4 King Faisal Dt., Riyadh</v>
      </c>
      <c r="O33" s="10"/>
    </row>
    <row r="34">
      <c r="A34" s="10">
        <f>IFERROR(__xludf.DUMMYFUNCTION("""COMPUTED_VALUE"""),33.0)</f>
        <v>33</v>
      </c>
      <c r="B34" s="10" t="str">
        <f>IFERROR(__xludf.DUMMYFUNCTION("""COMPUTED_VALUE"""),"SA - RUH - Arid (2)")</f>
        <v>SA - RUH - Arid (2)</v>
      </c>
      <c r="C34" s="29" t="str">
        <f>IFERROR(__xludf.DUMMYFUNCTION("""COMPUTED_VALUE"""),"Link")</f>
        <v>Link</v>
      </c>
      <c r="D34" s="10" t="str">
        <f>IFERROR(__xludf.DUMMYFUNCTION("""COMPUTED_VALUE"""),"Arid 2")</f>
        <v>Arid 2</v>
      </c>
      <c r="E34" s="10">
        <f>IFERROR(__xludf.DUMMYFUNCTION("""COMPUTED_VALUE"""),21.0)</f>
        <v>21</v>
      </c>
      <c r="F34" s="30" t="str">
        <f>IFERROR(__xludf.DUMMYFUNCTION("""COMPUTED_VALUE"""),"-")</f>
        <v>-</v>
      </c>
      <c r="G34" s="30">
        <f>IFERROR(__xludf.DUMMYFUNCTION("""COMPUTED_VALUE"""),46068.0)</f>
        <v>46068</v>
      </c>
      <c r="H34" s="10" t="str">
        <f>IFERROR(__xludf.DUMMYFUNCTION("""COMPUTED_VALUE"""),"Live")</f>
        <v>Live</v>
      </c>
      <c r="I34" s="31" t="str">
        <f>IFERROR(__xludf.DUMMYFUNCTION("""COMPUTED_VALUE"""),"Link")</f>
        <v>Link</v>
      </c>
      <c r="J34" s="29" t="str">
        <f>IFERROR(__xludf.DUMMYFUNCTION("""COMPUTED_VALUE"""),"Link")</f>
        <v>Link</v>
      </c>
      <c r="K34" s="29" t="str">
        <f>IFERROR(__xludf.DUMMYFUNCTION("""COMPUTED_VALUE"""),"Link")</f>
        <v>Link</v>
      </c>
      <c r="L34" s="10" t="b">
        <f>IFERROR(__xludf.DUMMYFUNCTION("""COMPUTED_VALUE"""),TRUE)</f>
        <v>1</v>
      </c>
      <c r="M34" s="10" t="b">
        <f>IFERROR(__xludf.DUMMYFUNCTION("""COMPUTED_VALUE"""),FALSE)</f>
        <v>0</v>
      </c>
      <c r="N34" s="29" t="str">
        <f>IFERROR(__xludf.DUMMYFUNCTION("""COMPUTED_VALUE"""),"QM4W+GMW Al Arid, Riyadh")</f>
        <v>QM4W+GMW Al Arid, Riyadh</v>
      </c>
      <c r="O34" s="10"/>
    </row>
    <row r="35">
      <c r="A35" s="10">
        <f>IFERROR(__xludf.DUMMYFUNCTION("""COMPUTED_VALUE"""),34.0)</f>
        <v>34</v>
      </c>
      <c r="B35" s="10" t="str">
        <f>IFERROR(__xludf.DUMMYFUNCTION("""COMPUTED_VALUE"""),"SA - DMM - Ghirnatah (2)")</f>
        <v>SA - DMM - Ghirnatah (2)</v>
      </c>
      <c r="C35" s="29" t="str">
        <f>IFERROR(__xludf.DUMMYFUNCTION("""COMPUTED_VALUE"""),"Link")</f>
        <v>Link</v>
      </c>
      <c r="D35" s="10" t="str">
        <f>IFERROR(__xludf.DUMMYFUNCTION("""COMPUTED_VALUE"""),"Ghirnatah 2")</f>
        <v>Ghirnatah 2</v>
      </c>
      <c r="E35" s="10">
        <f>IFERROR(__xludf.DUMMYFUNCTION("""COMPUTED_VALUE"""),14.0)</f>
        <v>14</v>
      </c>
      <c r="F35" s="30">
        <f>IFERROR(__xludf.DUMMYFUNCTION("""COMPUTED_VALUE"""),45992.0)</f>
        <v>45992</v>
      </c>
      <c r="G35" s="30">
        <f>IFERROR(__xludf.DUMMYFUNCTION("""COMPUTED_VALUE"""),45950.0)</f>
        <v>45950</v>
      </c>
      <c r="H35" s="10" t="str">
        <f>IFERROR(__xludf.DUMMYFUNCTION("""COMPUTED_VALUE"""),"Live")</f>
        <v>Live</v>
      </c>
      <c r="I35" s="31" t="str">
        <f>IFERROR(__xludf.DUMMYFUNCTION("""COMPUTED_VALUE"""),"Link")</f>
        <v>Link</v>
      </c>
      <c r="J35" s="29" t="str">
        <f>IFERROR(__xludf.DUMMYFUNCTION("""COMPUTED_VALUE"""),"Link")</f>
        <v>Link</v>
      </c>
      <c r="K35" s="10" t="str">
        <f>IFERROR(__xludf.DUMMYFUNCTION("""COMPUTED_VALUE"""),"Link")</f>
        <v>Link</v>
      </c>
      <c r="L35" s="10" t="b">
        <f>IFERROR(__xludf.DUMMYFUNCTION("""COMPUTED_VALUE"""),TRUE)</f>
        <v>1</v>
      </c>
      <c r="M35" s="10" t="b">
        <f>IFERROR(__xludf.DUMMYFUNCTION("""COMPUTED_VALUE"""),FALSE)</f>
        <v>0</v>
      </c>
      <c r="N35" s="29" t="str">
        <f>IFERROR(__xludf.DUMMYFUNCTION("""COMPUTED_VALUE"""),"C3FH+4G7 Dammam")</f>
        <v>C3FH+4G7 Dammam</v>
      </c>
      <c r="O35" s="10"/>
    </row>
    <row r="36">
      <c r="A36" s="10">
        <f>IFERROR(__xludf.DUMMYFUNCTION("""COMPUTED_VALUE"""),35.0)</f>
        <v>35</v>
      </c>
      <c r="B36" s="10" t="str">
        <f>IFERROR(__xludf.DUMMYFUNCTION("""COMPUTED_VALUE"""),"SA - RUH - Aqiq (2)")</f>
        <v>SA - RUH - Aqiq (2)</v>
      </c>
      <c r="C36" s="29" t="str">
        <f>IFERROR(__xludf.DUMMYFUNCTION("""COMPUTED_VALUE"""),"Link")</f>
        <v>Link</v>
      </c>
      <c r="D36" s="10" t="str">
        <f>IFERROR(__xludf.DUMMYFUNCTION("""COMPUTED_VALUE"""),"Aqiq 2")</f>
        <v>Aqiq 2</v>
      </c>
      <c r="E36" s="10">
        <f>IFERROR(__xludf.DUMMYFUNCTION("""COMPUTED_VALUE"""),13.0)</f>
        <v>13</v>
      </c>
      <c r="F36" s="30">
        <f>IFERROR(__xludf.DUMMYFUNCTION("""COMPUTED_VALUE"""),45945.0)</f>
        <v>45945</v>
      </c>
      <c r="G36" s="30">
        <f>IFERROR(__xludf.DUMMYFUNCTION("""COMPUTED_VALUE"""),46029.0)</f>
        <v>46029</v>
      </c>
      <c r="H36" s="10" t="str">
        <f>IFERROR(__xludf.DUMMYFUNCTION("""COMPUTED_VALUE"""),"Live")</f>
        <v>Live</v>
      </c>
      <c r="I36" s="31" t="str">
        <f>IFERROR(__xludf.DUMMYFUNCTION("""COMPUTED_VALUE"""),"Link")</f>
        <v>Link</v>
      </c>
      <c r="J36" s="29" t="str">
        <f>IFERROR(__xludf.DUMMYFUNCTION("""COMPUTED_VALUE"""),"Link")</f>
        <v>Link</v>
      </c>
      <c r="K36" s="29" t="str">
        <f>IFERROR(__xludf.DUMMYFUNCTION("""COMPUTED_VALUE"""),"Link")</f>
        <v>Link</v>
      </c>
      <c r="L36" s="10" t="b">
        <f>IFERROR(__xludf.DUMMYFUNCTION("""COMPUTED_VALUE"""),TRUE)</f>
        <v>1</v>
      </c>
      <c r="M36" s="10" t="b">
        <f>IFERROR(__xludf.DUMMYFUNCTION("""COMPUTED_VALUE"""),FALSE)</f>
        <v>0</v>
      </c>
      <c r="N36" s="29" t="str">
        <f>IFERROR(__xludf.DUMMYFUNCTION("""COMPUTED_VALUE"""),"QJPF+J3F Al Aqiq, Riyadh")</f>
        <v>QJPF+J3F Al Aqiq, Riyadh</v>
      </c>
      <c r="O36" s="10"/>
    </row>
    <row r="37">
      <c r="A37" s="10">
        <f>IFERROR(__xludf.DUMMYFUNCTION("""COMPUTED_VALUE"""),36.0)</f>
        <v>36</v>
      </c>
      <c r="B37" s="10" t="str">
        <f>IFERROR(__xludf.DUMMYFUNCTION("""COMPUTED_VALUE"""),"SA - RUH - Sahafa")</f>
        <v>SA - RUH - Sahafa</v>
      </c>
      <c r="C37" s="29" t="str">
        <f>IFERROR(__xludf.DUMMYFUNCTION("""COMPUTED_VALUE"""),"Link")</f>
        <v>Link</v>
      </c>
      <c r="D37" s="10" t="str">
        <f>IFERROR(__xludf.DUMMYFUNCTION("""COMPUTED_VALUE"""),"Sahafa")</f>
        <v>Sahafa</v>
      </c>
      <c r="E37" s="10">
        <f>IFERROR(__xludf.DUMMYFUNCTION("""COMPUTED_VALUE"""),23.0)</f>
        <v>23</v>
      </c>
      <c r="F37" s="30" t="str">
        <f>IFERROR(__xludf.DUMMYFUNCTION("""COMPUTED_VALUE"""),"-")</f>
        <v>-</v>
      </c>
      <c r="G37" s="30">
        <f>IFERROR(__xludf.DUMMYFUNCTION("""COMPUTED_VALUE"""),46235.0)</f>
        <v>46235</v>
      </c>
      <c r="H37" s="10" t="str">
        <f>IFERROR(__xludf.DUMMYFUNCTION("""COMPUTED_VALUE"""),"U/C")</f>
        <v>U/C</v>
      </c>
      <c r="I37" s="31" t="str">
        <f>IFERROR(__xludf.DUMMYFUNCTION("""COMPUTED_VALUE"""),"Link")</f>
        <v>Link</v>
      </c>
      <c r="J37" s="29" t="str">
        <f>IFERROR(__xludf.DUMMYFUNCTION("""COMPUTED_VALUE"""),"Link")</f>
        <v>Link</v>
      </c>
      <c r="K37" s="10" t="str">
        <f>IFERROR(__xludf.DUMMYFUNCTION("""COMPUTED_VALUE"""),"Link")</f>
        <v>Link</v>
      </c>
      <c r="L37" s="10" t="b">
        <f>IFERROR(__xludf.DUMMYFUNCTION("""COMPUTED_VALUE"""),FALSE)</f>
        <v>0</v>
      </c>
      <c r="M37" s="10" t="b">
        <f>IFERROR(__xludf.DUMMYFUNCTION("""COMPUTED_VALUE"""),FALSE)</f>
        <v>0</v>
      </c>
      <c r="N37" s="29" t="str">
        <f>IFERROR(__xludf.DUMMYFUNCTION("""COMPUTED_VALUE"""),"RJ4Q+CFV As Sahafah, Riyadh")</f>
        <v>RJ4Q+CFV As Sahafah, Riyadh</v>
      </c>
      <c r="O37" s="10"/>
    </row>
    <row r="38">
      <c r="A38" s="10">
        <f>IFERROR(__xludf.DUMMYFUNCTION("""COMPUTED_VALUE"""),37.0)</f>
        <v>37</v>
      </c>
      <c r="B38" s="10" t="str">
        <f>IFERROR(__xludf.DUMMYFUNCTION("""COMPUTED_VALUE"""),"SA - KBR - Rakah")</f>
        <v>SA - KBR - Rakah</v>
      </c>
      <c r="C38" s="29" t="str">
        <f>IFERROR(__xludf.DUMMYFUNCTION("""COMPUTED_VALUE"""),"Link")</f>
        <v>Link</v>
      </c>
      <c r="D38" s="10" t="str">
        <f>IFERROR(__xludf.DUMMYFUNCTION("""COMPUTED_VALUE"""),"Rakah")</f>
        <v>Rakah</v>
      </c>
      <c r="E38" s="10">
        <f>IFERROR(__xludf.DUMMYFUNCTION("""COMPUTED_VALUE"""),17.0)</f>
        <v>17</v>
      </c>
      <c r="F38" s="30">
        <f>IFERROR(__xludf.DUMMYFUNCTION("""COMPUTED_VALUE"""),46054.0)</f>
        <v>46054</v>
      </c>
      <c r="G38" s="30">
        <f>IFERROR(__xludf.DUMMYFUNCTION("""COMPUTED_VALUE"""),46113.0)</f>
        <v>46113</v>
      </c>
      <c r="H38" s="10" t="str">
        <f>IFERROR(__xludf.DUMMYFUNCTION("""COMPUTED_VALUE"""),"Live")</f>
        <v>Live</v>
      </c>
      <c r="I38" s="31" t="str">
        <f>IFERROR(__xludf.DUMMYFUNCTION("""COMPUTED_VALUE"""),"Link")</f>
        <v>Link</v>
      </c>
      <c r="J38" s="29" t="str">
        <f>IFERROR(__xludf.DUMMYFUNCTION("""COMPUTED_VALUE"""),"Link")</f>
        <v>Link</v>
      </c>
      <c r="K38" s="29" t="str">
        <f>IFERROR(__xludf.DUMMYFUNCTION("""COMPUTED_VALUE"""),"Link")</f>
        <v>Link</v>
      </c>
      <c r="L38" s="10" t="b">
        <f>IFERROR(__xludf.DUMMYFUNCTION("""COMPUTED_VALUE"""),FALSE)</f>
        <v>0</v>
      </c>
      <c r="M38" s="10" t="b">
        <f>IFERROR(__xludf.DUMMYFUNCTION("""COMPUTED_VALUE"""),FALSE)</f>
        <v>0</v>
      </c>
      <c r="N38" s="29" t="str">
        <f>IFERROR(__xludf.DUMMYFUNCTION("""COMPUTED_VALUE"""),"9633+HJ6 Al Khobar")</f>
        <v>9633+HJ6 Al Khobar</v>
      </c>
      <c r="O38" s="10"/>
    </row>
    <row r="39">
      <c r="A39" s="10">
        <f>IFERROR(__xludf.DUMMYFUNCTION("""COMPUTED_VALUE"""),38.0)</f>
        <v>38</v>
      </c>
      <c r="B39" s="10" t="str">
        <f>IFERROR(__xludf.DUMMYFUNCTION("""COMPUTED_VALUE"""),"SA - RUH - Wurud")</f>
        <v>SA - RUH - Wurud</v>
      </c>
      <c r="C39" s="29" t="str">
        <f>IFERROR(__xludf.DUMMYFUNCTION("""COMPUTED_VALUE"""),"Link")</f>
        <v>Link</v>
      </c>
      <c r="D39" s="10" t="str">
        <f>IFERROR(__xludf.DUMMYFUNCTION("""COMPUTED_VALUE"""),"Wurud")</f>
        <v>Wurud</v>
      </c>
      <c r="E39" s="10">
        <f>IFERROR(__xludf.DUMMYFUNCTION("""COMPUTED_VALUE"""),22.0)</f>
        <v>22</v>
      </c>
      <c r="F39" s="30">
        <f>IFERROR(__xludf.DUMMYFUNCTION("""COMPUTED_VALUE"""),46054.0)</f>
        <v>46054</v>
      </c>
      <c r="G39" s="30">
        <f>IFERROR(__xludf.DUMMYFUNCTION("""COMPUTED_VALUE"""),46068.0)</f>
        <v>46068</v>
      </c>
      <c r="H39" s="10" t="str">
        <f>IFERROR(__xludf.DUMMYFUNCTION("""COMPUTED_VALUE"""),"Live")</f>
        <v>Live</v>
      </c>
      <c r="I39" s="31" t="str">
        <f>IFERROR(__xludf.DUMMYFUNCTION("""COMPUTED_VALUE"""),"Link")</f>
        <v>Link</v>
      </c>
      <c r="J39" s="29" t="str">
        <f>IFERROR(__xludf.DUMMYFUNCTION("""COMPUTED_VALUE"""),"Link")</f>
        <v>Link</v>
      </c>
      <c r="K39" s="10" t="str">
        <f>IFERROR(__xludf.DUMMYFUNCTION("""COMPUTED_VALUE"""),"Link")</f>
        <v>Link</v>
      </c>
      <c r="L39" s="10" t="b">
        <f>IFERROR(__xludf.DUMMYFUNCTION("""COMPUTED_VALUE"""),FALSE)</f>
        <v>0</v>
      </c>
      <c r="M39" s="10" t="b">
        <f>IFERROR(__xludf.DUMMYFUNCTION("""COMPUTED_VALUE"""),FALSE)</f>
        <v>0</v>
      </c>
      <c r="N39" s="37" t="str">
        <f>IFERROR(__xludf.DUMMYFUNCTION("""COMPUTED_VALUE"""),"RHWA7172, 7172 Al Muhandis Masaid Al Anqari, 3057, Al Wurud, Riyadh 12252")</f>
        <v>RHWA7172, 7172 Al Muhandis Masaid Al Anqari, 3057, Al Wurud, Riyadh 12252</v>
      </c>
      <c r="O39" s="10"/>
    </row>
    <row r="40">
      <c r="A40" s="10">
        <f>IFERROR(__xludf.DUMMYFUNCTION("""COMPUTED_VALUE"""),39.0)</f>
        <v>39</v>
      </c>
      <c r="B40" s="10" t="str">
        <f>IFERROR(__xludf.DUMMYFUNCTION("""COMPUTED_VALUE"""),"SA - DMM - Jamiah (2)")</f>
        <v>SA - DMM - Jamiah (2)</v>
      </c>
      <c r="C40" s="29" t="str">
        <f>IFERROR(__xludf.DUMMYFUNCTION("""COMPUTED_VALUE"""),"Link")</f>
        <v>Link</v>
      </c>
      <c r="D40" s="10" t="str">
        <f>IFERROR(__xludf.DUMMYFUNCTION("""COMPUTED_VALUE"""),"Jamiah (2)")</f>
        <v>Jamiah (2)</v>
      </c>
      <c r="E40" s="10">
        <f>IFERROR(__xludf.DUMMYFUNCTION("""COMPUTED_VALUE"""),19.0)</f>
        <v>19</v>
      </c>
      <c r="F40" s="30">
        <f>IFERROR(__xludf.DUMMYFUNCTION("""COMPUTED_VALUE"""),46082.0)</f>
        <v>46082</v>
      </c>
      <c r="G40" s="38">
        <f>IFERROR(__xludf.DUMMYFUNCTION("""COMPUTED_VALUE"""),46143.0)</f>
        <v>46143</v>
      </c>
      <c r="H40" s="10" t="str">
        <f>IFERROR(__xludf.DUMMYFUNCTION("""COMPUTED_VALUE"""),"U/C")</f>
        <v>U/C</v>
      </c>
      <c r="I40" s="31" t="str">
        <f>IFERROR(__xludf.DUMMYFUNCTION("""COMPUTED_VALUE"""),"Link")</f>
        <v>Link</v>
      </c>
      <c r="J40" s="29" t="str">
        <f>IFERROR(__xludf.DUMMYFUNCTION("""COMPUTED_VALUE"""),"Link")</f>
        <v>Link</v>
      </c>
      <c r="K40" s="10"/>
      <c r="L40" s="10" t="b">
        <f>IFERROR(__xludf.DUMMYFUNCTION("""COMPUTED_VALUE"""),FALSE)</f>
        <v>0</v>
      </c>
      <c r="M40" s="10" t="b">
        <f>IFERROR(__xludf.DUMMYFUNCTION("""COMPUTED_VALUE"""),FALSE)</f>
        <v>0</v>
      </c>
      <c r="N40" s="29" t="str">
        <f>IFERROR(__xludf.DUMMYFUNCTION("""COMPUTED_VALUE"""),"84XM+Q6C, Aljamiah District, Dhahran 34257")</f>
        <v>84XM+Q6C, Aljamiah District, Dhahran 34257</v>
      </c>
      <c r="O40" s="10"/>
    </row>
    <row r="41">
      <c r="A41" s="10">
        <f>IFERROR(__xludf.DUMMYFUNCTION("""COMPUTED_VALUE"""),40.0)</f>
        <v>40</v>
      </c>
      <c r="B41" s="10" t="str">
        <f>IFERROR(__xludf.DUMMYFUNCTION("""COMPUTED_VALUE"""),"SA - RUH - Yarmuk")</f>
        <v>SA - RUH - Yarmuk</v>
      </c>
      <c r="C41" s="29" t="str">
        <f>IFERROR(__xludf.DUMMYFUNCTION("""COMPUTED_VALUE"""),"Link")</f>
        <v>Link</v>
      </c>
      <c r="D41" s="10" t="str">
        <f>IFERROR(__xludf.DUMMYFUNCTION("""COMPUTED_VALUE"""),"Yarmuk")</f>
        <v>Yarmuk</v>
      </c>
      <c r="E41" s="10">
        <f>IFERROR(__xludf.DUMMYFUNCTION("""COMPUTED_VALUE"""),27.0)</f>
        <v>27</v>
      </c>
      <c r="F41" s="30">
        <f>IFERROR(__xludf.DUMMYFUNCTION("""COMPUTED_VALUE"""),46204.0)</f>
        <v>46204</v>
      </c>
      <c r="G41" s="38">
        <f>IFERROR(__xludf.DUMMYFUNCTION("""COMPUTED_VALUE"""),46204.0)</f>
        <v>46204</v>
      </c>
      <c r="H41" s="10" t="str">
        <f>IFERROR(__xludf.DUMMYFUNCTION("""COMPUTED_VALUE"""),"U/C")</f>
        <v>U/C</v>
      </c>
      <c r="I41" s="31" t="str">
        <f>IFERROR(__xludf.DUMMYFUNCTION("""COMPUTED_VALUE"""),"Link")</f>
        <v>Link</v>
      </c>
      <c r="J41" s="29" t="str">
        <f>IFERROR(__xludf.DUMMYFUNCTION("""COMPUTED_VALUE"""),"Link")</f>
        <v>Link</v>
      </c>
      <c r="K41" s="10" t="str">
        <f>IFERROR(__xludf.DUMMYFUNCTION("""COMPUTED_VALUE"""),"Link")</f>
        <v>Link</v>
      </c>
      <c r="L41" s="10" t="b">
        <f>IFERROR(__xludf.DUMMYFUNCTION("""COMPUTED_VALUE"""),FALSE)</f>
        <v>0</v>
      </c>
      <c r="M41" s="10" t="b">
        <f>IFERROR(__xludf.DUMMYFUNCTION("""COMPUTED_VALUE"""),FALSE)</f>
        <v>0</v>
      </c>
      <c r="N41" s="37" t="str">
        <f>IFERROR(__xludf.DUMMYFUNCTION("""COMPUTED_VALUE"""),"RQ4V+Q27 Al Yarmuk, Riyadh Saudi Arabia")</f>
        <v>RQ4V+Q27 Al Yarmuk, Riyadh Saudi Arabia</v>
      </c>
      <c r="O41" s="10"/>
    </row>
    <row r="42">
      <c r="A42" s="10">
        <f>IFERROR(__xludf.DUMMYFUNCTION("""COMPUTED_VALUE"""),41.0)</f>
        <v>41</v>
      </c>
      <c r="B42" s="10" t="str">
        <f>IFERROR(__xludf.DUMMYFUNCTION("""COMPUTED_VALUE"""),"SA - RUH - Yasmin (2)")</f>
        <v>SA - RUH - Yasmin (2)</v>
      </c>
      <c r="C42" s="29" t="str">
        <f>IFERROR(__xludf.DUMMYFUNCTION("""COMPUTED_VALUE"""),"Link")</f>
        <v>Link</v>
      </c>
      <c r="D42" s="10" t="str">
        <f>IFERROR(__xludf.DUMMYFUNCTION("""COMPUTED_VALUE"""),"Yasmin (2)")</f>
        <v>Yasmin (2)</v>
      </c>
      <c r="E42" s="10">
        <f>IFERROR(__xludf.DUMMYFUNCTION("""COMPUTED_VALUE"""),23.0)</f>
        <v>23</v>
      </c>
      <c r="F42" s="30" t="str">
        <f>IFERROR(__xludf.DUMMYFUNCTION("""COMPUTED_VALUE"""),"-")</f>
        <v>-</v>
      </c>
      <c r="G42" s="38">
        <f>IFERROR(__xludf.DUMMYFUNCTION("""COMPUTED_VALUE"""),46675.0)</f>
        <v>46675</v>
      </c>
      <c r="H42" s="10" t="str">
        <f>IFERROR(__xludf.DUMMYFUNCTION("""COMPUTED_VALUE"""),"U/C")</f>
        <v>U/C</v>
      </c>
      <c r="I42" s="31" t="str">
        <f>IFERROR(__xludf.DUMMYFUNCTION("""COMPUTED_VALUE"""),"Link")</f>
        <v>Link</v>
      </c>
      <c r="J42" s="29" t="str">
        <f>IFERROR(__xludf.DUMMYFUNCTION("""COMPUTED_VALUE"""),"Link")</f>
        <v>Link</v>
      </c>
      <c r="K42" s="10" t="str">
        <f>IFERROR(__xludf.DUMMYFUNCTION("""COMPUTED_VALUE"""),"Link")</f>
        <v>Link</v>
      </c>
      <c r="L42" s="10" t="b">
        <f>IFERROR(__xludf.DUMMYFUNCTION("""COMPUTED_VALUE"""),FALSE)</f>
        <v>0</v>
      </c>
      <c r="M42" s="10" t="b">
        <f>IFERROR(__xludf.DUMMYFUNCTION("""COMPUTED_VALUE"""),FALSE)</f>
        <v>0</v>
      </c>
      <c r="N42" s="29" t="str">
        <f>IFERROR(__xludf.DUMMYFUNCTION("""COMPUTED_VALUE"""),"Al Qadisiyah, Alyasmin, Riyadh 13322")</f>
        <v>Al Qadisiyah, Alyasmin, Riyadh 13322</v>
      </c>
      <c r="O42" s="10"/>
    </row>
    <row r="43">
      <c r="A43" s="10">
        <f>IFERROR(__xludf.DUMMYFUNCTION("""COMPUTED_VALUE"""),42.0)</f>
        <v>42</v>
      </c>
      <c r="B43" s="10" t="str">
        <f>IFERROR(__xludf.DUMMYFUNCTION("""COMPUTED_VALUE"""),"SA - RUH - Al Fayhaa")</f>
        <v>SA - RUH - Al Fayhaa</v>
      </c>
      <c r="C43" s="10"/>
      <c r="D43" s="10"/>
      <c r="E43" s="10">
        <f>IFERROR(__xludf.DUMMYFUNCTION("""COMPUTED_VALUE"""),16.0)</f>
        <v>16</v>
      </c>
      <c r="F43" s="30">
        <f>IFERROR(__xludf.DUMMYFUNCTION("""COMPUTED_VALUE"""),46117.0)</f>
        <v>46117</v>
      </c>
      <c r="G43" s="38">
        <f>IFERROR(__xludf.DUMMYFUNCTION("""COMPUTED_VALUE"""),46174.0)</f>
        <v>46174</v>
      </c>
      <c r="H43" s="10" t="str">
        <f>IFERROR(__xludf.DUMMYFUNCTION("""COMPUTED_VALUE"""),"U/C")</f>
        <v>U/C</v>
      </c>
      <c r="I43" s="13"/>
      <c r="J43" s="10"/>
      <c r="K43" s="10"/>
      <c r="L43" s="10" t="b">
        <f>IFERROR(__xludf.DUMMYFUNCTION("""COMPUTED_VALUE"""),FALSE)</f>
        <v>0</v>
      </c>
      <c r="M43" s="10" t="b">
        <f>IFERROR(__xludf.DUMMYFUNCTION("""COMPUTED_VALUE"""),FALSE)</f>
        <v>0</v>
      </c>
      <c r="N43" s="29" t="str">
        <f>IFERROR(__xludf.DUMMYFUNCTION("""COMPUTED_VALUE"""),"MRMC+74W Al Fayha, Riyadh Saudi Arabia")</f>
        <v>MRMC+74W Al Fayha, Riyadh Saudi Arabia</v>
      </c>
      <c r="O43" s="10"/>
    </row>
    <row r="44">
      <c r="A44" s="10">
        <f>IFERROR(__xludf.DUMMYFUNCTION("""COMPUTED_VALUE"""),43.0)</f>
        <v>43</v>
      </c>
      <c r="B44" s="10" t="str">
        <f>IFERROR(__xludf.DUMMYFUNCTION("""COMPUTED_VALUE"""),"SA - RUH - Nazim (2)")</f>
        <v>SA - RUH - Nazim (2)</v>
      </c>
      <c r="C44" s="29" t="str">
        <f>IFERROR(__xludf.DUMMYFUNCTION("""COMPUTED_VALUE"""),"Link")</f>
        <v>Link</v>
      </c>
      <c r="D44" s="10" t="str">
        <f>IFERROR(__xludf.DUMMYFUNCTION("""COMPUTED_VALUE"""),"Nazim (2)")</f>
        <v>Nazim (2)</v>
      </c>
      <c r="E44" s="10">
        <f>IFERROR(__xludf.DUMMYFUNCTION("""COMPUTED_VALUE"""),22.0)</f>
        <v>22</v>
      </c>
      <c r="F44" s="30" t="str">
        <f>IFERROR(__xludf.DUMMYFUNCTION("""COMPUTED_VALUE"""),"-")</f>
        <v>-</v>
      </c>
      <c r="G44" s="38">
        <f>IFERROR(__xludf.DUMMYFUNCTION("""COMPUTED_VALUE"""),46280.0)</f>
        <v>46280</v>
      </c>
      <c r="H44" s="10" t="str">
        <f>IFERROR(__xludf.DUMMYFUNCTION("""COMPUTED_VALUE"""),"Greenlit")</f>
        <v>Greenlit</v>
      </c>
      <c r="I44" s="31" t="str">
        <f>IFERROR(__xludf.DUMMYFUNCTION("""COMPUTED_VALUE"""),"Link")</f>
        <v>Link</v>
      </c>
      <c r="J44" s="29" t="str">
        <f>IFERROR(__xludf.DUMMYFUNCTION("""COMPUTED_VALUE"""),"Link")</f>
        <v>Link</v>
      </c>
      <c r="K44" s="10" t="str">
        <f>IFERROR(__xludf.DUMMYFUNCTION("""COMPUTED_VALUE"""),"Link")</f>
        <v>Link</v>
      </c>
      <c r="L44" s="10" t="b">
        <f>IFERROR(__xludf.DUMMYFUNCTION("""COMPUTED_VALUE"""),FALSE)</f>
        <v>0</v>
      </c>
      <c r="M44" s="10" t="b">
        <f>IFERROR(__xludf.DUMMYFUNCTION("""COMPUTED_VALUE"""),FALSE)</f>
        <v>0</v>
      </c>
      <c r="N44" s="29" t="str">
        <f>IFERROR(__xludf.DUMMYFUNCTION("""COMPUTED_VALUE"""),"QVRP+Q2X Al Nadwa, Riyadh")</f>
        <v>QVRP+Q2X Al Nadwa, Riyadh</v>
      </c>
      <c r="O44" s="10"/>
    </row>
    <row r="45">
      <c r="A45" s="10">
        <f>IFERROR(__xludf.DUMMYFUNCTION("""COMPUTED_VALUE"""),44.0)</f>
        <v>44</v>
      </c>
      <c r="B45" s="10" t="str">
        <f>IFERROR(__xludf.DUMMYFUNCTION("""COMPUTED_VALUE"""),"SA - RUH - Qirawan")</f>
        <v>SA - RUH - Qirawan</v>
      </c>
      <c r="C45" s="29" t="str">
        <f>IFERROR(__xludf.DUMMYFUNCTION("""COMPUTED_VALUE"""),"Link")</f>
        <v>Link</v>
      </c>
      <c r="D45" s="10" t="str">
        <f>IFERROR(__xludf.DUMMYFUNCTION("""COMPUTED_VALUE"""),"Qirawan")</f>
        <v>Qirawan</v>
      </c>
      <c r="E45" s="10">
        <f>IFERROR(__xludf.DUMMYFUNCTION("""COMPUTED_VALUE"""),25.0)</f>
        <v>25</v>
      </c>
      <c r="F45" s="30" t="str">
        <f>IFERROR(__xludf.DUMMYFUNCTION("""COMPUTED_VALUE"""),"-")</f>
        <v>-</v>
      </c>
      <c r="G45" s="38">
        <f>IFERROR(__xludf.DUMMYFUNCTION("""COMPUTED_VALUE"""),46266.0)</f>
        <v>46266</v>
      </c>
      <c r="H45" s="10" t="str">
        <f>IFERROR(__xludf.DUMMYFUNCTION("""COMPUTED_VALUE"""),"U/C")</f>
        <v>U/C</v>
      </c>
      <c r="I45" s="31" t="str">
        <f>IFERROR(__xludf.DUMMYFUNCTION("""COMPUTED_VALUE"""),"Link")</f>
        <v>Link</v>
      </c>
      <c r="J45" s="29" t="str">
        <f>IFERROR(__xludf.DUMMYFUNCTION("""COMPUTED_VALUE"""),"Link")</f>
        <v>Link</v>
      </c>
      <c r="K45" s="10" t="str">
        <f>IFERROR(__xludf.DUMMYFUNCTION("""COMPUTED_VALUE"""),"Link")</f>
        <v>Link</v>
      </c>
      <c r="L45" s="10" t="b">
        <f>IFERROR(__xludf.DUMMYFUNCTION("""COMPUTED_VALUE"""),FALSE)</f>
        <v>0</v>
      </c>
      <c r="M45" s="10" t="b">
        <f>IFERROR(__xludf.DUMMYFUNCTION("""COMPUTED_VALUE"""),FALSE)</f>
        <v>0</v>
      </c>
      <c r="N45" s="37" t="str">
        <f>IFERROR(__xludf.DUMMYFUNCTION("""COMPUTED_VALUE"""),"RJP3+Q66 Al Qirawan, Riyadh Saudi Arabia")</f>
        <v>RJP3+Q66 Al Qirawan, Riyadh Saudi Arabia</v>
      </c>
      <c r="O45" s="10"/>
    </row>
    <row r="46">
      <c r="A46" s="10">
        <f>IFERROR(__xludf.DUMMYFUNCTION("""COMPUTED_VALUE"""),45.0)</f>
        <v>45</v>
      </c>
      <c r="B46" s="10" t="str">
        <f>IFERROR(__xludf.DUMMYFUNCTION("""COMPUTED_VALUE"""),"SA - RUH - Nazim (3)")</f>
        <v>SA - RUH - Nazim (3)</v>
      </c>
      <c r="C46" s="10"/>
      <c r="D46" s="10"/>
      <c r="E46" s="10">
        <f>IFERROR(__xludf.DUMMYFUNCTION("""COMPUTED_VALUE"""),22.0)</f>
        <v>22</v>
      </c>
      <c r="F46" s="30" t="str">
        <f>IFERROR(__xludf.DUMMYFUNCTION("""COMPUTED_VALUE"""),"-")</f>
        <v>-</v>
      </c>
      <c r="G46" s="38">
        <f>IFERROR(__xludf.DUMMYFUNCTION("""COMPUTED_VALUE"""),46476.0)</f>
        <v>46476</v>
      </c>
      <c r="H46" s="10" t="str">
        <f>IFERROR(__xludf.DUMMYFUNCTION("""COMPUTED_VALUE"""),"U/C")</f>
        <v>U/C</v>
      </c>
      <c r="I46" s="13"/>
      <c r="J46" s="10"/>
      <c r="K46" s="10"/>
      <c r="L46" s="10" t="b">
        <f>IFERROR(__xludf.DUMMYFUNCTION("""COMPUTED_VALUE"""),FALSE)</f>
        <v>0</v>
      </c>
      <c r="M46" s="10" t="b">
        <f>IFERROR(__xludf.DUMMYFUNCTION("""COMPUTED_VALUE"""),FALSE)</f>
        <v>0</v>
      </c>
      <c r="N46" s="29" t="str">
        <f>IFERROR(__xludf.DUMMYFUNCTION("""COMPUTED_VALUE"""),"RW55+9C2 Al Nadwa, Riyadh")</f>
        <v>RW55+9C2 Al Nadwa, Riyadh</v>
      </c>
      <c r="O46" s="10"/>
    </row>
    <row r="47">
      <c r="A47" s="10">
        <f>IFERROR(__xludf.DUMMYFUNCTION("""COMPUTED_VALUE"""),46.0)</f>
        <v>46</v>
      </c>
      <c r="B47" s="10" t="str">
        <f>IFERROR(__xludf.DUMMYFUNCTION("""COMPUTED_VALUE"""),"SA - RUH - Khaleej (2)")</f>
        <v>SA - RUH - Khaleej (2)</v>
      </c>
      <c r="C47" s="29" t="str">
        <f>IFERROR(__xludf.DUMMYFUNCTION("""COMPUTED_VALUE"""),"Link")</f>
        <v>Link</v>
      </c>
      <c r="D47" s="10" t="str">
        <f>IFERROR(__xludf.DUMMYFUNCTION("""COMPUTED_VALUE"""),"Khaleej 2")</f>
        <v>Khaleej 2</v>
      </c>
      <c r="E47" s="10">
        <f>IFERROR(__xludf.DUMMYFUNCTION("""COMPUTED_VALUE"""),12.0)</f>
        <v>12</v>
      </c>
      <c r="F47" s="30" t="str">
        <f>IFERROR(__xludf.DUMMYFUNCTION("""COMPUTED_VALUE"""),"-")</f>
        <v>-</v>
      </c>
      <c r="G47" s="30">
        <f>IFERROR(__xludf.DUMMYFUNCTION("""COMPUTED_VALUE"""),46600.0)</f>
        <v>46600</v>
      </c>
      <c r="H47" s="10" t="str">
        <f>IFERROR(__xludf.DUMMYFUNCTION("""COMPUTED_VALUE"""),"Greenlit")</f>
        <v>Greenlit</v>
      </c>
      <c r="I47" s="31" t="str">
        <f>IFERROR(__xludf.DUMMYFUNCTION("""COMPUTED_VALUE"""),"Link")</f>
        <v>Link</v>
      </c>
      <c r="J47" s="29" t="str">
        <f>IFERROR(__xludf.DUMMYFUNCTION("""COMPUTED_VALUE"""),"Link")</f>
        <v>Link</v>
      </c>
      <c r="K47" s="10" t="str">
        <f>IFERROR(__xludf.DUMMYFUNCTION("""COMPUTED_VALUE"""),"Link")</f>
        <v>Link</v>
      </c>
      <c r="L47" s="10" t="b">
        <f>IFERROR(__xludf.DUMMYFUNCTION("""COMPUTED_VALUE"""),FALSE)</f>
        <v>0</v>
      </c>
      <c r="M47" s="10" t="b">
        <f>IFERROR(__xludf.DUMMYFUNCTION("""COMPUTED_VALUE"""),FALSE)</f>
        <v>0</v>
      </c>
      <c r="N47" s="37" t="str">
        <f>IFERROR(__xludf.DUMMYFUNCTION("""COMPUTED_VALUE"""),"QQCW+3Q Al Khaleej, Riyadh")</f>
        <v>QQCW+3Q Al Khaleej, Riyadh</v>
      </c>
      <c r="O47" s="10"/>
    </row>
    <row r="48">
      <c r="A48" s="10">
        <f>IFERROR(__xludf.DUMMYFUNCTION("""COMPUTED_VALUE"""),47.0)</f>
        <v>47</v>
      </c>
      <c r="B48" s="10" t="str">
        <f>IFERROR(__xludf.DUMMYFUNCTION("""COMPUTED_VALUE"""),"SA - RUH - Masiaf")</f>
        <v>SA - RUH - Masiaf</v>
      </c>
      <c r="C48" s="29" t="str">
        <f>IFERROR(__xludf.DUMMYFUNCTION("""COMPUTED_VALUE"""),"Link")</f>
        <v>Link</v>
      </c>
      <c r="D48" s="10" t="str">
        <f>IFERROR(__xludf.DUMMYFUNCTION("""COMPUTED_VALUE"""),"Masiaf")</f>
        <v>Masiaf</v>
      </c>
      <c r="E48" s="10">
        <f>IFERROR(__xludf.DUMMYFUNCTION("""COMPUTED_VALUE"""),24.0)</f>
        <v>24</v>
      </c>
      <c r="F48" s="30" t="str">
        <f>IFERROR(__xludf.DUMMYFUNCTION("""COMPUTED_VALUE"""),"-")</f>
        <v>-</v>
      </c>
      <c r="G48" s="30">
        <f>IFERROR(__xludf.DUMMYFUNCTION("""COMPUTED_VALUE"""),46380.0)</f>
        <v>46380</v>
      </c>
      <c r="H48" s="10" t="str">
        <f>IFERROR(__xludf.DUMMYFUNCTION("""COMPUTED_VALUE"""),"U/C")</f>
        <v>U/C</v>
      </c>
      <c r="I48" s="31" t="str">
        <f>IFERROR(__xludf.DUMMYFUNCTION("""COMPUTED_VALUE"""),"Link")</f>
        <v>Link</v>
      </c>
      <c r="J48" s="29" t="str">
        <f>IFERROR(__xludf.DUMMYFUNCTION("""COMPUTED_VALUE"""),"Link")</f>
        <v>Link</v>
      </c>
      <c r="K48" s="10" t="str">
        <f>IFERROR(__xludf.DUMMYFUNCTION("""COMPUTED_VALUE"""),"Link")</f>
        <v>Link</v>
      </c>
      <c r="L48" s="10" t="b">
        <f>IFERROR(__xludf.DUMMYFUNCTION("""COMPUTED_VALUE"""),FALSE)</f>
        <v>0</v>
      </c>
      <c r="M48" s="10" t="b">
        <f>IFERROR(__xludf.DUMMYFUNCTION("""COMPUTED_VALUE"""),FALSE)</f>
        <v>0</v>
      </c>
      <c r="N48" s="37" t="str">
        <f>IFERROR(__xludf.DUMMYFUNCTION("""COMPUTED_VALUE"""),"QM7H+MXC Almasiaf, Riyadh")</f>
        <v>QM7H+MXC Almasiaf, Riyadh</v>
      </c>
      <c r="O48" s="10"/>
    </row>
    <row r="49">
      <c r="A49" s="10">
        <f>IFERROR(__xludf.DUMMYFUNCTION("""COMPUTED_VALUE"""),48.0)</f>
        <v>48</v>
      </c>
      <c r="B49" s="10" t="str">
        <f>IFERROR(__xludf.DUMMYFUNCTION("""COMPUTED_VALUE"""),"SA - RUH - Malga (3)")</f>
        <v>SA - RUH - Malga (3)</v>
      </c>
      <c r="C49" s="29" t="str">
        <f>IFERROR(__xludf.DUMMYFUNCTION("""COMPUTED_VALUE"""),"Link")</f>
        <v>Link</v>
      </c>
      <c r="D49" s="10" t="str">
        <f>IFERROR(__xludf.DUMMYFUNCTION("""COMPUTED_VALUE"""),"Malga (3)")</f>
        <v>Malga (3)</v>
      </c>
      <c r="E49" s="10">
        <f>IFERROR(__xludf.DUMMYFUNCTION("""COMPUTED_VALUE"""),26.0)</f>
        <v>26</v>
      </c>
      <c r="F49" s="30" t="str">
        <f>IFERROR(__xludf.DUMMYFUNCTION("""COMPUTED_VALUE"""),"-")</f>
        <v>-</v>
      </c>
      <c r="G49" s="30">
        <f>IFERROR(__xludf.DUMMYFUNCTION("""COMPUTED_VALUE"""),46447.0)</f>
        <v>46447</v>
      </c>
      <c r="H49" s="10" t="str">
        <f>IFERROR(__xludf.DUMMYFUNCTION("""COMPUTED_VALUE"""),"U/C")</f>
        <v>U/C</v>
      </c>
      <c r="I49" s="31" t="str">
        <f>IFERROR(__xludf.DUMMYFUNCTION("""COMPUTED_VALUE"""),"Link")</f>
        <v>Link</v>
      </c>
      <c r="J49" s="29" t="str">
        <f>IFERROR(__xludf.DUMMYFUNCTION("""COMPUTED_VALUE"""),"Link")</f>
        <v>Link</v>
      </c>
      <c r="K49" s="10" t="str">
        <f>IFERROR(__xludf.DUMMYFUNCTION("""COMPUTED_VALUE"""),"Link")</f>
        <v>Link</v>
      </c>
      <c r="L49" s="10" t="b">
        <f>IFERROR(__xludf.DUMMYFUNCTION("""COMPUTED_VALUE"""),FALSE)</f>
        <v>0</v>
      </c>
      <c r="M49" s="10" t="b">
        <f>IFERROR(__xludf.DUMMYFUNCTION("""COMPUTED_VALUE"""),FALSE)</f>
        <v>0</v>
      </c>
      <c r="N49" s="37" t="str">
        <f>IFERROR(__xludf.DUMMYFUNCTION("""COMPUTED_VALUE"""),"RH4W+353 Al Malqa, Riyadh")</f>
        <v>RH4W+353 Al Malqa, Riyadh</v>
      </c>
      <c r="O49" s="10"/>
    </row>
    <row r="50">
      <c r="A50" s="10">
        <f>IFERROR(__xludf.DUMMYFUNCTION("""COMPUTED_VALUE"""),49.0)</f>
        <v>49</v>
      </c>
      <c r="B50" s="10" t="str">
        <f>IFERROR(__xludf.DUMMYFUNCTION("""COMPUTED_VALUE"""),"SA - RUH - Muruj")</f>
        <v>SA - RUH - Muruj</v>
      </c>
      <c r="C50" s="29" t="str">
        <f>IFERROR(__xludf.DUMMYFUNCTION("""COMPUTED_VALUE"""),"Link")</f>
        <v>Link</v>
      </c>
      <c r="D50" s="10" t="str">
        <f>IFERROR(__xludf.DUMMYFUNCTION("""COMPUTED_VALUE"""),"Muruj")</f>
        <v>Muruj</v>
      </c>
      <c r="E50" s="10">
        <f>IFERROR(__xludf.DUMMYFUNCTION("""COMPUTED_VALUE"""),24.0)</f>
        <v>24</v>
      </c>
      <c r="F50" s="30" t="str">
        <f>IFERROR(__xludf.DUMMYFUNCTION("""COMPUTED_VALUE"""),"-")</f>
        <v>-</v>
      </c>
      <c r="G50" s="30">
        <f>IFERROR(__xludf.DUMMYFUNCTION("""COMPUTED_VALUE"""),46539.0)</f>
        <v>46539</v>
      </c>
      <c r="H50" s="10" t="str">
        <f>IFERROR(__xludf.DUMMYFUNCTION("""COMPUTED_VALUE"""),"U/C")</f>
        <v>U/C</v>
      </c>
      <c r="I50" s="31" t="str">
        <f>IFERROR(__xludf.DUMMYFUNCTION("""COMPUTED_VALUE"""),"Link")</f>
        <v>Link</v>
      </c>
      <c r="J50" s="29" t="str">
        <f>IFERROR(__xludf.DUMMYFUNCTION("""COMPUTED_VALUE"""),"Link")</f>
        <v>Link</v>
      </c>
      <c r="K50" s="10" t="str">
        <f>IFERROR(__xludf.DUMMYFUNCTION("""COMPUTED_VALUE"""),"Link")</f>
        <v>Link</v>
      </c>
      <c r="L50" s="10" t="b">
        <f>IFERROR(__xludf.DUMMYFUNCTION("""COMPUTED_VALUE"""),FALSE)</f>
        <v>0</v>
      </c>
      <c r="M50" s="10" t="b">
        <f>IFERROR(__xludf.DUMMYFUNCTION("""COMPUTED_VALUE"""),FALSE)</f>
        <v>0</v>
      </c>
      <c r="N50" s="37" t="str">
        <f>IFERROR(__xludf.DUMMYFUNCTION("""COMPUTED_VALUE"""),"6844 Ibn Ziad, Al Muruj, 3036، Riyadh 12281, Saudi Arabia")</f>
        <v>6844 Ibn Ziad, Al Muruj, 3036، Riyadh 12281, Saudi Arabia</v>
      </c>
      <c r="O50" s="10"/>
    </row>
    <row r="51">
      <c r="A51" s="10">
        <f>IFERROR(__xludf.DUMMYFUNCTION("""COMPUTED_VALUE"""),50.0)</f>
        <v>50</v>
      </c>
      <c r="B51" s="10" t="str">
        <f>IFERROR(__xludf.DUMMYFUNCTION("""COMPUTED_VALUE"""),"SA - RUH - Izdihar")</f>
        <v>SA - RUH - Izdihar</v>
      </c>
      <c r="C51" s="29" t="str">
        <f>IFERROR(__xludf.DUMMYFUNCTION("""COMPUTED_VALUE"""),"Link")</f>
        <v>Link</v>
      </c>
      <c r="D51" s="10" t="str">
        <f>IFERROR(__xludf.DUMMYFUNCTION("""COMPUTED_VALUE"""),"Izdihar")</f>
        <v>Izdihar</v>
      </c>
      <c r="E51" s="10">
        <f>IFERROR(__xludf.DUMMYFUNCTION("""COMPUTED_VALUE"""),22.0)</f>
        <v>22</v>
      </c>
      <c r="F51" s="30" t="str">
        <f>IFERROR(__xludf.DUMMYFUNCTION("""COMPUTED_VALUE"""),"-")</f>
        <v>-</v>
      </c>
      <c r="G51" s="30">
        <f>IFERROR(__xludf.DUMMYFUNCTION("""COMPUTED_VALUE"""),46380.0)</f>
        <v>46380</v>
      </c>
      <c r="H51" s="10" t="str">
        <f>IFERROR(__xludf.DUMMYFUNCTION("""COMPUTED_VALUE"""),"U/C")</f>
        <v>U/C</v>
      </c>
      <c r="I51" s="31" t="str">
        <f>IFERROR(__xludf.DUMMYFUNCTION("""COMPUTED_VALUE"""),"Link")</f>
        <v>Link</v>
      </c>
      <c r="J51" s="29" t="str">
        <f>IFERROR(__xludf.DUMMYFUNCTION("""COMPUTED_VALUE"""),"Link")</f>
        <v>Link</v>
      </c>
      <c r="K51" s="10" t="str">
        <f>IFERROR(__xludf.DUMMYFUNCTION("""COMPUTED_VALUE"""),"Link")</f>
        <v>Link</v>
      </c>
      <c r="L51" s="10" t="b">
        <f>IFERROR(__xludf.DUMMYFUNCTION("""COMPUTED_VALUE"""),FALSE)</f>
        <v>0</v>
      </c>
      <c r="M51" s="10" t="b">
        <f>IFERROR(__xludf.DUMMYFUNCTION("""COMPUTED_VALUE"""),FALSE)</f>
        <v>0</v>
      </c>
      <c r="N51" s="37" t="str">
        <f>IFERROR(__xludf.DUMMYFUNCTION("""COMPUTED_VALUE"""),"QPM6+F9 Al Izdihar, Riyadh")</f>
        <v>QPM6+F9 Al Izdihar, Riyadh</v>
      </c>
      <c r="O51" s="10"/>
    </row>
    <row r="52">
      <c r="A52" s="10">
        <f>IFERROR(__xludf.DUMMYFUNCTION("""COMPUTED_VALUE"""),51.0)</f>
        <v>51</v>
      </c>
      <c r="B52" s="10" t="str">
        <f>IFERROR(__xludf.DUMMYFUNCTION("""COMPUTED_VALUE"""),"SA - RUH - Sweidi (4)")</f>
        <v>SA - RUH - Sweidi (4)</v>
      </c>
      <c r="C52" s="10"/>
      <c r="D52" s="10"/>
      <c r="E52" s="10">
        <f>IFERROR(__xludf.DUMMYFUNCTION("""COMPUTED_VALUE"""),16.0)</f>
        <v>16</v>
      </c>
      <c r="F52" s="30">
        <f>IFERROR(__xludf.DUMMYFUNCTION("""COMPUTED_VALUE"""),46296.0)</f>
        <v>46296</v>
      </c>
      <c r="G52" s="30">
        <f>IFERROR(__xludf.DUMMYFUNCTION("""COMPUTED_VALUE"""),46174.0)</f>
        <v>46174</v>
      </c>
      <c r="H52" s="10" t="str">
        <f>IFERROR(__xludf.DUMMYFUNCTION("""COMPUTED_VALUE"""),"U/C")</f>
        <v>U/C</v>
      </c>
      <c r="I52" s="13"/>
      <c r="J52" s="10"/>
      <c r="K52" s="10"/>
      <c r="L52" s="10" t="b">
        <f>IFERROR(__xludf.DUMMYFUNCTION("""COMPUTED_VALUE"""),FALSE)</f>
        <v>0</v>
      </c>
      <c r="M52" s="10" t="b">
        <f>IFERROR(__xludf.DUMMYFUNCTION("""COMPUTED_VALUE"""),FALSE)</f>
        <v>0</v>
      </c>
      <c r="N52" s="29" t="str">
        <f>IFERROR(__xludf.DUMMYFUNCTION("""COMPUTED_VALUE"""),"HMXG+CXV As Suwaidi, Riyadh")</f>
        <v>HMXG+CXV As Suwaidi, Riyadh</v>
      </c>
      <c r="O52" s="10"/>
    </row>
    <row r="53">
      <c r="A53" s="10">
        <f>IFERROR(__xludf.DUMMYFUNCTION("""COMPUTED_VALUE"""),52.0)</f>
        <v>52</v>
      </c>
      <c r="B53" s="10" t="str">
        <f>IFERROR(__xludf.DUMMYFUNCTION("""COMPUTED_VALUE"""),"SA - RUH - Aqiq (3)")</f>
        <v>SA - RUH - Aqiq (3)</v>
      </c>
      <c r="C53" s="29" t="str">
        <f>IFERROR(__xludf.DUMMYFUNCTION("""COMPUTED_VALUE"""),"Link")</f>
        <v>Link</v>
      </c>
      <c r="D53" s="10" t="str">
        <f>IFERROR(__xludf.DUMMYFUNCTION("""COMPUTED_VALUE"""),"Aqiq (3)")</f>
        <v>Aqiq (3)</v>
      </c>
      <c r="E53" s="10">
        <f>IFERROR(__xludf.DUMMYFUNCTION("""COMPUTED_VALUE"""),15.0)</f>
        <v>15</v>
      </c>
      <c r="F53" s="30" t="str">
        <f>IFERROR(__xludf.DUMMYFUNCTION("""COMPUTED_VALUE"""),"-")</f>
        <v>-</v>
      </c>
      <c r="G53" s="30">
        <f>IFERROR(__xludf.DUMMYFUNCTION("""COMPUTED_VALUE"""),46383.0)</f>
        <v>46383</v>
      </c>
      <c r="H53" s="10" t="str">
        <f>IFERROR(__xludf.DUMMYFUNCTION("""COMPUTED_VALUE"""),"U/C")</f>
        <v>U/C</v>
      </c>
      <c r="I53" s="31" t="str">
        <f>IFERROR(__xludf.DUMMYFUNCTION("""COMPUTED_VALUE"""),"Link")</f>
        <v>Link</v>
      </c>
      <c r="J53" s="29" t="str">
        <f>IFERROR(__xludf.DUMMYFUNCTION("""COMPUTED_VALUE"""),"Link")</f>
        <v>Link</v>
      </c>
      <c r="K53" s="10" t="str">
        <f>IFERROR(__xludf.DUMMYFUNCTION("""COMPUTED_VALUE"""),"Link")</f>
        <v>Link</v>
      </c>
      <c r="L53" s="10" t="b">
        <f>IFERROR(__xludf.DUMMYFUNCTION("""COMPUTED_VALUE"""),FALSE)</f>
        <v>0</v>
      </c>
      <c r="M53" s="10" t="b">
        <f>IFERROR(__xludf.DUMMYFUNCTION("""COMPUTED_VALUE"""),FALSE)</f>
        <v>0</v>
      </c>
      <c r="N53" s="37" t="str">
        <f>IFERROR(__xludf.DUMMYFUNCTION("""COMPUTED_VALUE"""),"QJJJ+38F Al Aqiq, Riyadh")</f>
        <v>QJJJ+38F Al Aqiq, Riyadh</v>
      </c>
      <c r="O53" s="10"/>
    </row>
    <row r="54">
      <c r="A54" s="10">
        <f>IFERROR(__xludf.DUMMYFUNCTION("""COMPUTED_VALUE"""),53.0)</f>
        <v>53</v>
      </c>
      <c r="B54" s="10" t="str">
        <f>IFERROR(__xludf.DUMMYFUNCTION("""COMPUTED_VALUE"""),"SA - RUH - Nuzha")</f>
        <v>SA - RUH - Nuzha</v>
      </c>
      <c r="C54" s="29" t="str">
        <f>IFERROR(__xludf.DUMMYFUNCTION("""COMPUTED_VALUE"""),"Link")</f>
        <v>Link</v>
      </c>
      <c r="D54" s="10" t="str">
        <f>IFERROR(__xludf.DUMMYFUNCTION("""COMPUTED_VALUE"""),"Nuzha")</f>
        <v>Nuzha</v>
      </c>
      <c r="E54" s="10">
        <f>IFERROR(__xludf.DUMMYFUNCTION("""COMPUTED_VALUE"""),25.0)</f>
        <v>25</v>
      </c>
      <c r="F54" s="30" t="str">
        <f>IFERROR(__xludf.DUMMYFUNCTION("""COMPUTED_VALUE"""),"-")</f>
        <v>-</v>
      </c>
      <c r="G54" s="30">
        <f>IFERROR(__xludf.DUMMYFUNCTION("""COMPUTED_VALUE"""),46447.0)</f>
        <v>46447</v>
      </c>
      <c r="H54" s="10" t="str">
        <f>IFERROR(__xludf.DUMMYFUNCTION("""COMPUTED_VALUE"""),"U/C")</f>
        <v>U/C</v>
      </c>
      <c r="I54" s="31" t="str">
        <f>IFERROR(__xludf.DUMMYFUNCTION("""COMPUTED_VALUE"""),"Link")</f>
        <v>Link</v>
      </c>
      <c r="J54" s="29" t="str">
        <f>IFERROR(__xludf.DUMMYFUNCTION("""COMPUTED_VALUE"""),"Link")</f>
        <v>Link</v>
      </c>
      <c r="K54" s="10" t="str">
        <f>IFERROR(__xludf.DUMMYFUNCTION("""COMPUTED_VALUE"""),"Link")</f>
        <v>Link</v>
      </c>
      <c r="L54" s="10" t="b">
        <f>IFERROR(__xludf.DUMMYFUNCTION("""COMPUTED_VALUE"""),FALSE)</f>
        <v>0</v>
      </c>
      <c r="M54" s="10" t="b">
        <f>IFERROR(__xludf.DUMMYFUNCTION("""COMPUTED_VALUE"""),FALSE)</f>
        <v>0</v>
      </c>
      <c r="N54" s="37" t="str">
        <f>IFERROR(__xludf.DUMMYFUNCTION("""COMPUTED_VALUE"""),"QM36+97 Al Nuzha, Riyadh")</f>
        <v>QM36+97 Al Nuzha, Riyadh</v>
      </c>
      <c r="O54" s="10"/>
    </row>
    <row r="55">
      <c r="A55" s="10">
        <f>IFERROR(__xludf.DUMMYFUNCTION("""COMPUTED_VALUE"""),54.0)</f>
        <v>54</v>
      </c>
      <c r="B55" s="10" t="str">
        <f>IFERROR(__xludf.DUMMYFUNCTION("""COMPUTED_VALUE"""),"SA - RUH - Arid (3)")</f>
        <v>SA - RUH - Arid (3)</v>
      </c>
      <c r="C55" s="29" t="str">
        <f>IFERROR(__xludf.DUMMYFUNCTION("""COMPUTED_VALUE"""),"Link")</f>
        <v>Link</v>
      </c>
      <c r="D55" s="10" t="str">
        <f>IFERROR(__xludf.DUMMYFUNCTION("""COMPUTED_VALUE"""),"Arid (3)")</f>
        <v>Arid (3)</v>
      </c>
      <c r="E55" s="10">
        <f>IFERROR(__xludf.DUMMYFUNCTION("""COMPUTED_VALUE"""),15.0)</f>
        <v>15</v>
      </c>
      <c r="F55" s="30" t="str">
        <f>IFERROR(__xludf.DUMMYFUNCTION("""COMPUTED_VALUE"""),"-")</f>
        <v>-</v>
      </c>
      <c r="G55" s="30">
        <f>IFERROR(__xludf.DUMMYFUNCTION("""COMPUTED_VALUE"""),46386.0)</f>
        <v>46386</v>
      </c>
      <c r="H55" s="10" t="str">
        <f>IFERROR(__xludf.DUMMYFUNCTION("""COMPUTED_VALUE"""),"U/C")</f>
        <v>U/C</v>
      </c>
      <c r="I55" s="31" t="str">
        <f>IFERROR(__xludf.DUMMYFUNCTION("""COMPUTED_VALUE"""),"Link")</f>
        <v>Link</v>
      </c>
      <c r="J55" s="29" t="str">
        <f>IFERROR(__xludf.DUMMYFUNCTION("""COMPUTED_VALUE"""),"Link")</f>
        <v>Link</v>
      </c>
      <c r="K55" s="10"/>
      <c r="L55" s="10" t="b">
        <f>IFERROR(__xludf.DUMMYFUNCTION("""COMPUTED_VALUE"""),FALSE)</f>
        <v>0</v>
      </c>
      <c r="M55" s="10" t="b">
        <f>IFERROR(__xludf.DUMMYFUNCTION("""COMPUTED_VALUE"""),FALSE)</f>
        <v>0</v>
      </c>
      <c r="N55" s="29" t="str">
        <f>IFERROR(__xludf.DUMMYFUNCTION("""COMPUTED_VALUE"""),"VJH4+VCF Al Aarid, Riyadh")</f>
        <v>VJH4+VCF Al Aarid, Riyadh</v>
      </c>
      <c r="O55" s="10"/>
    </row>
    <row r="56">
      <c r="A56" s="10">
        <f>IFERROR(__xludf.DUMMYFUNCTION("""COMPUTED_VALUE"""),55.0)</f>
        <v>55</v>
      </c>
      <c r="B56" s="10" t="str">
        <f>IFERROR(__xludf.DUMMYFUNCTION("""COMPUTED_VALUE"""),"SA - RUH - Umm Al Hamam")</f>
        <v>SA - RUH - Umm Al Hamam</v>
      </c>
      <c r="C56" s="29" t="str">
        <f>IFERROR(__xludf.DUMMYFUNCTION("""COMPUTED_VALUE"""),"Link")</f>
        <v>Link</v>
      </c>
      <c r="D56" s="10" t="str">
        <f>IFERROR(__xludf.DUMMYFUNCTION("""COMPUTED_VALUE"""),"Umm Al Hamam")</f>
        <v>Umm Al Hamam</v>
      </c>
      <c r="E56" s="10">
        <f>IFERROR(__xludf.DUMMYFUNCTION("""COMPUTED_VALUE"""),21.0)</f>
        <v>21</v>
      </c>
      <c r="F56" s="30">
        <f>IFERROR(__xludf.DUMMYFUNCTION("""COMPUTED_VALUE"""),46357.0)</f>
        <v>46357</v>
      </c>
      <c r="G56" s="30">
        <f>IFERROR(__xludf.DUMMYFUNCTION("""COMPUTED_VALUE"""),46447.0)</f>
        <v>46447</v>
      </c>
      <c r="H56" s="10" t="str">
        <f>IFERROR(__xludf.DUMMYFUNCTION("""COMPUTED_VALUE"""),"Greenlit")</f>
        <v>Greenlit</v>
      </c>
      <c r="I56" s="31" t="str">
        <f>IFERROR(__xludf.DUMMYFUNCTION("""COMPUTED_VALUE"""),"Link")</f>
        <v>Link</v>
      </c>
      <c r="J56" s="29" t="str">
        <f>IFERROR(__xludf.DUMMYFUNCTION("""COMPUTED_VALUE"""),"Link")</f>
        <v>Link</v>
      </c>
      <c r="K56" s="10" t="str">
        <f>IFERROR(__xludf.DUMMYFUNCTION("""COMPUTED_VALUE"""),"Link")</f>
        <v>Link</v>
      </c>
      <c r="L56" s="10" t="b">
        <f>IFERROR(__xludf.DUMMYFUNCTION("""COMPUTED_VALUE"""),FALSE)</f>
        <v>0</v>
      </c>
      <c r="M56" s="10" t="b">
        <f>IFERROR(__xludf.DUMMYFUNCTION("""COMPUTED_VALUE"""),FALSE)</f>
        <v>0</v>
      </c>
      <c r="N56" s="29" t="str">
        <f>IFERROR(__xludf.DUMMYFUNCTION("""COMPUTED_VALUE"""),"MJPR+7X Umm Al Hamam Al Gharbi, Riyadh")</f>
        <v>MJPR+7X Umm Al Hamam Al Gharbi, Riyadh</v>
      </c>
      <c r="O56" s="10"/>
    </row>
    <row r="57">
      <c r="A57" s="10">
        <f>IFERROR(__xludf.DUMMYFUNCTION("""COMPUTED_VALUE"""),56.0)</f>
        <v>56</v>
      </c>
      <c r="B57" s="10" t="str">
        <f>IFERROR(__xludf.DUMMYFUNCTION("""COMPUTED_VALUE"""),"SA - RUH - Munisiya")</f>
        <v>SA - RUH - Munisiya</v>
      </c>
      <c r="C57" s="29" t="str">
        <f>IFERROR(__xludf.DUMMYFUNCTION("""COMPUTED_VALUE"""),"Link")</f>
        <v>Link</v>
      </c>
      <c r="D57" s="10" t="str">
        <f>IFERROR(__xludf.DUMMYFUNCTION("""COMPUTED_VALUE"""),"Munisiya")</f>
        <v>Munisiya</v>
      </c>
      <c r="E57" s="10">
        <f>IFERROR(__xludf.DUMMYFUNCTION("""COMPUTED_VALUE"""),21.0)</f>
        <v>21</v>
      </c>
      <c r="F57" s="30" t="str">
        <f>IFERROR(__xludf.DUMMYFUNCTION("""COMPUTED_VALUE"""),"-")</f>
        <v>-</v>
      </c>
      <c r="G57" s="30">
        <f>IFERROR(__xludf.DUMMYFUNCTION("""COMPUTED_VALUE"""),46600.0)</f>
        <v>46600</v>
      </c>
      <c r="H57" s="10" t="str">
        <f>IFERROR(__xludf.DUMMYFUNCTION("""COMPUTED_VALUE"""),"U/C")</f>
        <v>U/C</v>
      </c>
      <c r="I57" s="31" t="str">
        <f>IFERROR(__xludf.DUMMYFUNCTION("""COMPUTED_VALUE"""),"Link")</f>
        <v>Link</v>
      </c>
      <c r="J57" s="29" t="str">
        <f>IFERROR(__xludf.DUMMYFUNCTION("""COMPUTED_VALUE"""),"Link")</f>
        <v>Link</v>
      </c>
      <c r="K57" s="10" t="str">
        <f>IFERROR(__xludf.DUMMYFUNCTION("""COMPUTED_VALUE"""),"Link")</f>
        <v>Link</v>
      </c>
      <c r="L57" s="10" t="b">
        <f>IFERROR(__xludf.DUMMYFUNCTION("""COMPUTED_VALUE"""),FALSE)</f>
        <v>0</v>
      </c>
      <c r="M57" s="10" t="b">
        <f>IFERROR(__xludf.DUMMYFUNCTION("""COMPUTED_VALUE"""),FALSE)</f>
        <v>0</v>
      </c>
      <c r="N57" s="29" t="str">
        <f>IFERROR(__xludf.DUMMYFUNCTION("""COMPUTED_VALUE"""),"RQQ9+7M Al Munsiyah, Riyadh")</f>
        <v>RQQ9+7M Al Munsiyah, Riyadh</v>
      </c>
      <c r="O57" s="10"/>
    </row>
    <row r="58">
      <c r="A58" s="10">
        <f>IFERROR(__xludf.DUMMYFUNCTION("""COMPUTED_VALUE"""),57.0)</f>
        <v>57</v>
      </c>
      <c r="B58" s="10" t="str">
        <f>IFERROR(__xludf.DUMMYFUNCTION("""COMPUTED_VALUE"""),"SA - RUH - Zahra")</f>
        <v>SA - RUH - Zahra</v>
      </c>
      <c r="C58" s="29" t="str">
        <f>IFERROR(__xludf.DUMMYFUNCTION("""COMPUTED_VALUE"""),"Link")</f>
        <v>Link</v>
      </c>
      <c r="D58" s="10" t="str">
        <f>IFERROR(__xludf.DUMMYFUNCTION("""COMPUTED_VALUE"""),"Zahra")</f>
        <v>Zahra</v>
      </c>
      <c r="E58" s="10">
        <f>IFERROR(__xludf.DUMMYFUNCTION("""COMPUTED_VALUE"""),11.0)</f>
        <v>11</v>
      </c>
      <c r="F58" s="30">
        <f>IFERROR(__xludf.DUMMYFUNCTION("""COMPUTED_VALUE"""),46235.0)</f>
        <v>46235</v>
      </c>
      <c r="G58" s="30">
        <f>IFERROR(__xludf.DUMMYFUNCTION("""COMPUTED_VALUE"""),46327.0)</f>
        <v>46327</v>
      </c>
      <c r="H58" s="10" t="str">
        <f>IFERROR(__xludf.DUMMYFUNCTION("""COMPUTED_VALUE"""),"U/C")</f>
        <v>U/C</v>
      </c>
      <c r="I58" s="31" t="str">
        <f>IFERROR(__xludf.DUMMYFUNCTION("""COMPUTED_VALUE"""),"Link")</f>
        <v>Link</v>
      </c>
      <c r="J58" s="29" t="str">
        <f>IFERROR(__xludf.DUMMYFUNCTION("""COMPUTED_VALUE"""),"Link")</f>
        <v>Link</v>
      </c>
      <c r="K58" s="10" t="str">
        <f>IFERROR(__xludf.DUMMYFUNCTION("""COMPUTED_VALUE"""),"Link")</f>
        <v>Link</v>
      </c>
      <c r="L58" s="10" t="b">
        <f>IFERROR(__xludf.DUMMYFUNCTION("""COMPUTED_VALUE"""),FALSE)</f>
        <v>0</v>
      </c>
      <c r="M58" s="10" t="b">
        <f>IFERROR(__xludf.DUMMYFUNCTION("""COMPUTED_VALUE"""),FALSE)</f>
        <v>0</v>
      </c>
      <c r="N58" s="29" t="str">
        <f>IFERROR(__xludf.DUMMYFUNCTION("""COMPUTED_VALUE"""),"RIZD3838، 3838 أبي محمد العلاف، 7627، حي الزهرة, Riyadh 12986")</f>
        <v>RIZD3838، 3838 أبي محمد العلاف، 7627، حي الزهرة, Riyadh 12986</v>
      </c>
      <c r="O58" s="10"/>
    </row>
    <row r="59">
      <c r="A59" s="10"/>
      <c r="B59" s="10"/>
      <c r="C59" s="10"/>
      <c r="D59" s="10"/>
      <c r="E59" s="10"/>
      <c r="F59" s="10"/>
      <c r="G59" s="10"/>
      <c r="H59" s="10"/>
      <c r="I59" s="13"/>
      <c r="J59" s="10"/>
      <c r="K59" s="10"/>
      <c r="L59" s="10"/>
      <c r="M59" s="10"/>
      <c r="N59" s="10"/>
      <c r="O59" s="10"/>
    </row>
    <row r="60">
      <c r="A60" s="10"/>
      <c r="B60" s="10"/>
      <c r="C60" s="10"/>
      <c r="D60" s="10"/>
      <c r="E60" s="10"/>
      <c r="F60" s="10"/>
      <c r="G60" s="10"/>
      <c r="H60" s="10"/>
      <c r="I60" s="13"/>
      <c r="J60" s="10"/>
      <c r="K60" s="10"/>
      <c r="L60" s="10"/>
      <c r="M60" s="10"/>
      <c r="N60" s="10"/>
      <c r="O60" s="10"/>
    </row>
    <row r="61">
      <c r="A61" s="10"/>
      <c r="B61" s="10"/>
      <c r="C61" s="10"/>
      <c r="D61" s="10"/>
      <c r="E61" s="10"/>
      <c r="F61" s="10"/>
      <c r="G61" s="10"/>
      <c r="H61" s="10"/>
      <c r="I61" s="13"/>
      <c r="J61" s="10"/>
      <c r="K61" s="10"/>
      <c r="L61" s="10"/>
      <c r="M61" s="10"/>
      <c r="N61" s="10"/>
      <c r="O61" s="10"/>
    </row>
    <row r="62">
      <c r="A62" s="10"/>
      <c r="B62" s="10"/>
      <c r="C62" s="10"/>
      <c r="D62" s="10"/>
      <c r="E62" s="10"/>
      <c r="F62" s="10"/>
      <c r="G62" s="10"/>
      <c r="H62" s="10"/>
      <c r="I62" s="13"/>
      <c r="J62" s="10"/>
      <c r="K62" s="10"/>
      <c r="L62" s="10"/>
      <c r="M62" s="10"/>
      <c r="N62" s="10"/>
      <c r="O62" s="10"/>
    </row>
    <row r="63">
      <c r="A63" s="10"/>
      <c r="B63" s="10"/>
      <c r="C63" s="10"/>
      <c r="D63" s="10"/>
      <c r="E63" s="10"/>
      <c r="F63" s="10"/>
      <c r="G63" s="10"/>
      <c r="H63" s="10"/>
      <c r="I63" s="13"/>
      <c r="J63" s="10"/>
      <c r="K63" s="10"/>
      <c r="L63" s="10"/>
      <c r="M63" s="10"/>
      <c r="N63" s="10"/>
      <c r="O63" s="10"/>
    </row>
    <row r="64">
      <c r="A64" s="10"/>
      <c r="B64" s="10"/>
      <c r="C64" s="10"/>
      <c r="D64" s="10"/>
      <c r="E64" s="10"/>
      <c r="F64" s="10"/>
      <c r="G64" s="10"/>
      <c r="H64" s="10"/>
      <c r="I64" s="13"/>
      <c r="J64" s="10"/>
      <c r="K64" s="10"/>
      <c r="L64" s="10"/>
      <c r="M64" s="10"/>
      <c r="N64" s="10"/>
      <c r="O64" s="10"/>
    </row>
    <row r="65">
      <c r="A65" s="10"/>
      <c r="B65" s="10"/>
      <c r="C65" s="10"/>
      <c r="D65" s="10"/>
      <c r="E65" s="10"/>
      <c r="F65" s="10"/>
      <c r="G65" s="10"/>
      <c r="H65" s="10"/>
      <c r="I65" s="13"/>
      <c r="J65" s="10"/>
      <c r="K65" s="10"/>
      <c r="L65" s="10"/>
      <c r="M65" s="10"/>
      <c r="N65" s="10"/>
      <c r="O65" s="10"/>
    </row>
    <row r="66">
      <c r="A66" s="10"/>
      <c r="B66" s="10"/>
      <c r="C66" s="10"/>
      <c r="D66" s="10"/>
      <c r="E66" s="10"/>
      <c r="F66" s="10"/>
      <c r="G66" s="10"/>
      <c r="H66" s="10"/>
      <c r="I66" s="13"/>
      <c r="J66" s="10"/>
      <c r="K66" s="10"/>
      <c r="L66" s="10"/>
      <c r="M66" s="10"/>
      <c r="N66" s="10"/>
      <c r="O66" s="10"/>
    </row>
    <row r="67">
      <c r="A67" s="10"/>
      <c r="B67" s="10"/>
      <c r="C67" s="10"/>
      <c r="D67" s="10"/>
      <c r="E67" s="10"/>
      <c r="F67" s="10"/>
      <c r="G67" s="10"/>
      <c r="H67" s="10"/>
      <c r="I67" s="13"/>
      <c r="J67" s="10"/>
      <c r="K67" s="10"/>
      <c r="L67" s="10"/>
      <c r="M67" s="10"/>
      <c r="N67" s="10"/>
      <c r="O67" s="10"/>
    </row>
    <row r="68">
      <c r="A68" s="10"/>
      <c r="B68" s="10"/>
      <c r="C68" s="10"/>
      <c r="D68" s="10"/>
      <c r="E68" s="10"/>
      <c r="F68" s="10"/>
      <c r="G68" s="10"/>
      <c r="H68" s="10"/>
      <c r="I68" s="13"/>
      <c r="J68" s="10"/>
      <c r="K68" s="10"/>
      <c r="L68" s="10"/>
      <c r="M68" s="10"/>
      <c r="N68" s="10"/>
      <c r="O68" s="10"/>
    </row>
    <row r="69">
      <c r="A69" s="10"/>
      <c r="B69" s="10"/>
      <c r="C69" s="10"/>
      <c r="D69" s="10"/>
      <c r="E69" s="10"/>
      <c r="F69" s="10"/>
      <c r="G69" s="10"/>
      <c r="H69" s="10"/>
      <c r="I69" s="13"/>
      <c r="J69" s="10"/>
      <c r="K69" s="10"/>
      <c r="L69" s="10"/>
      <c r="M69" s="10"/>
      <c r="N69" s="10"/>
      <c r="O69" s="10"/>
    </row>
    <row r="70">
      <c r="A70" s="10"/>
      <c r="B70" s="10"/>
      <c r="C70" s="10"/>
      <c r="D70" s="10"/>
      <c r="E70" s="10"/>
      <c r="F70" s="10"/>
      <c r="G70" s="10"/>
      <c r="H70" s="10"/>
      <c r="I70" s="13"/>
      <c r="J70" s="10"/>
      <c r="K70" s="10"/>
      <c r="L70" s="10"/>
      <c r="M70" s="10"/>
      <c r="N70" s="10"/>
      <c r="O70" s="10"/>
    </row>
    <row r="71">
      <c r="A71" s="10"/>
      <c r="B71" s="10"/>
      <c r="C71" s="10"/>
      <c r="D71" s="10"/>
      <c r="E71" s="10"/>
      <c r="F71" s="10"/>
      <c r="G71" s="10"/>
      <c r="H71" s="10"/>
      <c r="I71" s="13"/>
      <c r="J71" s="10"/>
      <c r="K71" s="10"/>
      <c r="L71" s="10"/>
      <c r="M71" s="10"/>
      <c r="N71" s="10"/>
      <c r="O71" s="10"/>
    </row>
    <row r="72">
      <c r="A72" s="10"/>
      <c r="B72" s="10"/>
      <c r="C72" s="10"/>
      <c r="D72" s="10"/>
      <c r="E72" s="10"/>
      <c r="F72" s="10"/>
      <c r="G72" s="10"/>
      <c r="H72" s="10"/>
      <c r="I72" s="13"/>
      <c r="J72" s="10"/>
      <c r="K72" s="10"/>
      <c r="L72" s="10"/>
      <c r="M72" s="10"/>
      <c r="N72" s="10"/>
      <c r="O72" s="10"/>
    </row>
    <row r="73">
      <c r="A73" s="10"/>
      <c r="B73" s="10"/>
      <c r="C73" s="10"/>
      <c r="D73" s="10"/>
      <c r="E73" s="10"/>
      <c r="F73" s="10"/>
      <c r="G73" s="10"/>
      <c r="H73" s="10"/>
      <c r="I73" s="13"/>
      <c r="J73" s="10"/>
      <c r="K73" s="10"/>
      <c r="L73" s="10"/>
      <c r="M73" s="10"/>
      <c r="N73" s="10"/>
      <c r="O73" s="10"/>
    </row>
    <row r="74">
      <c r="A74" s="10"/>
      <c r="B74" s="10"/>
      <c r="C74" s="10"/>
      <c r="D74" s="10"/>
      <c r="E74" s="10"/>
      <c r="F74" s="10"/>
      <c r="G74" s="10"/>
      <c r="H74" s="10"/>
      <c r="I74" s="13"/>
      <c r="J74" s="10"/>
      <c r="K74" s="10"/>
      <c r="L74" s="10"/>
      <c r="M74" s="10"/>
      <c r="N74" s="10"/>
      <c r="O74" s="10"/>
    </row>
    <row r="75">
      <c r="A75" s="10"/>
      <c r="B75" s="10"/>
      <c r="C75" s="10"/>
      <c r="D75" s="10"/>
      <c r="E75" s="10"/>
      <c r="F75" s="10"/>
      <c r="G75" s="10"/>
      <c r="H75" s="10"/>
      <c r="I75" s="13"/>
      <c r="J75" s="10"/>
      <c r="K75" s="10"/>
      <c r="L75" s="10"/>
      <c r="M75" s="10"/>
      <c r="N75" s="10"/>
      <c r="O75" s="10"/>
    </row>
    <row r="76">
      <c r="A76" s="10"/>
      <c r="B76" s="10"/>
      <c r="C76" s="10"/>
      <c r="D76" s="10"/>
      <c r="E76" s="10"/>
      <c r="F76" s="10"/>
      <c r="G76" s="10"/>
      <c r="H76" s="10"/>
      <c r="I76" s="13"/>
      <c r="J76" s="10"/>
      <c r="K76" s="10"/>
      <c r="L76" s="10"/>
      <c r="M76" s="10"/>
      <c r="N76" s="10"/>
      <c r="O76" s="10"/>
    </row>
    <row r="77">
      <c r="A77" s="10"/>
      <c r="B77" s="10"/>
      <c r="C77" s="10"/>
      <c r="D77" s="10"/>
      <c r="E77" s="10"/>
      <c r="F77" s="10"/>
      <c r="G77" s="10"/>
      <c r="H77" s="10"/>
      <c r="I77" s="13"/>
      <c r="J77" s="10"/>
      <c r="K77" s="10"/>
      <c r="L77" s="10"/>
      <c r="M77" s="10"/>
      <c r="N77" s="10"/>
      <c r="O77" s="10"/>
    </row>
    <row r="78">
      <c r="A78" s="10"/>
      <c r="B78" s="10"/>
      <c r="C78" s="10"/>
      <c r="D78" s="10"/>
      <c r="E78" s="10"/>
      <c r="F78" s="10"/>
      <c r="G78" s="10"/>
      <c r="H78" s="10"/>
      <c r="I78" s="13"/>
      <c r="J78" s="10"/>
      <c r="K78" s="10"/>
      <c r="L78" s="10"/>
      <c r="M78" s="10"/>
      <c r="N78" s="10"/>
      <c r="O78" s="10"/>
    </row>
    <row r="79">
      <c r="A79" s="10"/>
      <c r="B79" s="10"/>
      <c r="C79" s="10"/>
      <c r="D79" s="10"/>
      <c r="E79" s="10"/>
      <c r="F79" s="10"/>
      <c r="G79" s="10"/>
      <c r="H79" s="10"/>
      <c r="I79" s="13"/>
      <c r="J79" s="10"/>
      <c r="K79" s="10"/>
      <c r="L79" s="10"/>
      <c r="M79" s="10"/>
      <c r="N79" s="10"/>
      <c r="O79" s="10"/>
    </row>
    <row r="80">
      <c r="A80" s="10"/>
      <c r="B80" s="10"/>
      <c r="C80" s="10"/>
      <c r="D80" s="10"/>
      <c r="E80" s="10"/>
      <c r="F80" s="10"/>
      <c r="G80" s="10"/>
      <c r="H80" s="10"/>
      <c r="I80" s="13"/>
      <c r="J80" s="10"/>
      <c r="K80" s="10"/>
      <c r="L80" s="10"/>
      <c r="M80" s="10"/>
      <c r="N80" s="10"/>
      <c r="O80" s="10"/>
    </row>
    <row r="81">
      <c r="A81" s="10"/>
      <c r="B81" s="10"/>
      <c r="C81" s="10"/>
      <c r="D81" s="10"/>
      <c r="E81" s="10"/>
      <c r="F81" s="10"/>
      <c r="G81" s="10"/>
      <c r="H81" s="10"/>
      <c r="I81" s="13"/>
      <c r="J81" s="10"/>
      <c r="K81" s="10"/>
      <c r="L81" s="10"/>
      <c r="M81" s="10"/>
      <c r="N81" s="10"/>
      <c r="O81" s="10"/>
    </row>
    <row r="82">
      <c r="A82" s="10"/>
      <c r="B82" s="10"/>
      <c r="C82" s="10"/>
      <c r="D82" s="10"/>
      <c r="E82" s="10"/>
      <c r="F82" s="10"/>
      <c r="G82" s="10"/>
      <c r="H82" s="10"/>
      <c r="I82" s="13"/>
      <c r="J82" s="10"/>
      <c r="K82" s="10"/>
      <c r="L82" s="10"/>
      <c r="M82" s="10"/>
      <c r="N82" s="10"/>
      <c r="O82" s="10"/>
    </row>
    <row r="83">
      <c r="A83" s="10"/>
      <c r="B83" s="10"/>
      <c r="C83" s="10"/>
      <c r="D83" s="10"/>
      <c r="E83" s="10"/>
      <c r="F83" s="10"/>
      <c r="G83" s="10"/>
      <c r="H83" s="10"/>
      <c r="I83" s="13"/>
      <c r="J83" s="10"/>
      <c r="K83" s="10"/>
      <c r="L83" s="10"/>
      <c r="M83" s="10"/>
      <c r="N83" s="10"/>
      <c r="O83" s="10"/>
    </row>
    <row r="84">
      <c r="A84" s="10"/>
      <c r="B84" s="10"/>
      <c r="C84" s="10"/>
      <c r="D84" s="10"/>
      <c r="E84" s="10"/>
      <c r="F84" s="10"/>
      <c r="G84" s="10"/>
      <c r="H84" s="10"/>
      <c r="I84" s="13"/>
      <c r="J84" s="10"/>
      <c r="K84" s="10"/>
      <c r="L84" s="10"/>
      <c r="M84" s="10"/>
      <c r="N84" s="10"/>
      <c r="O84" s="10"/>
    </row>
    <row r="85">
      <c r="A85" s="10"/>
      <c r="B85" s="10"/>
      <c r="C85" s="10"/>
      <c r="D85" s="10"/>
      <c r="E85" s="10"/>
      <c r="F85" s="10"/>
      <c r="G85" s="10"/>
      <c r="H85" s="10"/>
      <c r="I85" s="13"/>
      <c r="J85" s="10"/>
      <c r="K85" s="10"/>
      <c r="L85" s="10"/>
      <c r="M85" s="10"/>
      <c r="N85" s="10"/>
      <c r="O85" s="10"/>
    </row>
    <row r="86">
      <c r="A86" s="10"/>
      <c r="B86" s="10"/>
      <c r="C86" s="10"/>
      <c r="D86" s="10"/>
      <c r="E86" s="10"/>
      <c r="F86" s="10"/>
      <c r="G86" s="10"/>
      <c r="H86" s="10"/>
      <c r="I86" s="13"/>
      <c r="J86" s="10"/>
      <c r="K86" s="10"/>
      <c r="L86" s="10"/>
      <c r="M86" s="10"/>
      <c r="N86" s="10"/>
      <c r="O86" s="10"/>
    </row>
    <row r="87">
      <c r="A87" s="10"/>
      <c r="B87" s="10"/>
      <c r="C87" s="10"/>
      <c r="D87" s="10"/>
      <c r="E87" s="10"/>
      <c r="F87" s="10"/>
      <c r="G87" s="10"/>
      <c r="H87" s="10"/>
      <c r="I87" s="13"/>
      <c r="J87" s="10"/>
      <c r="K87" s="10"/>
      <c r="L87" s="10"/>
      <c r="M87" s="10"/>
      <c r="N87" s="10"/>
      <c r="O87" s="10"/>
    </row>
    <row r="88">
      <c r="A88" s="10"/>
      <c r="B88" s="10"/>
      <c r="C88" s="10"/>
      <c r="D88" s="10"/>
      <c r="E88" s="10"/>
      <c r="F88" s="10"/>
      <c r="G88" s="10"/>
      <c r="H88" s="10"/>
      <c r="I88" s="13"/>
      <c r="J88" s="10"/>
      <c r="K88" s="10"/>
      <c r="L88" s="10"/>
      <c r="M88" s="10"/>
      <c r="N88" s="10"/>
      <c r="O88" s="10"/>
    </row>
    <row r="89">
      <c r="A89" s="10"/>
      <c r="B89" s="10"/>
      <c r="C89" s="10"/>
      <c r="D89" s="10"/>
      <c r="E89" s="10"/>
      <c r="F89" s="10"/>
      <c r="G89" s="10"/>
      <c r="H89" s="10"/>
      <c r="I89" s="13"/>
      <c r="J89" s="10"/>
      <c r="K89" s="10"/>
      <c r="L89" s="10"/>
      <c r="M89" s="10"/>
      <c r="N89" s="10"/>
      <c r="O89" s="10"/>
    </row>
    <row r="90">
      <c r="A90" s="10"/>
      <c r="B90" s="10"/>
      <c r="C90" s="10"/>
      <c r="D90" s="10"/>
      <c r="E90" s="10"/>
      <c r="F90" s="10"/>
      <c r="G90" s="10"/>
      <c r="H90" s="10"/>
      <c r="I90" s="13"/>
      <c r="J90" s="10"/>
      <c r="K90" s="10"/>
      <c r="L90" s="10"/>
      <c r="M90" s="10"/>
      <c r="N90" s="10"/>
      <c r="O90" s="10"/>
    </row>
    <row r="91">
      <c r="A91" s="10"/>
      <c r="B91" s="10"/>
      <c r="C91" s="10"/>
      <c r="D91" s="10"/>
      <c r="E91" s="10"/>
      <c r="F91" s="10"/>
      <c r="G91" s="10"/>
      <c r="H91" s="10"/>
      <c r="I91" s="13"/>
      <c r="J91" s="10"/>
      <c r="K91" s="10"/>
      <c r="L91" s="10"/>
      <c r="M91" s="10"/>
      <c r="N91" s="10"/>
      <c r="O91" s="10"/>
    </row>
    <row r="92">
      <c r="A92" s="10"/>
      <c r="B92" s="10"/>
      <c r="C92" s="10"/>
      <c r="D92" s="10"/>
      <c r="E92" s="10"/>
      <c r="F92" s="10"/>
      <c r="G92" s="10"/>
      <c r="H92" s="10"/>
      <c r="I92" s="13"/>
      <c r="J92" s="10"/>
      <c r="K92" s="10"/>
      <c r="L92" s="10"/>
      <c r="M92" s="10"/>
      <c r="N92" s="10"/>
      <c r="O92" s="10"/>
    </row>
    <row r="93">
      <c r="A93" s="10"/>
      <c r="B93" s="10"/>
      <c r="C93" s="10"/>
      <c r="D93" s="10"/>
      <c r="E93" s="10"/>
      <c r="F93" s="10"/>
      <c r="G93" s="10"/>
      <c r="H93" s="10"/>
      <c r="I93" s="13"/>
      <c r="J93" s="10"/>
      <c r="K93" s="10"/>
      <c r="L93" s="10"/>
      <c r="M93" s="10"/>
      <c r="N93" s="10"/>
      <c r="O93" s="10"/>
    </row>
    <row r="94">
      <c r="A94" s="10"/>
      <c r="B94" s="10"/>
      <c r="C94" s="10"/>
      <c r="D94" s="10"/>
      <c r="E94" s="10"/>
      <c r="F94" s="10"/>
      <c r="G94" s="10"/>
      <c r="H94" s="10"/>
      <c r="I94" s="13"/>
      <c r="J94" s="10"/>
      <c r="K94" s="10"/>
      <c r="L94" s="10"/>
      <c r="M94" s="10"/>
      <c r="N94" s="10"/>
      <c r="O94" s="10"/>
    </row>
    <row r="95">
      <c r="A95" s="10"/>
      <c r="B95" s="10"/>
      <c r="C95" s="10"/>
      <c r="D95" s="10"/>
      <c r="E95" s="10"/>
      <c r="F95" s="10"/>
      <c r="G95" s="10"/>
      <c r="H95" s="10"/>
      <c r="I95" s="13"/>
      <c r="J95" s="10"/>
      <c r="K95" s="10"/>
      <c r="L95" s="10"/>
      <c r="M95" s="10"/>
      <c r="N95" s="10"/>
      <c r="O95" s="10"/>
    </row>
    <row r="96">
      <c r="A96" s="10"/>
      <c r="B96" s="10"/>
      <c r="C96" s="10"/>
      <c r="D96" s="10"/>
      <c r="E96" s="10"/>
      <c r="F96" s="10"/>
      <c r="G96" s="10"/>
      <c r="H96" s="10"/>
      <c r="I96" s="13"/>
      <c r="J96" s="10"/>
      <c r="K96" s="10"/>
      <c r="L96" s="10"/>
      <c r="M96" s="10"/>
      <c r="N96" s="10"/>
      <c r="O96" s="10"/>
    </row>
    <row r="97">
      <c r="A97" s="10"/>
      <c r="B97" s="10"/>
      <c r="C97" s="10"/>
      <c r="D97" s="10"/>
      <c r="E97" s="10"/>
      <c r="F97" s="10"/>
      <c r="G97" s="10"/>
      <c r="H97" s="10"/>
      <c r="I97" s="13"/>
      <c r="J97" s="10"/>
      <c r="K97" s="10"/>
      <c r="L97" s="10"/>
      <c r="M97" s="10"/>
      <c r="N97" s="10"/>
      <c r="O97" s="10"/>
    </row>
    <row r="98">
      <c r="A98" s="10"/>
      <c r="B98" s="10"/>
      <c r="C98" s="10"/>
      <c r="D98" s="10"/>
      <c r="E98" s="10"/>
      <c r="F98" s="10"/>
      <c r="G98" s="10"/>
      <c r="H98" s="10"/>
      <c r="I98" s="13"/>
      <c r="J98" s="10"/>
      <c r="K98" s="10"/>
      <c r="L98" s="10"/>
      <c r="M98" s="10"/>
      <c r="N98" s="10"/>
      <c r="O98" s="10"/>
    </row>
    <row r="99">
      <c r="A99" s="10"/>
      <c r="B99" s="10"/>
      <c r="C99" s="10"/>
      <c r="D99" s="10"/>
      <c r="E99" s="10"/>
      <c r="F99" s="10"/>
      <c r="G99" s="10"/>
      <c r="H99" s="10"/>
      <c r="I99" s="13"/>
      <c r="J99" s="10"/>
      <c r="K99" s="10"/>
      <c r="L99" s="10"/>
      <c r="M99" s="10"/>
      <c r="N99" s="10"/>
      <c r="O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3"/>
      <c r="J100" s="10"/>
      <c r="K100" s="10"/>
      <c r="L100" s="10"/>
      <c r="M100" s="10"/>
      <c r="N100" s="10"/>
      <c r="O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3"/>
      <c r="J101" s="10"/>
      <c r="K101" s="10"/>
      <c r="L101" s="10"/>
      <c r="M101" s="10"/>
      <c r="N101" s="10"/>
      <c r="O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3"/>
      <c r="J102" s="10"/>
      <c r="K102" s="10"/>
      <c r="L102" s="10"/>
      <c r="M102" s="10"/>
      <c r="N102" s="10"/>
      <c r="O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3"/>
      <c r="J103" s="10"/>
      <c r="K103" s="10"/>
      <c r="L103" s="10"/>
      <c r="M103" s="10"/>
      <c r="N103" s="10"/>
      <c r="O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3"/>
      <c r="J104" s="10"/>
      <c r="K104" s="10"/>
      <c r="L104" s="10"/>
      <c r="M104" s="10"/>
      <c r="N104" s="10"/>
      <c r="O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3"/>
      <c r="J105" s="10"/>
      <c r="K105" s="10"/>
      <c r="L105" s="10"/>
      <c r="M105" s="10"/>
      <c r="N105" s="10"/>
      <c r="O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3"/>
      <c r="J106" s="10"/>
      <c r="K106" s="10"/>
      <c r="L106" s="10"/>
      <c r="M106" s="10"/>
      <c r="N106" s="10"/>
      <c r="O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3"/>
      <c r="J107" s="10"/>
      <c r="K107" s="10"/>
      <c r="L107" s="10"/>
      <c r="M107" s="10"/>
      <c r="N107" s="10"/>
      <c r="O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3"/>
      <c r="J108" s="10"/>
      <c r="K108" s="10"/>
      <c r="L108" s="10"/>
      <c r="M108" s="10"/>
      <c r="N108" s="10"/>
      <c r="O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3"/>
      <c r="J109" s="10"/>
      <c r="K109" s="10"/>
      <c r="L109" s="10"/>
      <c r="M109" s="10"/>
      <c r="N109" s="10"/>
      <c r="O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3"/>
      <c r="J110" s="10"/>
      <c r="K110" s="10"/>
      <c r="L110" s="10"/>
      <c r="M110" s="10"/>
      <c r="N110" s="10"/>
      <c r="O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3"/>
      <c r="J111" s="10"/>
      <c r="K111" s="10"/>
      <c r="L111" s="10"/>
      <c r="M111" s="10"/>
      <c r="N111" s="10"/>
      <c r="O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3"/>
      <c r="J112" s="10"/>
      <c r="K112" s="10"/>
      <c r="L112" s="10"/>
      <c r="M112" s="10"/>
      <c r="N112" s="10"/>
      <c r="O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3"/>
      <c r="J113" s="10"/>
      <c r="K113" s="10"/>
      <c r="L113" s="10"/>
      <c r="M113" s="10"/>
      <c r="N113" s="10"/>
      <c r="O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3"/>
      <c r="J114" s="10"/>
      <c r="K114" s="10"/>
      <c r="L114" s="10"/>
      <c r="M114" s="10"/>
      <c r="N114" s="10"/>
      <c r="O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3"/>
      <c r="J115" s="10"/>
      <c r="K115" s="10"/>
      <c r="L115" s="10"/>
      <c r="M115" s="10"/>
      <c r="N115" s="10"/>
      <c r="O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3"/>
      <c r="J116" s="10"/>
      <c r="K116" s="10"/>
      <c r="L116" s="10"/>
      <c r="M116" s="10"/>
      <c r="N116" s="10"/>
      <c r="O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3"/>
      <c r="J117" s="10"/>
      <c r="K117" s="10"/>
      <c r="L117" s="10"/>
      <c r="M117" s="10"/>
      <c r="N117" s="10"/>
      <c r="O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3"/>
      <c r="J118" s="10"/>
      <c r="K118" s="10"/>
      <c r="L118" s="10"/>
      <c r="M118" s="10"/>
      <c r="N118" s="10"/>
      <c r="O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3"/>
      <c r="J119" s="10"/>
      <c r="K119" s="10"/>
      <c r="L119" s="10"/>
      <c r="M119" s="10"/>
      <c r="N119" s="10"/>
      <c r="O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3"/>
      <c r="J120" s="10"/>
      <c r="K120" s="10"/>
      <c r="L120" s="10"/>
      <c r="M120" s="10"/>
      <c r="N120" s="10"/>
      <c r="O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3"/>
      <c r="J121" s="10"/>
      <c r="K121" s="10"/>
      <c r="L121" s="10"/>
      <c r="M121" s="10"/>
      <c r="N121" s="10"/>
      <c r="O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3"/>
      <c r="J122" s="10"/>
      <c r="K122" s="10"/>
      <c r="L122" s="10"/>
      <c r="M122" s="10"/>
      <c r="N122" s="10"/>
      <c r="O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3"/>
      <c r="J123" s="10"/>
      <c r="K123" s="10"/>
      <c r="L123" s="10"/>
      <c r="M123" s="10"/>
      <c r="N123" s="10"/>
      <c r="O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3"/>
      <c r="J124" s="10"/>
      <c r="K124" s="10"/>
      <c r="L124" s="10"/>
      <c r="M124" s="10"/>
      <c r="N124" s="10"/>
      <c r="O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3"/>
      <c r="J125" s="10"/>
      <c r="K125" s="10"/>
      <c r="L125" s="10"/>
      <c r="M125" s="10"/>
      <c r="N125" s="10"/>
      <c r="O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3"/>
      <c r="J126" s="10"/>
      <c r="K126" s="10"/>
      <c r="L126" s="10"/>
      <c r="M126" s="10"/>
      <c r="N126" s="10"/>
      <c r="O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3"/>
      <c r="J127" s="10"/>
      <c r="K127" s="10"/>
      <c r="L127" s="10"/>
      <c r="M127" s="10"/>
      <c r="N127" s="10"/>
      <c r="O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3"/>
      <c r="J128" s="10"/>
      <c r="K128" s="10"/>
      <c r="L128" s="10"/>
      <c r="M128" s="10"/>
      <c r="N128" s="10"/>
      <c r="O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3"/>
      <c r="J129" s="10"/>
      <c r="K129" s="10"/>
      <c r="L129" s="10"/>
      <c r="M129" s="10"/>
      <c r="N129" s="10"/>
      <c r="O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3"/>
      <c r="J130" s="10"/>
      <c r="K130" s="10"/>
      <c r="L130" s="10"/>
      <c r="M130" s="10"/>
      <c r="N130" s="10"/>
      <c r="O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3"/>
      <c r="J131" s="10"/>
      <c r="K131" s="10"/>
      <c r="L131" s="10"/>
      <c r="M131" s="10"/>
      <c r="N131" s="10"/>
      <c r="O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3"/>
      <c r="J132" s="10"/>
      <c r="K132" s="10"/>
      <c r="L132" s="10"/>
      <c r="M132" s="10"/>
      <c r="N132" s="10"/>
      <c r="O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3"/>
      <c r="J133" s="10"/>
      <c r="K133" s="10"/>
      <c r="L133" s="10"/>
      <c r="M133" s="10"/>
      <c r="N133" s="10"/>
      <c r="O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3"/>
      <c r="J134" s="10"/>
      <c r="K134" s="10"/>
      <c r="L134" s="10"/>
      <c r="M134" s="10"/>
      <c r="N134" s="10"/>
      <c r="O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3"/>
      <c r="J135" s="10"/>
      <c r="K135" s="10"/>
      <c r="L135" s="10"/>
      <c r="M135" s="10"/>
      <c r="N135" s="10"/>
      <c r="O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3"/>
      <c r="J136" s="10"/>
      <c r="K136" s="10"/>
      <c r="L136" s="10"/>
      <c r="M136" s="10"/>
      <c r="N136" s="10"/>
      <c r="O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3"/>
      <c r="J137" s="10"/>
      <c r="K137" s="10"/>
      <c r="L137" s="10"/>
      <c r="M137" s="10"/>
      <c r="N137" s="10"/>
      <c r="O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3"/>
      <c r="J138" s="10"/>
      <c r="K138" s="10"/>
      <c r="L138" s="10"/>
      <c r="M138" s="10"/>
      <c r="N138" s="10"/>
      <c r="O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3"/>
      <c r="J139" s="10"/>
      <c r="K139" s="10"/>
      <c r="L139" s="10"/>
      <c r="M139" s="10"/>
      <c r="N139" s="10"/>
      <c r="O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3"/>
      <c r="J140" s="10"/>
      <c r="K140" s="10"/>
      <c r="L140" s="10"/>
      <c r="M140" s="10"/>
      <c r="N140" s="10"/>
      <c r="O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3"/>
      <c r="J141" s="10"/>
      <c r="K141" s="10"/>
      <c r="L141" s="10"/>
      <c r="M141" s="10"/>
      <c r="N141" s="10"/>
      <c r="O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3"/>
      <c r="J142" s="10"/>
      <c r="K142" s="10"/>
      <c r="L142" s="10"/>
      <c r="M142" s="10"/>
      <c r="N142" s="10"/>
      <c r="O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3"/>
      <c r="J143" s="10"/>
      <c r="K143" s="10"/>
      <c r="L143" s="10"/>
      <c r="M143" s="10"/>
      <c r="N143" s="10"/>
      <c r="O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3"/>
      <c r="J144" s="10"/>
      <c r="K144" s="10"/>
      <c r="L144" s="10"/>
      <c r="M144" s="10"/>
      <c r="N144" s="10"/>
      <c r="O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3"/>
      <c r="J145" s="10"/>
      <c r="K145" s="10"/>
      <c r="L145" s="10"/>
      <c r="M145" s="10"/>
      <c r="N145" s="10"/>
      <c r="O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3"/>
      <c r="J146" s="10"/>
      <c r="K146" s="10"/>
      <c r="L146" s="10"/>
      <c r="M146" s="10"/>
      <c r="N146" s="10"/>
      <c r="O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3"/>
      <c r="J147" s="10"/>
      <c r="K147" s="10"/>
      <c r="L147" s="10"/>
      <c r="M147" s="10"/>
      <c r="N147" s="10"/>
      <c r="O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3"/>
      <c r="J148" s="10"/>
      <c r="K148" s="10"/>
      <c r="L148" s="10"/>
      <c r="M148" s="10"/>
      <c r="N148" s="10"/>
      <c r="O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3"/>
      <c r="J149" s="10"/>
      <c r="K149" s="10"/>
      <c r="L149" s="10"/>
      <c r="M149" s="10"/>
      <c r="N149" s="10"/>
      <c r="O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3"/>
      <c r="J150" s="10"/>
      <c r="K150" s="10"/>
      <c r="L150" s="10"/>
      <c r="M150" s="10"/>
      <c r="N150" s="10"/>
      <c r="O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3"/>
      <c r="J151" s="10"/>
      <c r="K151" s="10"/>
      <c r="L151" s="10"/>
      <c r="M151" s="10"/>
      <c r="N151" s="10"/>
      <c r="O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3"/>
      <c r="J152" s="10"/>
      <c r="K152" s="10"/>
      <c r="L152" s="10"/>
      <c r="M152" s="10"/>
      <c r="N152" s="10"/>
      <c r="O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3"/>
      <c r="J153" s="10"/>
      <c r="K153" s="10"/>
      <c r="L153" s="10"/>
      <c r="M153" s="10"/>
      <c r="N153" s="10"/>
      <c r="O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3"/>
      <c r="J154" s="10"/>
      <c r="K154" s="10"/>
      <c r="L154" s="10"/>
      <c r="M154" s="10"/>
      <c r="N154" s="10"/>
      <c r="O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3"/>
      <c r="J155" s="10"/>
      <c r="K155" s="10"/>
      <c r="L155" s="10"/>
      <c r="M155" s="10"/>
      <c r="N155" s="10"/>
      <c r="O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3"/>
      <c r="J156" s="10"/>
      <c r="K156" s="10"/>
      <c r="L156" s="10"/>
      <c r="M156" s="10"/>
      <c r="N156" s="10"/>
      <c r="O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3"/>
      <c r="J157" s="10"/>
      <c r="K157" s="10"/>
      <c r="L157" s="10"/>
      <c r="M157" s="10"/>
      <c r="N157" s="10"/>
      <c r="O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3"/>
      <c r="J158" s="10"/>
      <c r="K158" s="10"/>
      <c r="L158" s="10"/>
      <c r="M158" s="10"/>
      <c r="N158" s="10"/>
      <c r="O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3"/>
      <c r="J159" s="10"/>
      <c r="K159" s="10"/>
      <c r="L159" s="10"/>
      <c r="M159" s="10"/>
      <c r="N159" s="10"/>
      <c r="O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3"/>
      <c r="J160" s="10"/>
      <c r="K160" s="10"/>
      <c r="L160" s="10"/>
      <c r="M160" s="10"/>
      <c r="N160" s="10"/>
      <c r="O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3"/>
      <c r="J161" s="10"/>
      <c r="K161" s="10"/>
      <c r="L161" s="10"/>
      <c r="M161" s="10"/>
      <c r="N161" s="10"/>
      <c r="O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3"/>
      <c r="J162" s="10"/>
      <c r="K162" s="10"/>
      <c r="L162" s="10"/>
      <c r="M162" s="10"/>
      <c r="N162" s="10"/>
      <c r="O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3"/>
      <c r="J163" s="10"/>
      <c r="K163" s="10"/>
      <c r="L163" s="10"/>
      <c r="M163" s="10"/>
      <c r="N163" s="10"/>
      <c r="O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3"/>
      <c r="J164" s="10"/>
      <c r="K164" s="10"/>
      <c r="L164" s="10"/>
      <c r="M164" s="10"/>
      <c r="N164" s="10"/>
      <c r="O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3"/>
      <c r="J165" s="10"/>
      <c r="K165" s="10"/>
      <c r="L165" s="10"/>
      <c r="M165" s="10"/>
      <c r="N165" s="10"/>
      <c r="O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3"/>
      <c r="J166" s="10"/>
      <c r="K166" s="10"/>
      <c r="L166" s="10"/>
      <c r="M166" s="10"/>
      <c r="N166" s="10"/>
      <c r="O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3"/>
      <c r="J167" s="10"/>
      <c r="K167" s="10"/>
      <c r="L167" s="10"/>
      <c r="M167" s="10"/>
      <c r="N167" s="10"/>
      <c r="O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3"/>
      <c r="J168" s="10"/>
      <c r="K168" s="10"/>
      <c r="L168" s="10"/>
      <c r="M168" s="10"/>
      <c r="N168" s="10"/>
      <c r="O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3"/>
      <c r="J169" s="10"/>
      <c r="K169" s="10"/>
      <c r="L169" s="10"/>
      <c r="M169" s="10"/>
      <c r="N169" s="10"/>
      <c r="O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3"/>
      <c r="J170" s="10"/>
      <c r="K170" s="10"/>
      <c r="L170" s="10"/>
      <c r="M170" s="10"/>
      <c r="N170" s="10"/>
      <c r="O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3"/>
      <c r="J171" s="10"/>
      <c r="K171" s="10"/>
      <c r="L171" s="10"/>
      <c r="M171" s="10"/>
      <c r="N171" s="10"/>
      <c r="O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3"/>
      <c r="J172" s="10"/>
      <c r="K172" s="10"/>
      <c r="L172" s="10"/>
      <c r="M172" s="10"/>
      <c r="N172" s="10"/>
      <c r="O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3"/>
      <c r="J173" s="10"/>
      <c r="K173" s="10"/>
      <c r="L173" s="10"/>
      <c r="M173" s="10"/>
      <c r="N173" s="10"/>
      <c r="O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3"/>
      <c r="J174" s="10"/>
      <c r="K174" s="10"/>
      <c r="L174" s="10"/>
      <c r="M174" s="10"/>
      <c r="N174" s="10"/>
      <c r="O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3"/>
      <c r="J175" s="10"/>
      <c r="K175" s="10"/>
      <c r="L175" s="10"/>
      <c r="M175" s="10"/>
      <c r="N175" s="10"/>
      <c r="O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3"/>
      <c r="J176" s="10"/>
      <c r="K176" s="10"/>
      <c r="L176" s="10"/>
      <c r="M176" s="10"/>
      <c r="N176" s="10"/>
      <c r="O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3"/>
      <c r="J177" s="10"/>
      <c r="K177" s="10"/>
      <c r="L177" s="10"/>
      <c r="M177" s="10"/>
      <c r="N177" s="10"/>
      <c r="O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3"/>
      <c r="J178" s="10"/>
      <c r="K178" s="10"/>
      <c r="L178" s="10"/>
      <c r="M178" s="10"/>
      <c r="N178" s="10"/>
      <c r="O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3"/>
      <c r="J179" s="10"/>
      <c r="K179" s="10"/>
      <c r="L179" s="10"/>
      <c r="M179" s="10"/>
      <c r="N179" s="10"/>
      <c r="O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3"/>
      <c r="J180" s="10"/>
      <c r="K180" s="10"/>
      <c r="L180" s="10"/>
      <c r="M180" s="10"/>
      <c r="N180" s="10"/>
      <c r="O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3"/>
      <c r="J181" s="10"/>
      <c r="K181" s="10"/>
      <c r="L181" s="10"/>
      <c r="M181" s="10"/>
      <c r="N181" s="10"/>
      <c r="O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3"/>
      <c r="J182" s="10"/>
      <c r="K182" s="10"/>
      <c r="L182" s="10"/>
      <c r="M182" s="10"/>
      <c r="N182" s="10"/>
      <c r="O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3"/>
      <c r="J183" s="10"/>
      <c r="K183" s="10"/>
      <c r="L183" s="10"/>
      <c r="M183" s="10"/>
      <c r="N183" s="10"/>
      <c r="O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3"/>
      <c r="J184" s="10"/>
      <c r="K184" s="10"/>
      <c r="L184" s="10"/>
      <c r="M184" s="10"/>
      <c r="N184" s="10"/>
      <c r="O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3"/>
      <c r="J185" s="10"/>
      <c r="K185" s="10"/>
      <c r="L185" s="10"/>
      <c r="M185" s="10"/>
      <c r="N185" s="10"/>
      <c r="O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3"/>
      <c r="J186" s="10"/>
      <c r="K186" s="10"/>
      <c r="L186" s="10"/>
      <c r="M186" s="10"/>
      <c r="N186" s="10"/>
      <c r="O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3"/>
      <c r="J187" s="10"/>
      <c r="K187" s="10"/>
      <c r="L187" s="10"/>
      <c r="M187" s="10"/>
      <c r="N187" s="10"/>
      <c r="O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3"/>
      <c r="J188" s="10"/>
      <c r="K188" s="10"/>
      <c r="L188" s="10"/>
      <c r="M188" s="10"/>
      <c r="N188" s="10"/>
      <c r="O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3"/>
      <c r="J189" s="10"/>
      <c r="K189" s="10"/>
      <c r="L189" s="10"/>
      <c r="M189" s="10"/>
      <c r="N189" s="10"/>
      <c r="O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3"/>
      <c r="J190" s="10"/>
      <c r="K190" s="10"/>
      <c r="L190" s="10"/>
      <c r="M190" s="10"/>
      <c r="N190" s="10"/>
      <c r="O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3"/>
      <c r="J191" s="10"/>
      <c r="K191" s="10"/>
      <c r="L191" s="10"/>
      <c r="M191" s="10"/>
      <c r="N191" s="10"/>
      <c r="O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3"/>
      <c r="J192" s="10"/>
      <c r="K192" s="10"/>
      <c r="L192" s="10"/>
      <c r="M192" s="10"/>
      <c r="N192" s="10"/>
      <c r="O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3"/>
      <c r="J193" s="10"/>
      <c r="K193" s="10"/>
      <c r="L193" s="10"/>
      <c r="M193" s="10"/>
      <c r="N193" s="10"/>
      <c r="O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3"/>
      <c r="J194" s="10"/>
      <c r="K194" s="10"/>
      <c r="L194" s="10"/>
      <c r="M194" s="10"/>
      <c r="N194" s="10"/>
      <c r="O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3"/>
      <c r="J195" s="10"/>
      <c r="K195" s="10"/>
      <c r="L195" s="10"/>
      <c r="M195" s="10"/>
      <c r="N195" s="10"/>
      <c r="O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3"/>
      <c r="J196" s="10"/>
      <c r="K196" s="10"/>
      <c r="L196" s="10"/>
      <c r="M196" s="10"/>
      <c r="N196" s="10"/>
      <c r="O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3"/>
      <c r="J197" s="10"/>
      <c r="K197" s="10"/>
      <c r="L197" s="10"/>
      <c r="M197" s="10"/>
      <c r="N197" s="10"/>
      <c r="O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3"/>
      <c r="J198" s="10"/>
      <c r="K198" s="10"/>
      <c r="L198" s="10"/>
      <c r="M198" s="10"/>
      <c r="N198" s="10"/>
      <c r="O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3"/>
      <c r="J199" s="10"/>
      <c r="K199" s="10"/>
      <c r="L199" s="10"/>
      <c r="M199" s="10"/>
      <c r="N199" s="10"/>
      <c r="O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3"/>
      <c r="J200" s="10"/>
      <c r="K200" s="10"/>
      <c r="L200" s="10"/>
      <c r="M200" s="10"/>
      <c r="N200" s="10"/>
      <c r="O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3"/>
      <c r="J201" s="10"/>
      <c r="K201" s="10"/>
      <c r="L201" s="10"/>
      <c r="M201" s="10"/>
      <c r="N201" s="10"/>
      <c r="O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3"/>
      <c r="J202" s="10"/>
      <c r="K202" s="10"/>
      <c r="L202" s="10"/>
      <c r="M202" s="10"/>
      <c r="N202" s="10"/>
      <c r="O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3"/>
      <c r="J203" s="10"/>
      <c r="K203" s="10"/>
      <c r="L203" s="10"/>
      <c r="M203" s="10"/>
      <c r="N203" s="10"/>
      <c r="O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3"/>
      <c r="J204" s="10"/>
      <c r="K204" s="10"/>
      <c r="L204" s="10"/>
      <c r="M204" s="10"/>
      <c r="N204" s="10"/>
      <c r="O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3"/>
      <c r="J205" s="10"/>
      <c r="K205" s="10"/>
      <c r="L205" s="10"/>
      <c r="M205" s="10"/>
      <c r="N205" s="10"/>
      <c r="O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3"/>
      <c r="J206" s="10"/>
      <c r="K206" s="10"/>
      <c r="L206" s="10"/>
      <c r="M206" s="10"/>
      <c r="N206" s="10"/>
      <c r="O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3"/>
      <c r="J207" s="10"/>
      <c r="K207" s="10"/>
      <c r="L207" s="10"/>
      <c r="M207" s="10"/>
      <c r="N207" s="10"/>
      <c r="O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3"/>
      <c r="J208" s="10"/>
      <c r="K208" s="10"/>
      <c r="L208" s="10"/>
      <c r="M208" s="10"/>
      <c r="N208" s="10"/>
      <c r="O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3"/>
      <c r="J209" s="10"/>
      <c r="K209" s="10"/>
      <c r="L209" s="10"/>
      <c r="M209" s="10"/>
      <c r="N209" s="10"/>
      <c r="O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3"/>
      <c r="J210" s="10"/>
      <c r="K210" s="10"/>
      <c r="L210" s="10"/>
      <c r="M210" s="10"/>
      <c r="N210" s="10"/>
      <c r="O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3"/>
      <c r="J211" s="10"/>
      <c r="K211" s="10"/>
      <c r="L211" s="10"/>
      <c r="M211" s="10"/>
      <c r="N211" s="10"/>
      <c r="O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3"/>
      <c r="J212" s="10"/>
      <c r="K212" s="10"/>
      <c r="L212" s="10"/>
      <c r="M212" s="10"/>
      <c r="N212" s="10"/>
      <c r="O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3"/>
      <c r="J213" s="10"/>
      <c r="K213" s="10"/>
      <c r="L213" s="10"/>
      <c r="M213" s="10"/>
      <c r="N213" s="10"/>
      <c r="O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3"/>
      <c r="J214" s="10"/>
      <c r="K214" s="10"/>
      <c r="L214" s="10"/>
      <c r="M214" s="10"/>
      <c r="N214" s="10"/>
      <c r="O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3"/>
      <c r="J215" s="10"/>
      <c r="K215" s="10"/>
      <c r="L215" s="10"/>
      <c r="M215" s="10"/>
      <c r="N215" s="10"/>
      <c r="O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3"/>
      <c r="J216" s="10"/>
      <c r="K216" s="10"/>
      <c r="L216" s="10"/>
      <c r="M216" s="10"/>
      <c r="N216" s="10"/>
      <c r="O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3"/>
      <c r="J217" s="10"/>
      <c r="K217" s="10"/>
      <c r="L217" s="10"/>
      <c r="M217" s="10"/>
      <c r="N217" s="10"/>
      <c r="O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3"/>
      <c r="J218" s="10"/>
      <c r="K218" s="10"/>
      <c r="L218" s="10"/>
      <c r="M218" s="10"/>
      <c r="N218" s="10"/>
      <c r="O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3"/>
      <c r="J219" s="10"/>
      <c r="K219" s="10"/>
      <c r="L219" s="10"/>
      <c r="M219" s="10"/>
      <c r="N219" s="10"/>
      <c r="O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3"/>
      <c r="J220" s="10"/>
      <c r="K220" s="10"/>
      <c r="L220" s="10"/>
      <c r="M220" s="10"/>
      <c r="N220" s="10"/>
      <c r="O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3"/>
      <c r="J221" s="10"/>
      <c r="K221" s="10"/>
      <c r="L221" s="10"/>
      <c r="M221" s="10"/>
      <c r="N221" s="10"/>
      <c r="O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3"/>
      <c r="J222" s="10"/>
      <c r="K222" s="10"/>
      <c r="L222" s="10"/>
      <c r="M222" s="10"/>
      <c r="N222" s="10"/>
      <c r="O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3"/>
      <c r="J223" s="10"/>
      <c r="K223" s="10"/>
      <c r="L223" s="10"/>
      <c r="M223" s="10"/>
      <c r="N223" s="10"/>
      <c r="O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3"/>
      <c r="J224" s="10"/>
      <c r="K224" s="10"/>
      <c r="L224" s="10"/>
      <c r="M224" s="10"/>
      <c r="N224" s="10"/>
      <c r="O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3"/>
      <c r="J225" s="10"/>
      <c r="K225" s="10"/>
      <c r="L225" s="10"/>
      <c r="M225" s="10"/>
      <c r="N225" s="10"/>
      <c r="O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3"/>
      <c r="J226" s="10"/>
      <c r="K226" s="10"/>
      <c r="L226" s="10"/>
      <c r="M226" s="10"/>
      <c r="N226" s="10"/>
      <c r="O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3"/>
      <c r="J227" s="10"/>
      <c r="K227" s="10"/>
      <c r="L227" s="10"/>
      <c r="M227" s="10"/>
      <c r="N227" s="10"/>
      <c r="O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3"/>
      <c r="J228" s="10"/>
      <c r="K228" s="10"/>
      <c r="L228" s="10"/>
      <c r="M228" s="10"/>
      <c r="N228" s="10"/>
      <c r="O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3"/>
      <c r="J229" s="10"/>
      <c r="K229" s="10"/>
      <c r="L229" s="10"/>
      <c r="M229" s="10"/>
      <c r="N229" s="10"/>
      <c r="O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3"/>
      <c r="J230" s="10"/>
      <c r="K230" s="10"/>
      <c r="L230" s="10"/>
      <c r="M230" s="10"/>
      <c r="N230" s="10"/>
      <c r="O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3"/>
      <c r="J231" s="10"/>
      <c r="K231" s="10"/>
      <c r="L231" s="10"/>
      <c r="M231" s="10"/>
      <c r="N231" s="10"/>
      <c r="O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3"/>
      <c r="J232" s="10"/>
      <c r="K232" s="10"/>
      <c r="L232" s="10"/>
      <c r="M232" s="10"/>
      <c r="N232" s="10"/>
      <c r="O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3"/>
      <c r="J233" s="10"/>
      <c r="K233" s="10"/>
      <c r="L233" s="10"/>
      <c r="M233" s="10"/>
      <c r="N233" s="10"/>
      <c r="O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3"/>
      <c r="J234" s="10"/>
      <c r="K234" s="10"/>
      <c r="L234" s="10"/>
      <c r="M234" s="10"/>
      <c r="N234" s="10"/>
      <c r="O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3"/>
      <c r="J235" s="10"/>
      <c r="K235" s="10"/>
      <c r="L235" s="10"/>
      <c r="M235" s="10"/>
      <c r="N235" s="10"/>
      <c r="O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3"/>
      <c r="J236" s="10"/>
      <c r="K236" s="10"/>
      <c r="L236" s="10"/>
      <c r="M236" s="10"/>
      <c r="N236" s="10"/>
      <c r="O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3"/>
      <c r="J237" s="10"/>
      <c r="K237" s="10"/>
      <c r="L237" s="10"/>
      <c r="M237" s="10"/>
      <c r="N237" s="10"/>
      <c r="O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3"/>
      <c r="J238" s="10"/>
      <c r="K238" s="10"/>
      <c r="L238" s="10"/>
      <c r="M238" s="10"/>
      <c r="N238" s="10"/>
      <c r="O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3"/>
      <c r="J239" s="10"/>
      <c r="K239" s="10"/>
      <c r="L239" s="10"/>
      <c r="M239" s="10"/>
      <c r="N239" s="10"/>
      <c r="O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3"/>
      <c r="J240" s="10"/>
      <c r="K240" s="10"/>
      <c r="L240" s="10"/>
      <c r="M240" s="10"/>
      <c r="N240" s="10"/>
      <c r="O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3"/>
      <c r="J241" s="10"/>
      <c r="K241" s="10"/>
      <c r="L241" s="10"/>
      <c r="M241" s="10"/>
      <c r="N241" s="10"/>
      <c r="O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3"/>
      <c r="J242" s="10"/>
      <c r="K242" s="10"/>
      <c r="L242" s="10"/>
      <c r="M242" s="10"/>
      <c r="N242" s="10"/>
      <c r="O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3"/>
      <c r="J243" s="10"/>
      <c r="K243" s="10"/>
      <c r="L243" s="10"/>
      <c r="M243" s="10"/>
      <c r="N243" s="10"/>
      <c r="O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3"/>
      <c r="J244" s="10"/>
      <c r="K244" s="10"/>
      <c r="L244" s="10"/>
      <c r="M244" s="10"/>
      <c r="N244" s="10"/>
      <c r="O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3"/>
      <c r="J245" s="10"/>
      <c r="K245" s="10"/>
      <c r="L245" s="10"/>
      <c r="M245" s="10"/>
      <c r="N245" s="10"/>
      <c r="O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3"/>
      <c r="J246" s="10"/>
      <c r="K246" s="10"/>
      <c r="L246" s="10"/>
      <c r="M246" s="10"/>
      <c r="N246" s="10"/>
      <c r="O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3"/>
      <c r="J247" s="10"/>
      <c r="K247" s="10"/>
      <c r="L247" s="10"/>
      <c r="M247" s="10"/>
      <c r="N247" s="10"/>
      <c r="O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3"/>
      <c r="J248" s="10"/>
      <c r="K248" s="10"/>
      <c r="L248" s="10"/>
      <c r="M248" s="10"/>
      <c r="N248" s="10"/>
      <c r="O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3"/>
      <c r="J249" s="10"/>
      <c r="K249" s="10"/>
      <c r="L249" s="10"/>
      <c r="M249" s="10"/>
      <c r="N249" s="10"/>
      <c r="O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3"/>
      <c r="J250" s="10"/>
      <c r="K250" s="10"/>
      <c r="L250" s="10"/>
      <c r="M250" s="10"/>
      <c r="N250" s="10"/>
      <c r="O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3"/>
      <c r="J251" s="10"/>
      <c r="K251" s="10"/>
      <c r="L251" s="10"/>
      <c r="M251" s="10"/>
      <c r="N251" s="10"/>
      <c r="O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3"/>
      <c r="J252" s="10"/>
      <c r="K252" s="10"/>
      <c r="L252" s="10"/>
      <c r="M252" s="10"/>
      <c r="N252" s="10"/>
      <c r="O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3"/>
      <c r="J253" s="10"/>
      <c r="K253" s="10"/>
      <c r="L253" s="10"/>
      <c r="M253" s="10"/>
      <c r="N253" s="10"/>
      <c r="O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3"/>
      <c r="J254" s="10"/>
      <c r="K254" s="10"/>
      <c r="L254" s="10"/>
      <c r="M254" s="10"/>
      <c r="N254" s="10"/>
      <c r="O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3"/>
      <c r="J255" s="10"/>
      <c r="K255" s="10"/>
      <c r="L255" s="10"/>
      <c r="M255" s="10"/>
      <c r="N255" s="10"/>
      <c r="O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3"/>
      <c r="J256" s="10"/>
      <c r="K256" s="10"/>
      <c r="L256" s="10"/>
      <c r="M256" s="10"/>
      <c r="N256" s="10"/>
      <c r="O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3"/>
      <c r="J257" s="10"/>
      <c r="K257" s="10"/>
      <c r="L257" s="10"/>
      <c r="M257" s="10"/>
      <c r="N257" s="10"/>
      <c r="O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3"/>
      <c r="J258" s="10"/>
      <c r="K258" s="10"/>
      <c r="L258" s="10"/>
      <c r="M258" s="10"/>
      <c r="N258" s="10"/>
      <c r="O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3"/>
      <c r="J259" s="10"/>
      <c r="K259" s="10"/>
      <c r="L259" s="10"/>
      <c r="M259" s="10"/>
      <c r="N259" s="10"/>
      <c r="O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3"/>
      <c r="J260" s="10"/>
      <c r="K260" s="10"/>
      <c r="L260" s="10"/>
      <c r="M260" s="10"/>
      <c r="N260" s="10"/>
      <c r="O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3"/>
      <c r="J261" s="10"/>
      <c r="K261" s="10"/>
      <c r="L261" s="10"/>
      <c r="M261" s="10"/>
      <c r="N261" s="10"/>
      <c r="O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3"/>
      <c r="J262" s="10"/>
      <c r="K262" s="10"/>
      <c r="L262" s="10"/>
      <c r="M262" s="10"/>
      <c r="N262" s="10"/>
      <c r="O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3"/>
      <c r="J263" s="10"/>
      <c r="K263" s="10"/>
      <c r="L263" s="10"/>
      <c r="M263" s="10"/>
      <c r="N263" s="10"/>
      <c r="O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3"/>
      <c r="J264" s="10"/>
      <c r="K264" s="10"/>
      <c r="L264" s="10"/>
      <c r="M264" s="10"/>
      <c r="N264" s="10"/>
      <c r="O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3"/>
      <c r="J265" s="10"/>
      <c r="K265" s="10"/>
      <c r="L265" s="10"/>
      <c r="M265" s="10"/>
      <c r="N265" s="10"/>
      <c r="O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3"/>
      <c r="J266" s="10"/>
      <c r="K266" s="10"/>
      <c r="L266" s="10"/>
      <c r="M266" s="10"/>
      <c r="N266" s="10"/>
      <c r="O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3"/>
      <c r="J267" s="10"/>
      <c r="K267" s="10"/>
      <c r="L267" s="10"/>
      <c r="M267" s="10"/>
      <c r="N267" s="10"/>
      <c r="O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3"/>
      <c r="J268" s="10"/>
      <c r="K268" s="10"/>
      <c r="L268" s="10"/>
      <c r="M268" s="10"/>
      <c r="N268" s="10"/>
      <c r="O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3"/>
      <c r="J269" s="10"/>
      <c r="K269" s="10"/>
      <c r="L269" s="10"/>
      <c r="M269" s="10"/>
      <c r="N269" s="10"/>
      <c r="O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3"/>
      <c r="J270" s="10"/>
      <c r="K270" s="10"/>
      <c r="L270" s="10"/>
      <c r="M270" s="10"/>
      <c r="N270" s="10"/>
      <c r="O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3"/>
      <c r="J271" s="10"/>
      <c r="K271" s="10"/>
      <c r="L271" s="10"/>
      <c r="M271" s="10"/>
      <c r="N271" s="10"/>
      <c r="O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3"/>
      <c r="J272" s="10"/>
      <c r="K272" s="10"/>
      <c r="L272" s="10"/>
      <c r="M272" s="10"/>
      <c r="N272" s="10"/>
      <c r="O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3"/>
      <c r="J273" s="10"/>
      <c r="K273" s="10"/>
      <c r="L273" s="10"/>
      <c r="M273" s="10"/>
      <c r="N273" s="10"/>
      <c r="O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3"/>
      <c r="J274" s="10"/>
      <c r="K274" s="10"/>
      <c r="L274" s="10"/>
      <c r="M274" s="10"/>
      <c r="N274" s="10"/>
      <c r="O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3"/>
      <c r="J275" s="10"/>
      <c r="K275" s="10"/>
      <c r="L275" s="10"/>
      <c r="M275" s="10"/>
      <c r="N275" s="10"/>
      <c r="O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3"/>
      <c r="J276" s="10"/>
      <c r="K276" s="10"/>
      <c r="L276" s="10"/>
      <c r="M276" s="10"/>
      <c r="N276" s="10"/>
      <c r="O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3"/>
      <c r="J277" s="10"/>
      <c r="K277" s="10"/>
      <c r="L277" s="10"/>
      <c r="M277" s="10"/>
      <c r="N277" s="10"/>
      <c r="O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3"/>
      <c r="J278" s="10"/>
      <c r="K278" s="10"/>
      <c r="L278" s="10"/>
      <c r="M278" s="10"/>
      <c r="N278" s="10"/>
      <c r="O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3"/>
      <c r="J279" s="10"/>
      <c r="K279" s="10"/>
      <c r="L279" s="10"/>
      <c r="M279" s="10"/>
      <c r="N279" s="10"/>
      <c r="O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3"/>
      <c r="J280" s="10"/>
      <c r="K280" s="10"/>
      <c r="L280" s="10"/>
      <c r="M280" s="10"/>
      <c r="N280" s="10"/>
      <c r="O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3"/>
      <c r="J281" s="10"/>
      <c r="K281" s="10"/>
      <c r="L281" s="10"/>
      <c r="M281" s="10"/>
      <c r="N281" s="10"/>
      <c r="O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3"/>
      <c r="J282" s="10"/>
      <c r="K282" s="10"/>
      <c r="L282" s="10"/>
      <c r="M282" s="10"/>
      <c r="N282" s="10"/>
      <c r="O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3"/>
      <c r="J283" s="10"/>
      <c r="K283" s="10"/>
      <c r="L283" s="10"/>
      <c r="M283" s="10"/>
      <c r="N283" s="10"/>
      <c r="O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3"/>
      <c r="J284" s="10"/>
      <c r="K284" s="10"/>
      <c r="L284" s="10"/>
      <c r="M284" s="10"/>
      <c r="N284" s="10"/>
      <c r="O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3"/>
      <c r="J285" s="10"/>
      <c r="K285" s="10"/>
      <c r="L285" s="10"/>
      <c r="M285" s="10"/>
      <c r="N285" s="10"/>
      <c r="O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3"/>
      <c r="J286" s="10"/>
      <c r="K286" s="10"/>
      <c r="L286" s="10"/>
      <c r="M286" s="10"/>
      <c r="N286" s="10"/>
      <c r="O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3"/>
      <c r="J287" s="10"/>
      <c r="K287" s="10"/>
      <c r="L287" s="10"/>
      <c r="M287" s="10"/>
      <c r="N287" s="10"/>
      <c r="O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3"/>
      <c r="J288" s="10"/>
      <c r="K288" s="10"/>
      <c r="L288" s="10"/>
      <c r="M288" s="10"/>
      <c r="N288" s="10"/>
      <c r="O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3"/>
      <c r="J289" s="10"/>
      <c r="K289" s="10"/>
      <c r="L289" s="10"/>
      <c r="M289" s="10"/>
      <c r="N289" s="10"/>
      <c r="O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3"/>
      <c r="J290" s="10"/>
      <c r="K290" s="10"/>
      <c r="L290" s="10"/>
      <c r="M290" s="10"/>
      <c r="N290" s="10"/>
      <c r="O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3"/>
      <c r="J291" s="10"/>
      <c r="K291" s="10"/>
      <c r="L291" s="10"/>
      <c r="M291" s="10"/>
      <c r="N291" s="10"/>
      <c r="O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3"/>
      <c r="J292" s="10"/>
      <c r="K292" s="10"/>
      <c r="L292" s="10"/>
      <c r="M292" s="10"/>
      <c r="N292" s="10"/>
      <c r="O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3"/>
      <c r="J293" s="10"/>
      <c r="K293" s="10"/>
      <c r="L293" s="10"/>
      <c r="M293" s="10"/>
      <c r="N293" s="10"/>
      <c r="O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3"/>
      <c r="J294" s="10"/>
      <c r="K294" s="10"/>
      <c r="L294" s="10"/>
      <c r="M294" s="10"/>
      <c r="N294" s="10"/>
      <c r="O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3"/>
      <c r="J295" s="10"/>
      <c r="K295" s="10"/>
      <c r="L295" s="10"/>
      <c r="M295" s="10"/>
      <c r="N295" s="10"/>
      <c r="O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3"/>
      <c r="J296" s="10"/>
      <c r="K296" s="10"/>
      <c r="L296" s="10"/>
      <c r="M296" s="10"/>
      <c r="N296" s="10"/>
      <c r="O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3"/>
      <c r="J297" s="10"/>
      <c r="K297" s="10"/>
      <c r="L297" s="10"/>
      <c r="M297" s="10"/>
      <c r="N297" s="10"/>
      <c r="O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3"/>
      <c r="J298" s="10"/>
      <c r="K298" s="10"/>
      <c r="L298" s="10"/>
      <c r="M298" s="10"/>
      <c r="N298" s="10"/>
      <c r="O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3"/>
      <c r="J299" s="10"/>
      <c r="K299" s="10"/>
      <c r="L299" s="10"/>
      <c r="M299" s="10"/>
      <c r="N299" s="10"/>
      <c r="O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3"/>
      <c r="J300" s="10"/>
      <c r="K300" s="10"/>
      <c r="L300" s="10"/>
      <c r="M300" s="10"/>
      <c r="N300" s="10"/>
      <c r="O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3"/>
      <c r="J301" s="10"/>
      <c r="K301" s="10"/>
      <c r="L301" s="10"/>
      <c r="M301" s="10"/>
      <c r="N301" s="10"/>
      <c r="O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3"/>
      <c r="J302" s="10"/>
      <c r="K302" s="10"/>
      <c r="L302" s="10"/>
      <c r="M302" s="10"/>
      <c r="N302" s="10"/>
      <c r="O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3"/>
      <c r="J303" s="10"/>
      <c r="K303" s="10"/>
      <c r="L303" s="10"/>
      <c r="M303" s="10"/>
      <c r="N303" s="10"/>
      <c r="O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3"/>
      <c r="J304" s="10"/>
      <c r="K304" s="10"/>
      <c r="L304" s="10"/>
      <c r="M304" s="10"/>
      <c r="N304" s="10"/>
      <c r="O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3"/>
      <c r="J305" s="10"/>
      <c r="K305" s="10"/>
      <c r="L305" s="10"/>
      <c r="M305" s="10"/>
      <c r="N305" s="10"/>
      <c r="O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3"/>
      <c r="J306" s="10"/>
      <c r="K306" s="10"/>
      <c r="L306" s="10"/>
      <c r="M306" s="10"/>
      <c r="N306" s="10"/>
      <c r="O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3"/>
      <c r="J307" s="10"/>
      <c r="K307" s="10"/>
      <c r="L307" s="10"/>
      <c r="M307" s="10"/>
      <c r="N307" s="10"/>
      <c r="O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3"/>
      <c r="J308" s="10"/>
      <c r="K308" s="10"/>
      <c r="L308" s="10"/>
      <c r="M308" s="10"/>
      <c r="N308" s="10"/>
      <c r="O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3"/>
      <c r="J309" s="10"/>
      <c r="K309" s="10"/>
      <c r="L309" s="10"/>
      <c r="M309" s="10"/>
      <c r="N309" s="10"/>
      <c r="O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3"/>
      <c r="J310" s="10"/>
      <c r="K310" s="10"/>
      <c r="L310" s="10"/>
      <c r="M310" s="10"/>
      <c r="N310" s="10"/>
      <c r="O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3"/>
      <c r="J311" s="10"/>
      <c r="K311" s="10"/>
      <c r="L311" s="10"/>
      <c r="M311" s="10"/>
      <c r="N311" s="10"/>
      <c r="O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3"/>
      <c r="J312" s="10"/>
      <c r="K312" s="10"/>
      <c r="L312" s="10"/>
      <c r="M312" s="10"/>
      <c r="N312" s="10"/>
      <c r="O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3"/>
      <c r="J313" s="10"/>
      <c r="K313" s="10"/>
      <c r="L313" s="10"/>
      <c r="M313" s="10"/>
      <c r="N313" s="10"/>
      <c r="O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3"/>
      <c r="J314" s="10"/>
      <c r="K314" s="10"/>
      <c r="L314" s="10"/>
      <c r="M314" s="10"/>
      <c r="N314" s="10"/>
      <c r="O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3"/>
      <c r="J315" s="10"/>
      <c r="K315" s="10"/>
      <c r="L315" s="10"/>
      <c r="M315" s="10"/>
      <c r="N315" s="10"/>
      <c r="O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3"/>
      <c r="J316" s="10"/>
      <c r="K316" s="10"/>
      <c r="L316" s="10"/>
      <c r="M316" s="10"/>
      <c r="N316" s="10"/>
      <c r="O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3"/>
      <c r="J317" s="10"/>
      <c r="K317" s="10"/>
      <c r="L317" s="10"/>
      <c r="M317" s="10"/>
      <c r="N317" s="10"/>
      <c r="O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3"/>
      <c r="J318" s="10"/>
      <c r="K318" s="10"/>
      <c r="L318" s="10"/>
      <c r="M318" s="10"/>
      <c r="N318" s="10"/>
      <c r="O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3"/>
      <c r="J319" s="10"/>
      <c r="K319" s="10"/>
      <c r="L319" s="10"/>
      <c r="M319" s="10"/>
      <c r="N319" s="10"/>
      <c r="O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3"/>
      <c r="J320" s="10"/>
      <c r="K320" s="10"/>
      <c r="L320" s="10"/>
      <c r="M320" s="10"/>
      <c r="N320" s="10"/>
      <c r="O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3"/>
      <c r="J321" s="10"/>
      <c r="K321" s="10"/>
      <c r="L321" s="10"/>
      <c r="M321" s="10"/>
      <c r="N321" s="10"/>
      <c r="O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3"/>
      <c r="J322" s="10"/>
      <c r="K322" s="10"/>
      <c r="L322" s="10"/>
      <c r="M322" s="10"/>
      <c r="N322" s="10"/>
      <c r="O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3"/>
      <c r="J323" s="10"/>
      <c r="K323" s="10"/>
      <c r="L323" s="10"/>
      <c r="M323" s="10"/>
      <c r="N323" s="10"/>
      <c r="O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3"/>
      <c r="J324" s="10"/>
      <c r="K324" s="10"/>
      <c r="L324" s="10"/>
      <c r="M324" s="10"/>
      <c r="N324" s="10"/>
      <c r="O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3"/>
      <c r="J325" s="10"/>
      <c r="K325" s="10"/>
      <c r="L325" s="10"/>
      <c r="M325" s="10"/>
      <c r="N325" s="10"/>
      <c r="O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3"/>
      <c r="J326" s="10"/>
      <c r="K326" s="10"/>
      <c r="L326" s="10"/>
      <c r="M326" s="10"/>
      <c r="N326" s="10"/>
      <c r="O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3"/>
      <c r="J327" s="10"/>
      <c r="K327" s="10"/>
      <c r="L327" s="10"/>
      <c r="M327" s="10"/>
      <c r="N327" s="10"/>
      <c r="O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3"/>
      <c r="J328" s="10"/>
      <c r="K328" s="10"/>
      <c r="L328" s="10"/>
      <c r="M328" s="10"/>
      <c r="N328" s="10"/>
      <c r="O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3"/>
      <c r="J329" s="10"/>
      <c r="K329" s="10"/>
      <c r="L329" s="10"/>
      <c r="M329" s="10"/>
      <c r="N329" s="10"/>
      <c r="O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3"/>
      <c r="J330" s="10"/>
      <c r="K330" s="10"/>
      <c r="L330" s="10"/>
      <c r="M330" s="10"/>
      <c r="N330" s="10"/>
      <c r="O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3"/>
      <c r="J331" s="10"/>
      <c r="K331" s="10"/>
      <c r="L331" s="10"/>
      <c r="M331" s="10"/>
      <c r="N331" s="10"/>
      <c r="O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3"/>
      <c r="J332" s="10"/>
      <c r="K332" s="10"/>
      <c r="L332" s="10"/>
      <c r="M332" s="10"/>
      <c r="N332" s="10"/>
      <c r="O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3"/>
      <c r="J333" s="10"/>
      <c r="K333" s="10"/>
      <c r="L333" s="10"/>
      <c r="M333" s="10"/>
      <c r="N333" s="10"/>
      <c r="O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3"/>
      <c r="J334" s="10"/>
      <c r="K334" s="10"/>
      <c r="L334" s="10"/>
      <c r="M334" s="10"/>
      <c r="N334" s="10"/>
      <c r="O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3"/>
      <c r="J335" s="10"/>
      <c r="K335" s="10"/>
      <c r="L335" s="10"/>
      <c r="M335" s="10"/>
      <c r="N335" s="10"/>
      <c r="O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3"/>
      <c r="J336" s="10"/>
      <c r="K336" s="10"/>
      <c r="L336" s="10"/>
      <c r="M336" s="10"/>
      <c r="N336" s="10"/>
      <c r="O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3"/>
      <c r="J337" s="10"/>
      <c r="K337" s="10"/>
      <c r="L337" s="10"/>
      <c r="M337" s="10"/>
      <c r="N337" s="10"/>
      <c r="O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3"/>
      <c r="J338" s="10"/>
      <c r="K338" s="10"/>
      <c r="L338" s="10"/>
      <c r="M338" s="10"/>
      <c r="N338" s="10"/>
      <c r="O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3"/>
      <c r="J339" s="10"/>
      <c r="K339" s="10"/>
      <c r="L339" s="10"/>
      <c r="M339" s="10"/>
      <c r="N339" s="10"/>
      <c r="O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3"/>
      <c r="J340" s="10"/>
      <c r="K340" s="10"/>
      <c r="L340" s="10"/>
      <c r="M340" s="10"/>
      <c r="N340" s="10"/>
      <c r="O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3"/>
      <c r="J341" s="10"/>
      <c r="K341" s="10"/>
      <c r="L341" s="10"/>
      <c r="M341" s="10"/>
      <c r="N341" s="10"/>
      <c r="O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3"/>
      <c r="J342" s="10"/>
      <c r="K342" s="10"/>
      <c r="L342" s="10"/>
      <c r="M342" s="10"/>
      <c r="N342" s="10"/>
      <c r="O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3"/>
      <c r="J343" s="10"/>
      <c r="K343" s="10"/>
      <c r="L343" s="10"/>
      <c r="M343" s="10"/>
      <c r="N343" s="10"/>
      <c r="O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3"/>
      <c r="J344" s="10"/>
      <c r="K344" s="10"/>
      <c r="L344" s="10"/>
      <c r="M344" s="10"/>
      <c r="N344" s="10"/>
      <c r="O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3"/>
      <c r="J345" s="10"/>
      <c r="K345" s="10"/>
      <c r="L345" s="10"/>
      <c r="M345" s="10"/>
      <c r="N345" s="10"/>
      <c r="O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3"/>
      <c r="J346" s="10"/>
      <c r="K346" s="10"/>
      <c r="L346" s="10"/>
      <c r="M346" s="10"/>
      <c r="N346" s="10"/>
      <c r="O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3"/>
      <c r="J347" s="10"/>
      <c r="K347" s="10"/>
      <c r="L347" s="10"/>
      <c r="M347" s="10"/>
      <c r="N347" s="10"/>
      <c r="O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3"/>
      <c r="J348" s="10"/>
      <c r="K348" s="10"/>
      <c r="L348" s="10"/>
      <c r="M348" s="10"/>
      <c r="N348" s="10"/>
      <c r="O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3"/>
      <c r="J349" s="10"/>
      <c r="K349" s="10"/>
      <c r="L349" s="10"/>
      <c r="M349" s="10"/>
      <c r="N349" s="10"/>
      <c r="O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3"/>
      <c r="J350" s="10"/>
      <c r="K350" s="10"/>
      <c r="L350" s="10"/>
      <c r="M350" s="10"/>
      <c r="N350" s="10"/>
      <c r="O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3"/>
      <c r="J351" s="10"/>
      <c r="K351" s="10"/>
      <c r="L351" s="10"/>
      <c r="M351" s="10"/>
      <c r="N351" s="10"/>
      <c r="O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3"/>
      <c r="J352" s="10"/>
      <c r="K352" s="10"/>
      <c r="L352" s="10"/>
      <c r="M352" s="10"/>
      <c r="N352" s="10"/>
      <c r="O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3"/>
      <c r="J353" s="10"/>
      <c r="K353" s="10"/>
      <c r="L353" s="10"/>
      <c r="M353" s="10"/>
      <c r="N353" s="10"/>
      <c r="O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3"/>
      <c r="J354" s="10"/>
      <c r="K354" s="10"/>
      <c r="L354" s="10"/>
      <c r="M354" s="10"/>
      <c r="N354" s="10"/>
      <c r="O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3"/>
      <c r="J355" s="10"/>
      <c r="K355" s="10"/>
      <c r="L355" s="10"/>
      <c r="M355" s="10"/>
      <c r="N355" s="10"/>
      <c r="O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3"/>
      <c r="J356" s="10"/>
      <c r="K356" s="10"/>
      <c r="L356" s="10"/>
      <c r="M356" s="10"/>
      <c r="N356" s="10"/>
      <c r="O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3"/>
      <c r="J357" s="10"/>
      <c r="K357" s="10"/>
      <c r="L357" s="10"/>
      <c r="M357" s="10"/>
      <c r="N357" s="10"/>
      <c r="O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3"/>
      <c r="J358" s="10"/>
      <c r="K358" s="10"/>
      <c r="L358" s="10"/>
      <c r="M358" s="10"/>
      <c r="N358" s="10"/>
      <c r="O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3"/>
      <c r="J359" s="10"/>
      <c r="K359" s="10"/>
      <c r="L359" s="10"/>
      <c r="M359" s="10"/>
      <c r="N359" s="10"/>
      <c r="O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3"/>
      <c r="J360" s="10"/>
      <c r="K360" s="10"/>
      <c r="L360" s="10"/>
      <c r="M360" s="10"/>
      <c r="N360" s="10"/>
      <c r="O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3"/>
      <c r="J361" s="10"/>
      <c r="K361" s="10"/>
      <c r="L361" s="10"/>
      <c r="M361" s="10"/>
      <c r="N361" s="10"/>
      <c r="O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3"/>
      <c r="J362" s="10"/>
      <c r="K362" s="10"/>
      <c r="L362" s="10"/>
      <c r="M362" s="10"/>
      <c r="N362" s="10"/>
      <c r="O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3"/>
      <c r="J363" s="10"/>
      <c r="K363" s="10"/>
      <c r="L363" s="10"/>
      <c r="M363" s="10"/>
      <c r="N363" s="10"/>
      <c r="O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3"/>
      <c r="J364" s="10"/>
      <c r="K364" s="10"/>
      <c r="L364" s="10"/>
      <c r="M364" s="10"/>
      <c r="N364" s="10"/>
      <c r="O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3"/>
      <c r="J365" s="10"/>
      <c r="K365" s="10"/>
      <c r="L365" s="10"/>
      <c r="M365" s="10"/>
      <c r="N365" s="10"/>
      <c r="O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3"/>
      <c r="J366" s="10"/>
      <c r="K366" s="10"/>
      <c r="L366" s="10"/>
      <c r="M366" s="10"/>
      <c r="N366" s="10"/>
      <c r="O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3"/>
      <c r="J367" s="10"/>
      <c r="K367" s="10"/>
      <c r="L367" s="10"/>
      <c r="M367" s="10"/>
      <c r="N367" s="10"/>
      <c r="O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3"/>
      <c r="J368" s="10"/>
      <c r="K368" s="10"/>
      <c r="L368" s="10"/>
      <c r="M368" s="10"/>
      <c r="N368" s="10"/>
      <c r="O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3"/>
      <c r="J369" s="10"/>
      <c r="K369" s="10"/>
      <c r="L369" s="10"/>
      <c r="M369" s="10"/>
      <c r="N369" s="10"/>
      <c r="O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3"/>
      <c r="J370" s="10"/>
      <c r="K370" s="10"/>
      <c r="L370" s="10"/>
      <c r="M370" s="10"/>
      <c r="N370" s="10"/>
      <c r="O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3"/>
      <c r="J371" s="10"/>
      <c r="K371" s="10"/>
      <c r="L371" s="10"/>
      <c r="M371" s="10"/>
      <c r="N371" s="10"/>
      <c r="O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3"/>
      <c r="J372" s="10"/>
      <c r="K372" s="10"/>
      <c r="L372" s="10"/>
      <c r="M372" s="10"/>
      <c r="N372" s="10"/>
      <c r="O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3"/>
      <c r="J373" s="10"/>
      <c r="K373" s="10"/>
      <c r="L373" s="10"/>
      <c r="M373" s="10"/>
      <c r="N373" s="10"/>
      <c r="O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3"/>
      <c r="J374" s="10"/>
      <c r="K374" s="10"/>
      <c r="L374" s="10"/>
      <c r="M374" s="10"/>
      <c r="N374" s="10"/>
      <c r="O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3"/>
      <c r="J375" s="10"/>
      <c r="K375" s="10"/>
      <c r="L375" s="10"/>
      <c r="M375" s="10"/>
      <c r="N375" s="10"/>
      <c r="O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3"/>
      <c r="J376" s="10"/>
      <c r="K376" s="10"/>
      <c r="L376" s="10"/>
      <c r="M376" s="10"/>
      <c r="N376" s="10"/>
      <c r="O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3"/>
      <c r="J377" s="10"/>
      <c r="K377" s="10"/>
      <c r="L377" s="10"/>
      <c r="M377" s="10"/>
      <c r="N377" s="10"/>
      <c r="O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3"/>
      <c r="J378" s="10"/>
      <c r="K378" s="10"/>
      <c r="L378" s="10"/>
      <c r="M378" s="10"/>
      <c r="N378" s="10"/>
      <c r="O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3"/>
      <c r="J379" s="10"/>
      <c r="K379" s="10"/>
      <c r="L379" s="10"/>
      <c r="M379" s="10"/>
      <c r="N379" s="10"/>
      <c r="O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3"/>
      <c r="J380" s="10"/>
      <c r="K380" s="10"/>
      <c r="L380" s="10"/>
      <c r="M380" s="10"/>
      <c r="N380" s="10"/>
      <c r="O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3"/>
      <c r="J381" s="10"/>
      <c r="K381" s="10"/>
      <c r="L381" s="10"/>
      <c r="M381" s="10"/>
      <c r="N381" s="10"/>
      <c r="O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3"/>
      <c r="J382" s="10"/>
      <c r="K382" s="10"/>
      <c r="L382" s="10"/>
      <c r="M382" s="10"/>
      <c r="N382" s="10"/>
      <c r="O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3"/>
      <c r="J383" s="10"/>
      <c r="K383" s="10"/>
      <c r="L383" s="10"/>
      <c r="M383" s="10"/>
      <c r="N383" s="10"/>
      <c r="O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3"/>
      <c r="J384" s="10"/>
      <c r="K384" s="10"/>
      <c r="L384" s="10"/>
      <c r="M384" s="10"/>
      <c r="N384" s="10"/>
      <c r="O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3"/>
      <c r="J385" s="10"/>
      <c r="K385" s="10"/>
      <c r="L385" s="10"/>
      <c r="M385" s="10"/>
      <c r="N385" s="10"/>
      <c r="O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3"/>
      <c r="J386" s="10"/>
      <c r="K386" s="10"/>
      <c r="L386" s="10"/>
      <c r="M386" s="10"/>
      <c r="N386" s="10"/>
      <c r="O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3"/>
      <c r="J387" s="10"/>
      <c r="K387" s="10"/>
      <c r="L387" s="10"/>
      <c r="M387" s="10"/>
      <c r="N387" s="10"/>
      <c r="O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3"/>
      <c r="J388" s="10"/>
      <c r="K388" s="10"/>
      <c r="L388" s="10"/>
      <c r="M388" s="10"/>
      <c r="N388" s="10"/>
      <c r="O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3"/>
      <c r="J389" s="10"/>
      <c r="K389" s="10"/>
      <c r="L389" s="10"/>
      <c r="M389" s="10"/>
      <c r="N389" s="10"/>
      <c r="O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3"/>
      <c r="J390" s="10"/>
      <c r="K390" s="10"/>
      <c r="L390" s="10"/>
      <c r="M390" s="10"/>
      <c r="N390" s="10"/>
      <c r="O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3"/>
      <c r="J391" s="10"/>
      <c r="K391" s="10"/>
      <c r="L391" s="10"/>
      <c r="M391" s="10"/>
      <c r="N391" s="10"/>
      <c r="O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3"/>
      <c r="J392" s="10"/>
      <c r="K392" s="10"/>
      <c r="L392" s="10"/>
      <c r="M392" s="10"/>
      <c r="N392" s="10"/>
      <c r="O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3"/>
      <c r="J393" s="10"/>
      <c r="K393" s="10"/>
      <c r="L393" s="10"/>
      <c r="M393" s="10"/>
      <c r="N393" s="10"/>
      <c r="O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3"/>
      <c r="J394" s="10"/>
      <c r="K394" s="10"/>
      <c r="L394" s="10"/>
      <c r="M394" s="10"/>
      <c r="N394" s="10"/>
      <c r="O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3"/>
      <c r="J395" s="10"/>
      <c r="K395" s="10"/>
      <c r="L395" s="10"/>
      <c r="M395" s="10"/>
      <c r="N395" s="10"/>
      <c r="O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3"/>
      <c r="J396" s="10"/>
      <c r="K396" s="10"/>
      <c r="L396" s="10"/>
      <c r="M396" s="10"/>
      <c r="N396" s="10"/>
      <c r="O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3"/>
      <c r="J397" s="10"/>
      <c r="K397" s="10"/>
      <c r="L397" s="10"/>
      <c r="M397" s="10"/>
      <c r="N397" s="10"/>
      <c r="O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3"/>
      <c r="J398" s="10"/>
      <c r="K398" s="10"/>
      <c r="L398" s="10"/>
      <c r="M398" s="10"/>
      <c r="N398" s="10"/>
      <c r="O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3"/>
      <c r="J399" s="10"/>
      <c r="K399" s="10"/>
      <c r="L399" s="10"/>
      <c r="M399" s="10"/>
      <c r="N399" s="10"/>
      <c r="O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3"/>
      <c r="J400" s="10"/>
      <c r="K400" s="10"/>
      <c r="L400" s="10"/>
      <c r="M400" s="10"/>
      <c r="N400" s="10"/>
      <c r="O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3"/>
      <c r="J401" s="10"/>
      <c r="K401" s="10"/>
      <c r="L401" s="10"/>
      <c r="M401" s="10"/>
      <c r="N401" s="10"/>
      <c r="O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3"/>
      <c r="J402" s="10"/>
      <c r="K402" s="10"/>
      <c r="L402" s="10"/>
      <c r="M402" s="10"/>
      <c r="N402" s="10"/>
      <c r="O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3"/>
      <c r="J403" s="10"/>
      <c r="K403" s="10"/>
      <c r="L403" s="10"/>
      <c r="M403" s="10"/>
      <c r="N403" s="10"/>
      <c r="O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3"/>
      <c r="J404" s="10"/>
      <c r="K404" s="10"/>
      <c r="L404" s="10"/>
      <c r="M404" s="10"/>
      <c r="N404" s="10"/>
      <c r="O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3"/>
      <c r="J405" s="10"/>
      <c r="K405" s="10"/>
      <c r="L405" s="10"/>
      <c r="M405" s="10"/>
      <c r="N405" s="10"/>
      <c r="O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3"/>
      <c r="J406" s="10"/>
      <c r="K406" s="10"/>
      <c r="L406" s="10"/>
      <c r="M406" s="10"/>
      <c r="N406" s="10"/>
      <c r="O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3"/>
      <c r="J407" s="10"/>
      <c r="K407" s="10"/>
      <c r="L407" s="10"/>
      <c r="M407" s="10"/>
      <c r="N407" s="10"/>
      <c r="O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3"/>
      <c r="J408" s="10"/>
      <c r="K408" s="10"/>
      <c r="L408" s="10"/>
      <c r="M408" s="10"/>
      <c r="N408" s="10"/>
      <c r="O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3"/>
      <c r="J409" s="10"/>
      <c r="K409" s="10"/>
      <c r="L409" s="10"/>
      <c r="M409" s="10"/>
      <c r="N409" s="10"/>
      <c r="O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3"/>
      <c r="J410" s="10"/>
      <c r="K410" s="10"/>
      <c r="L410" s="10"/>
      <c r="M410" s="10"/>
      <c r="N410" s="10"/>
      <c r="O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3"/>
      <c r="J411" s="10"/>
      <c r="K411" s="10"/>
      <c r="L411" s="10"/>
      <c r="M411" s="10"/>
      <c r="N411" s="10"/>
      <c r="O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3"/>
      <c r="J412" s="10"/>
      <c r="K412" s="10"/>
      <c r="L412" s="10"/>
      <c r="M412" s="10"/>
      <c r="N412" s="10"/>
      <c r="O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3"/>
      <c r="J413" s="10"/>
      <c r="K413" s="10"/>
      <c r="L413" s="10"/>
      <c r="M413" s="10"/>
      <c r="N413" s="10"/>
      <c r="O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3"/>
      <c r="J414" s="10"/>
      <c r="K414" s="10"/>
      <c r="L414" s="10"/>
      <c r="M414" s="10"/>
      <c r="N414" s="10"/>
      <c r="O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3"/>
      <c r="J415" s="10"/>
      <c r="K415" s="10"/>
      <c r="L415" s="10"/>
      <c r="M415" s="10"/>
      <c r="N415" s="10"/>
      <c r="O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3"/>
      <c r="J416" s="10"/>
      <c r="K416" s="10"/>
      <c r="L416" s="10"/>
      <c r="M416" s="10"/>
      <c r="N416" s="10"/>
      <c r="O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3"/>
      <c r="J417" s="10"/>
      <c r="K417" s="10"/>
      <c r="L417" s="10"/>
      <c r="M417" s="10"/>
      <c r="N417" s="10"/>
      <c r="O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3"/>
      <c r="J418" s="10"/>
      <c r="K418" s="10"/>
      <c r="L418" s="10"/>
      <c r="M418" s="10"/>
      <c r="N418" s="10"/>
      <c r="O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3"/>
      <c r="J419" s="10"/>
      <c r="K419" s="10"/>
      <c r="L419" s="10"/>
      <c r="M419" s="10"/>
      <c r="N419" s="10"/>
      <c r="O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3"/>
      <c r="J420" s="10"/>
      <c r="K420" s="10"/>
      <c r="L420" s="10"/>
      <c r="M420" s="10"/>
      <c r="N420" s="10"/>
      <c r="O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3"/>
      <c r="J421" s="10"/>
      <c r="K421" s="10"/>
      <c r="L421" s="10"/>
      <c r="M421" s="10"/>
      <c r="N421" s="10"/>
      <c r="O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3"/>
      <c r="J422" s="10"/>
      <c r="K422" s="10"/>
      <c r="L422" s="10"/>
      <c r="M422" s="10"/>
      <c r="N422" s="10"/>
      <c r="O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3"/>
      <c r="J423" s="10"/>
      <c r="K423" s="10"/>
      <c r="L423" s="10"/>
      <c r="M423" s="10"/>
      <c r="N423" s="10"/>
      <c r="O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3"/>
      <c r="J424" s="10"/>
      <c r="K424" s="10"/>
      <c r="L424" s="10"/>
      <c r="M424" s="10"/>
      <c r="N424" s="10"/>
      <c r="O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3"/>
      <c r="J425" s="10"/>
      <c r="K425" s="10"/>
      <c r="L425" s="10"/>
      <c r="M425" s="10"/>
      <c r="N425" s="10"/>
      <c r="O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3"/>
      <c r="J426" s="10"/>
      <c r="K426" s="10"/>
      <c r="L426" s="10"/>
      <c r="M426" s="10"/>
      <c r="N426" s="10"/>
      <c r="O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3"/>
      <c r="J427" s="10"/>
      <c r="K427" s="10"/>
      <c r="L427" s="10"/>
      <c r="M427" s="10"/>
      <c r="N427" s="10"/>
      <c r="O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3"/>
      <c r="J428" s="10"/>
      <c r="K428" s="10"/>
      <c r="L428" s="10"/>
      <c r="M428" s="10"/>
      <c r="N428" s="10"/>
      <c r="O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3"/>
      <c r="J429" s="10"/>
      <c r="K429" s="10"/>
      <c r="L429" s="10"/>
      <c r="M429" s="10"/>
      <c r="N429" s="10"/>
      <c r="O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3"/>
      <c r="J430" s="10"/>
      <c r="K430" s="10"/>
      <c r="L430" s="10"/>
      <c r="M430" s="10"/>
      <c r="N430" s="10"/>
      <c r="O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3"/>
      <c r="J431" s="10"/>
      <c r="K431" s="10"/>
      <c r="L431" s="10"/>
      <c r="M431" s="10"/>
      <c r="N431" s="10"/>
      <c r="O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3"/>
      <c r="J432" s="10"/>
      <c r="K432" s="10"/>
      <c r="L432" s="10"/>
      <c r="M432" s="10"/>
      <c r="N432" s="10"/>
      <c r="O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3"/>
      <c r="J433" s="10"/>
      <c r="K433" s="10"/>
      <c r="L433" s="10"/>
      <c r="M433" s="10"/>
      <c r="N433" s="10"/>
      <c r="O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3"/>
      <c r="J434" s="10"/>
      <c r="K434" s="10"/>
      <c r="L434" s="10"/>
      <c r="M434" s="10"/>
      <c r="N434" s="10"/>
      <c r="O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3"/>
      <c r="J435" s="10"/>
      <c r="K435" s="10"/>
      <c r="L435" s="10"/>
      <c r="M435" s="10"/>
      <c r="N435" s="10"/>
      <c r="O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3"/>
      <c r="J436" s="10"/>
      <c r="K436" s="10"/>
      <c r="L436" s="10"/>
      <c r="M436" s="10"/>
      <c r="N436" s="10"/>
      <c r="O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3"/>
      <c r="J437" s="10"/>
      <c r="K437" s="10"/>
      <c r="L437" s="10"/>
      <c r="M437" s="10"/>
      <c r="N437" s="10"/>
      <c r="O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3"/>
      <c r="J438" s="10"/>
      <c r="K438" s="10"/>
      <c r="L438" s="10"/>
      <c r="M438" s="10"/>
      <c r="N438" s="10"/>
      <c r="O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3"/>
      <c r="J439" s="10"/>
      <c r="K439" s="10"/>
      <c r="L439" s="10"/>
      <c r="M439" s="10"/>
      <c r="N439" s="10"/>
      <c r="O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3"/>
      <c r="J440" s="10"/>
      <c r="K440" s="10"/>
      <c r="L440" s="10"/>
      <c r="M440" s="10"/>
      <c r="N440" s="10"/>
      <c r="O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3"/>
      <c r="J441" s="10"/>
      <c r="K441" s="10"/>
      <c r="L441" s="10"/>
      <c r="M441" s="10"/>
      <c r="N441" s="10"/>
      <c r="O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3"/>
      <c r="J442" s="10"/>
      <c r="K442" s="10"/>
      <c r="L442" s="10"/>
      <c r="M442" s="10"/>
      <c r="N442" s="10"/>
      <c r="O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3"/>
      <c r="J443" s="10"/>
      <c r="K443" s="10"/>
      <c r="L443" s="10"/>
      <c r="M443" s="10"/>
      <c r="N443" s="10"/>
      <c r="O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3"/>
      <c r="J444" s="10"/>
      <c r="K444" s="10"/>
      <c r="L444" s="10"/>
      <c r="M444" s="10"/>
      <c r="N444" s="10"/>
      <c r="O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3"/>
      <c r="J445" s="10"/>
      <c r="K445" s="10"/>
      <c r="L445" s="10"/>
      <c r="M445" s="10"/>
      <c r="N445" s="10"/>
      <c r="O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3"/>
      <c r="J446" s="10"/>
      <c r="K446" s="10"/>
      <c r="L446" s="10"/>
      <c r="M446" s="10"/>
      <c r="N446" s="10"/>
      <c r="O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3"/>
      <c r="J447" s="10"/>
      <c r="K447" s="10"/>
      <c r="L447" s="10"/>
      <c r="M447" s="10"/>
      <c r="N447" s="10"/>
      <c r="O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3"/>
      <c r="J448" s="10"/>
      <c r="K448" s="10"/>
      <c r="L448" s="10"/>
      <c r="M448" s="10"/>
      <c r="N448" s="10"/>
      <c r="O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3"/>
      <c r="J449" s="10"/>
      <c r="K449" s="10"/>
      <c r="L449" s="10"/>
      <c r="M449" s="10"/>
      <c r="N449" s="10"/>
      <c r="O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3"/>
      <c r="J450" s="10"/>
      <c r="K450" s="10"/>
      <c r="L450" s="10"/>
      <c r="M450" s="10"/>
      <c r="N450" s="10"/>
      <c r="O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3"/>
      <c r="J451" s="10"/>
      <c r="K451" s="10"/>
      <c r="L451" s="10"/>
      <c r="M451" s="10"/>
      <c r="N451" s="10"/>
      <c r="O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3"/>
      <c r="J452" s="10"/>
      <c r="K452" s="10"/>
      <c r="L452" s="10"/>
      <c r="M452" s="10"/>
      <c r="N452" s="10"/>
      <c r="O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3"/>
      <c r="J453" s="10"/>
      <c r="K453" s="10"/>
      <c r="L453" s="10"/>
      <c r="M453" s="10"/>
      <c r="N453" s="10"/>
      <c r="O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3"/>
      <c r="J454" s="10"/>
      <c r="K454" s="10"/>
      <c r="L454" s="10"/>
      <c r="M454" s="10"/>
      <c r="N454" s="10"/>
      <c r="O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3"/>
      <c r="J455" s="10"/>
      <c r="K455" s="10"/>
      <c r="L455" s="10"/>
      <c r="M455" s="10"/>
      <c r="N455" s="10"/>
      <c r="O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3"/>
      <c r="J456" s="10"/>
      <c r="K456" s="10"/>
      <c r="L456" s="10"/>
      <c r="M456" s="10"/>
      <c r="N456" s="10"/>
      <c r="O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3"/>
      <c r="J457" s="10"/>
      <c r="K457" s="10"/>
      <c r="L457" s="10"/>
      <c r="M457" s="10"/>
      <c r="N457" s="10"/>
      <c r="O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3"/>
      <c r="J458" s="10"/>
      <c r="K458" s="10"/>
      <c r="L458" s="10"/>
      <c r="M458" s="10"/>
      <c r="N458" s="10"/>
      <c r="O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3"/>
      <c r="J459" s="10"/>
      <c r="K459" s="10"/>
      <c r="L459" s="10"/>
      <c r="M459" s="10"/>
      <c r="N459" s="10"/>
      <c r="O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3"/>
      <c r="J460" s="10"/>
      <c r="K460" s="10"/>
      <c r="L460" s="10"/>
      <c r="M460" s="10"/>
      <c r="N460" s="10"/>
      <c r="O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3"/>
      <c r="J461" s="10"/>
      <c r="K461" s="10"/>
      <c r="L461" s="10"/>
      <c r="M461" s="10"/>
      <c r="N461" s="10"/>
      <c r="O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3"/>
      <c r="J462" s="10"/>
      <c r="K462" s="10"/>
      <c r="L462" s="10"/>
      <c r="M462" s="10"/>
      <c r="N462" s="10"/>
      <c r="O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3"/>
      <c r="J463" s="10"/>
      <c r="K463" s="10"/>
      <c r="L463" s="10"/>
      <c r="M463" s="10"/>
      <c r="N463" s="10"/>
      <c r="O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3"/>
      <c r="J464" s="10"/>
      <c r="K464" s="10"/>
      <c r="L464" s="10"/>
      <c r="M464" s="10"/>
      <c r="N464" s="10"/>
      <c r="O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3"/>
      <c r="J465" s="10"/>
      <c r="K465" s="10"/>
      <c r="L465" s="10"/>
      <c r="M465" s="10"/>
      <c r="N465" s="10"/>
      <c r="O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3"/>
      <c r="J466" s="10"/>
      <c r="K466" s="10"/>
      <c r="L466" s="10"/>
      <c r="M466" s="10"/>
      <c r="N466" s="10"/>
      <c r="O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3"/>
      <c r="J467" s="10"/>
      <c r="K467" s="10"/>
      <c r="L467" s="10"/>
      <c r="M467" s="10"/>
      <c r="N467" s="10"/>
      <c r="O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3"/>
      <c r="J468" s="10"/>
      <c r="K468" s="10"/>
      <c r="L468" s="10"/>
      <c r="M468" s="10"/>
      <c r="N468" s="10"/>
      <c r="O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3"/>
      <c r="J469" s="10"/>
      <c r="K469" s="10"/>
      <c r="L469" s="10"/>
      <c r="M469" s="10"/>
      <c r="N469" s="10"/>
      <c r="O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3"/>
      <c r="J470" s="10"/>
      <c r="K470" s="10"/>
      <c r="L470" s="10"/>
      <c r="M470" s="10"/>
      <c r="N470" s="10"/>
      <c r="O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3"/>
      <c r="J471" s="10"/>
      <c r="K471" s="10"/>
      <c r="L471" s="10"/>
      <c r="M471" s="10"/>
      <c r="N471" s="10"/>
      <c r="O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3"/>
      <c r="J472" s="10"/>
      <c r="K472" s="10"/>
      <c r="L472" s="10"/>
      <c r="M472" s="10"/>
      <c r="N472" s="10"/>
      <c r="O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3"/>
      <c r="J473" s="10"/>
      <c r="K473" s="10"/>
      <c r="L473" s="10"/>
      <c r="M473" s="10"/>
      <c r="N473" s="10"/>
      <c r="O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3"/>
      <c r="J474" s="10"/>
      <c r="K474" s="10"/>
      <c r="L474" s="10"/>
      <c r="M474" s="10"/>
      <c r="N474" s="10"/>
      <c r="O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3"/>
      <c r="J475" s="10"/>
      <c r="K475" s="10"/>
      <c r="L475" s="10"/>
      <c r="M475" s="10"/>
      <c r="N475" s="10"/>
      <c r="O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3"/>
      <c r="J476" s="10"/>
      <c r="K476" s="10"/>
      <c r="L476" s="10"/>
      <c r="M476" s="10"/>
      <c r="N476" s="10"/>
      <c r="O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3"/>
      <c r="J477" s="10"/>
      <c r="K477" s="10"/>
      <c r="L477" s="10"/>
      <c r="M477" s="10"/>
      <c r="N477" s="10"/>
      <c r="O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3"/>
      <c r="J478" s="10"/>
      <c r="K478" s="10"/>
      <c r="L478" s="10"/>
      <c r="M478" s="10"/>
      <c r="N478" s="10"/>
      <c r="O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3"/>
      <c r="J479" s="10"/>
      <c r="K479" s="10"/>
      <c r="L479" s="10"/>
      <c r="M479" s="10"/>
      <c r="N479" s="10"/>
      <c r="O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3"/>
      <c r="J480" s="10"/>
      <c r="K480" s="10"/>
      <c r="L480" s="10"/>
      <c r="M480" s="10"/>
      <c r="N480" s="10"/>
      <c r="O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3"/>
      <c r="J481" s="10"/>
      <c r="K481" s="10"/>
      <c r="L481" s="10"/>
      <c r="M481" s="10"/>
      <c r="N481" s="10"/>
      <c r="O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3"/>
      <c r="J482" s="10"/>
      <c r="K482" s="10"/>
      <c r="L482" s="10"/>
      <c r="M482" s="10"/>
      <c r="N482" s="10"/>
      <c r="O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3"/>
      <c r="J483" s="10"/>
      <c r="K483" s="10"/>
      <c r="L483" s="10"/>
      <c r="M483" s="10"/>
      <c r="N483" s="10"/>
      <c r="O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3"/>
      <c r="J484" s="10"/>
      <c r="K484" s="10"/>
      <c r="L484" s="10"/>
      <c r="M484" s="10"/>
      <c r="N484" s="10"/>
      <c r="O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3"/>
      <c r="J485" s="10"/>
      <c r="K485" s="10"/>
      <c r="L485" s="10"/>
      <c r="M485" s="10"/>
      <c r="N485" s="10"/>
      <c r="O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3"/>
      <c r="J486" s="10"/>
      <c r="K486" s="10"/>
      <c r="L486" s="10"/>
      <c r="M486" s="10"/>
      <c r="N486" s="10"/>
      <c r="O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3"/>
      <c r="J487" s="10"/>
      <c r="K487" s="10"/>
      <c r="L487" s="10"/>
      <c r="M487" s="10"/>
      <c r="N487" s="10"/>
      <c r="O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3"/>
      <c r="J488" s="10"/>
      <c r="K488" s="10"/>
      <c r="L488" s="10"/>
      <c r="M488" s="10"/>
      <c r="N488" s="10"/>
      <c r="O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3"/>
      <c r="J489" s="10"/>
      <c r="K489" s="10"/>
      <c r="L489" s="10"/>
      <c r="M489" s="10"/>
      <c r="N489" s="10"/>
      <c r="O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3"/>
      <c r="J490" s="10"/>
      <c r="K490" s="10"/>
      <c r="L490" s="10"/>
      <c r="M490" s="10"/>
      <c r="N490" s="10"/>
      <c r="O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3"/>
      <c r="J491" s="10"/>
      <c r="K491" s="10"/>
      <c r="L491" s="10"/>
      <c r="M491" s="10"/>
      <c r="N491" s="10"/>
      <c r="O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3"/>
      <c r="J492" s="10"/>
      <c r="K492" s="10"/>
      <c r="L492" s="10"/>
      <c r="M492" s="10"/>
      <c r="N492" s="10"/>
      <c r="O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3"/>
      <c r="J493" s="10"/>
      <c r="K493" s="10"/>
      <c r="L493" s="10"/>
      <c r="M493" s="10"/>
      <c r="N493" s="10"/>
      <c r="O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3"/>
      <c r="J494" s="10"/>
      <c r="K494" s="10"/>
      <c r="L494" s="10"/>
      <c r="M494" s="10"/>
      <c r="N494" s="10"/>
      <c r="O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3"/>
      <c r="J495" s="10"/>
      <c r="K495" s="10"/>
      <c r="L495" s="10"/>
      <c r="M495" s="10"/>
      <c r="N495" s="10"/>
      <c r="O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3"/>
      <c r="J496" s="10"/>
      <c r="K496" s="10"/>
      <c r="L496" s="10"/>
      <c r="M496" s="10"/>
      <c r="N496" s="10"/>
      <c r="O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3"/>
      <c r="J497" s="10"/>
      <c r="K497" s="10"/>
      <c r="L497" s="10"/>
      <c r="M497" s="10"/>
      <c r="N497" s="10"/>
      <c r="O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3"/>
      <c r="J498" s="10"/>
      <c r="K498" s="10"/>
      <c r="L498" s="10"/>
      <c r="M498" s="10"/>
      <c r="N498" s="10"/>
      <c r="O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3"/>
      <c r="J499" s="10"/>
      <c r="K499" s="10"/>
      <c r="L499" s="10"/>
      <c r="M499" s="10"/>
      <c r="N499" s="10"/>
      <c r="O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3"/>
      <c r="J500" s="10"/>
      <c r="K500" s="10"/>
      <c r="L500" s="10"/>
      <c r="M500" s="10"/>
      <c r="N500" s="10"/>
      <c r="O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3"/>
      <c r="J501" s="10"/>
      <c r="K501" s="10"/>
      <c r="L501" s="10"/>
      <c r="M501" s="10"/>
      <c r="N501" s="10"/>
      <c r="O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3"/>
      <c r="J502" s="10"/>
      <c r="K502" s="10"/>
      <c r="L502" s="10"/>
      <c r="M502" s="10"/>
      <c r="N502" s="10"/>
      <c r="O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3"/>
      <c r="J503" s="10"/>
      <c r="K503" s="10"/>
      <c r="L503" s="10"/>
      <c r="M503" s="10"/>
      <c r="N503" s="10"/>
      <c r="O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3"/>
      <c r="J504" s="10"/>
      <c r="K504" s="10"/>
      <c r="L504" s="10"/>
      <c r="M504" s="10"/>
      <c r="N504" s="10"/>
      <c r="O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3"/>
      <c r="J505" s="10"/>
      <c r="K505" s="10"/>
      <c r="L505" s="10"/>
      <c r="M505" s="10"/>
      <c r="N505" s="10"/>
      <c r="O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3"/>
      <c r="J506" s="10"/>
      <c r="K506" s="10"/>
      <c r="L506" s="10"/>
      <c r="M506" s="10"/>
      <c r="N506" s="10"/>
      <c r="O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3"/>
      <c r="J507" s="10"/>
      <c r="K507" s="10"/>
      <c r="L507" s="10"/>
      <c r="M507" s="10"/>
      <c r="N507" s="10"/>
      <c r="O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3"/>
      <c r="J508" s="10"/>
      <c r="K508" s="10"/>
      <c r="L508" s="10"/>
      <c r="M508" s="10"/>
      <c r="N508" s="10"/>
      <c r="O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3"/>
      <c r="J509" s="10"/>
      <c r="K509" s="10"/>
      <c r="L509" s="10"/>
      <c r="M509" s="10"/>
      <c r="N509" s="10"/>
      <c r="O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3"/>
      <c r="J510" s="10"/>
      <c r="K510" s="10"/>
      <c r="L510" s="10"/>
      <c r="M510" s="10"/>
      <c r="N510" s="10"/>
      <c r="O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3"/>
      <c r="J511" s="10"/>
      <c r="K511" s="10"/>
      <c r="L511" s="10"/>
      <c r="M511" s="10"/>
      <c r="N511" s="10"/>
      <c r="O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3"/>
      <c r="J512" s="10"/>
      <c r="K512" s="10"/>
      <c r="L512" s="10"/>
      <c r="M512" s="10"/>
      <c r="N512" s="10"/>
      <c r="O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3"/>
      <c r="J513" s="10"/>
      <c r="K513" s="10"/>
      <c r="L513" s="10"/>
      <c r="M513" s="10"/>
      <c r="N513" s="10"/>
      <c r="O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3"/>
      <c r="J514" s="10"/>
      <c r="K514" s="10"/>
      <c r="L514" s="10"/>
      <c r="M514" s="10"/>
      <c r="N514" s="10"/>
      <c r="O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3"/>
      <c r="J515" s="10"/>
      <c r="K515" s="10"/>
      <c r="L515" s="10"/>
      <c r="M515" s="10"/>
      <c r="N515" s="10"/>
      <c r="O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3"/>
      <c r="J516" s="10"/>
      <c r="K516" s="10"/>
      <c r="L516" s="10"/>
      <c r="M516" s="10"/>
      <c r="N516" s="10"/>
      <c r="O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3"/>
      <c r="J517" s="10"/>
      <c r="K517" s="10"/>
      <c r="L517" s="10"/>
      <c r="M517" s="10"/>
      <c r="N517" s="10"/>
      <c r="O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3"/>
      <c r="J518" s="10"/>
      <c r="K518" s="10"/>
      <c r="L518" s="10"/>
      <c r="M518" s="10"/>
      <c r="N518" s="10"/>
      <c r="O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3"/>
      <c r="J519" s="10"/>
      <c r="K519" s="10"/>
      <c r="L519" s="10"/>
      <c r="M519" s="10"/>
      <c r="N519" s="10"/>
      <c r="O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3"/>
      <c r="J520" s="10"/>
      <c r="K520" s="10"/>
      <c r="L520" s="10"/>
      <c r="M520" s="10"/>
      <c r="N520" s="10"/>
      <c r="O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3"/>
      <c r="J521" s="10"/>
      <c r="K521" s="10"/>
      <c r="L521" s="10"/>
      <c r="M521" s="10"/>
      <c r="N521" s="10"/>
      <c r="O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3"/>
      <c r="J522" s="10"/>
      <c r="K522" s="10"/>
      <c r="L522" s="10"/>
      <c r="M522" s="10"/>
      <c r="N522" s="10"/>
      <c r="O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3"/>
      <c r="J523" s="10"/>
      <c r="K523" s="10"/>
      <c r="L523" s="10"/>
      <c r="M523" s="10"/>
      <c r="N523" s="10"/>
      <c r="O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3"/>
      <c r="J524" s="10"/>
      <c r="K524" s="10"/>
      <c r="L524" s="10"/>
      <c r="M524" s="10"/>
      <c r="N524" s="10"/>
      <c r="O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3"/>
      <c r="J525" s="10"/>
      <c r="K525" s="10"/>
      <c r="L525" s="10"/>
      <c r="M525" s="10"/>
      <c r="N525" s="10"/>
      <c r="O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3"/>
      <c r="J526" s="10"/>
      <c r="K526" s="10"/>
      <c r="L526" s="10"/>
      <c r="M526" s="10"/>
      <c r="N526" s="10"/>
      <c r="O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3"/>
      <c r="J527" s="10"/>
      <c r="K527" s="10"/>
      <c r="L527" s="10"/>
      <c r="M527" s="10"/>
      <c r="N527" s="10"/>
      <c r="O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3"/>
      <c r="J528" s="10"/>
      <c r="K528" s="10"/>
      <c r="L528" s="10"/>
      <c r="M528" s="10"/>
      <c r="N528" s="10"/>
      <c r="O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3"/>
      <c r="J529" s="10"/>
      <c r="K529" s="10"/>
      <c r="L529" s="10"/>
      <c r="M529" s="10"/>
      <c r="N529" s="10"/>
      <c r="O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3"/>
      <c r="J530" s="10"/>
      <c r="K530" s="10"/>
      <c r="L530" s="10"/>
      <c r="M530" s="10"/>
      <c r="N530" s="10"/>
      <c r="O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3"/>
      <c r="J531" s="10"/>
      <c r="K531" s="10"/>
      <c r="L531" s="10"/>
      <c r="M531" s="10"/>
      <c r="N531" s="10"/>
      <c r="O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3"/>
      <c r="J532" s="10"/>
      <c r="K532" s="10"/>
      <c r="L532" s="10"/>
      <c r="M532" s="10"/>
      <c r="N532" s="10"/>
      <c r="O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3"/>
      <c r="J533" s="10"/>
      <c r="K533" s="10"/>
      <c r="L533" s="10"/>
      <c r="M533" s="10"/>
      <c r="N533" s="10"/>
      <c r="O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3"/>
      <c r="J534" s="10"/>
      <c r="K534" s="10"/>
      <c r="L534" s="10"/>
      <c r="M534" s="10"/>
      <c r="N534" s="10"/>
      <c r="O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3"/>
      <c r="J535" s="10"/>
      <c r="K535" s="10"/>
      <c r="L535" s="10"/>
      <c r="M535" s="10"/>
      <c r="N535" s="10"/>
      <c r="O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3"/>
      <c r="J536" s="10"/>
      <c r="K536" s="10"/>
      <c r="L536" s="10"/>
      <c r="M536" s="10"/>
      <c r="N536" s="10"/>
      <c r="O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3"/>
      <c r="J537" s="10"/>
      <c r="K537" s="10"/>
      <c r="L537" s="10"/>
      <c r="M537" s="10"/>
      <c r="N537" s="10"/>
      <c r="O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3"/>
      <c r="J538" s="10"/>
      <c r="K538" s="10"/>
      <c r="L538" s="10"/>
      <c r="M538" s="10"/>
      <c r="N538" s="10"/>
      <c r="O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3"/>
      <c r="J539" s="10"/>
      <c r="K539" s="10"/>
      <c r="L539" s="10"/>
      <c r="M539" s="10"/>
      <c r="N539" s="10"/>
      <c r="O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3"/>
      <c r="J540" s="10"/>
      <c r="K540" s="10"/>
      <c r="L540" s="10"/>
      <c r="M540" s="10"/>
      <c r="N540" s="10"/>
      <c r="O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3"/>
      <c r="J541" s="10"/>
      <c r="K541" s="10"/>
      <c r="L541" s="10"/>
      <c r="M541" s="10"/>
      <c r="N541" s="10"/>
      <c r="O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3"/>
      <c r="J542" s="10"/>
      <c r="K542" s="10"/>
      <c r="L542" s="10"/>
      <c r="M542" s="10"/>
      <c r="N542" s="10"/>
      <c r="O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3"/>
      <c r="J543" s="10"/>
      <c r="K543" s="10"/>
      <c r="L543" s="10"/>
      <c r="M543" s="10"/>
      <c r="N543" s="10"/>
      <c r="O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3"/>
      <c r="J544" s="10"/>
      <c r="K544" s="10"/>
      <c r="L544" s="10"/>
      <c r="M544" s="10"/>
      <c r="N544" s="10"/>
      <c r="O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3"/>
      <c r="J545" s="10"/>
      <c r="K545" s="10"/>
      <c r="L545" s="10"/>
      <c r="M545" s="10"/>
      <c r="N545" s="10"/>
      <c r="O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3"/>
      <c r="J546" s="10"/>
      <c r="K546" s="10"/>
      <c r="L546" s="10"/>
      <c r="M546" s="10"/>
      <c r="N546" s="10"/>
      <c r="O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3"/>
      <c r="J547" s="10"/>
      <c r="K547" s="10"/>
      <c r="L547" s="10"/>
      <c r="M547" s="10"/>
      <c r="N547" s="10"/>
      <c r="O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3"/>
      <c r="J548" s="10"/>
      <c r="K548" s="10"/>
      <c r="L548" s="10"/>
      <c r="M548" s="10"/>
      <c r="N548" s="10"/>
      <c r="O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3"/>
      <c r="J549" s="10"/>
      <c r="K549" s="10"/>
      <c r="L549" s="10"/>
      <c r="M549" s="10"/>
      <c r="N549" s="10"/>
      <c r="O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3"/>
      <c r="J550" s="10"/>
      <c r="K550" s="10"/>
      <c r="L550" s="10"/>
      <c r="M550" s="10"/>
      <c r="N550" s="10"/>
      <c r="O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3"/>
      <c r="J551" s="10"/>
      <c r="K551" s="10"/>
      <c r="L551" s="10"/>
      <c r="M551" s="10"/>
      <c r="N551" s="10"/>
      <c r="O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3"/>
      <c r="J552" s="10"/>
      <c r="K552" s="10"/>
      <c r="L552" s="10"/>
      <c r="M552" s="10"/>
      <c r="N552" s="10"/>
      <c r="O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3"/>
      <c r="J553" s="10"/>
      <c r="K553" s="10"/>
      <c r="L553" s="10"/>
      <c r="M553" s="10"/>
      <c r="N553" s="10"/>
      <c r="O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3"/>
      <c r="J554" s="10"/>
      <c r="K554" s="10"/>
      <c r="L554" s="10"/>
      <c r="M554" s="10"/>
      <c r="N554" s="10"/>
      <c r="O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3"/>
      <c r="J555" s="10"/>
      <c r="K555" s="10"/>
      <c r="L555" s="10"/>
      <c r="M555" s="10"/>
      <c r="N555" s="10"/>
      <c r="O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3"/>
      <c r="J556" s="10"/>
      <c r="K556" s="10"/>
      <c r="L556" s="10"/>
      <c r="M556" s="10"/>
      <c r="N556" s="10"/>
      <c r="O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3"/>
      <c r="J557" s="10"/>
      <c r="K557" s="10"/>
      <c r="L557" s="10"/>
      <c r="M557" s="10"/>
      <c r="N557" s="10"/>
      <c r="O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3"/>
      <c r="J558" s="10"/>
      <c r="K558" s="10"/>
      <c r="L558" s="10"/>
      <c r="M558" s="10"/>
      <c r="N558" s="10"/>
      <c r="O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3"/>
      <c r="J559" s="10"/>
      <c r="K559" s="10"/>
      <c r="L559" s="10"/>
      <c r="M559" s="10"/>
      <c r="N559" s="10"/>
      <c r="O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3"/>
      <c r="J560" s="10"/>
      <c r="K560" s="10"/>
      <c r="L560" s="10"/>
      <c r="M560" s="10"/>
      <c r="N560" s="10"/>
      <c r="O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3"/>
      <c r="J561" s="10"/>
      <c r="K561" s="10"/>
      <c r="L561" s="10"/>
      <c r="M561" s="10"/>
      <c r="N561" s="10"/>
      <c r="O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3"/>
      <c r="J562" s="10"/>
      <c r="K562" s="10"/>
      <c r="L562" s="10"/>
      <c r="M562" s="10"/>
      <c r="N562" s="10"/>
      <c r="O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3"/>
      <c r="J563" s="10"/>
      <c r="K563" s="10"/>
      <c r="L563" s="10"/>
      <c r="M563" s="10"/>
      <c r="N563" s="10"/>
      <c r="O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3"/>
      <c r="J564" s="10"/>
      <c r="K564" s="10"/>
      <c r="L564" s="10"/>
      <c r="M564" s="10"/>
      <c r="N564" s="10"/>
      <c r="O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3"/>
      <c r="J565" s="10"/>
      <c r="K565" s="10"/>
      <c r="L565" s="10"/>
      <c r="M565" s="10"/>
      <c r="N565" s="10"/>
      <c r="O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3"/>
      <c r="J566" s="10"/>
      <c r="K566" s="10"/>
      <c r="L566" s="10"/>
      <c r="M566" s="10"/>
      <c r="N566" s="10"/>
      <c r="O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3"/>
      <c r="J567" s="10"/>
      <c r="K567" s="10"/>
      <c r="L567" s="10"/>
      <c r="M567" s="10"/>
      <c r="N567" s="10"/>
      <c r="O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3"/>
      <c r="J568" s="10"/>
      <c r="K568" s="10"/>
      <c r="L568" s="10"/>
      <c r="M568" s="10"/>
      <c r="N568" s="10"/>
      <c r="O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3"/>
      <c r="J569" s="10"/>
      <c r="K569" s="10"/>
      <c r="L569" s="10"/>
      <c r="M569" s="10"/>
      <c r="N569" s="10"/>
      <c r="O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3"/>
      <c r="J570" s="10"/>
      <c r="K570" s="10"/>
      <c r="L570" s="10"/>
      <c r="M570" s="10"/>
      <c r="N570" s="10"/>
      <c r="O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3"/>
      <c r="J571" s="10"/>
      <c r="K571" s="10"/>
      <c r="L571" s="10"/>
      <c r="M571" s="10"/>
      <c r="N571" s="10"/>
      <c r="O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3"/>
      <c r="J572" s="10"/>
      <c r="K572" s="10"/>
      <c r="L572" s="10"/>
      <c r="M572" s="10"/>
      <c r="N572" s="10"/>
      <c r="O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3"/>
      <c r="J573" s="10"/>
      <c r="K573" s="10"/>
      <c r="L573" s="10"/>
      <c r="M573" s="10"/>
      <c r="N573" s="10"/>
      <c r="O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3"/>
      <c r="J574" s="10"/>
      <c r="K574" s="10"/>
      <c r="L574" s="10"/>
      <c r="M574" s="10"/>
      <c r="N574" s="10"/>
      <c r="O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3"/>
      <c r="J575" s="10"/>
      <c r="K575" s="10"/>
      <c r="L575" s="10"/>
      <c r="M575" s="10"/>
      <c r="N575" s="10"/>
      <c r="O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3"/>
      <c r="J576" s="10"/>
      <c r="K576" s="10"/>
      <c r="L576" s="10"/>
      <c r="M576" s="10"/>
      <c r="N576" s="10"/>
      <c r="O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3"/>
      <c r="J577" s="10"/>
      <c r="K577" s="10"/>
      <c r="L577" s="10"/>
      <c r="M577" s="10"/>
      <c r="N577" s="10"/>
      <c r="O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3"/>
      <c r="J578" s="10"/>
      <c r="K578" s="10"/>
      <c r="L578" s="10"/>
      <c r="M578" s="10"/>
      <c r="N578" s="10"/>
      <c r="O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3"/>
      <c r="J579" s="10"/>
      <c r="K579" s="10"/>
      <c r="L579" s="10"/>
      <c r="M579" s="10"/>
      <c r="N579" s="10"/>
      <c r="O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3"/>
      <c r="J580" s="10"/>
      <c r="K580" s="10"/>
      <c r="L580" s="10"/>
      <c r="M580" s="10"/>
      <c r="N580" s="10"/>
      <c r="O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3"/>
      <c r="J581" s="10"/>
      <c r="K581" s="10"/>
      <c r="L581" s="10"/>
      <c r="M581" s="10"/>
      <c r="N581" s="10"/>
      <c r="O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3"/>
      <c r="J582" s="10"/>
      <c r="K582" s="10"/>
      <c r="L582" s="10"/>
      <c r="M582" s="10"/>
      <c r="N582" s="10"/>
      <c r="O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3"/>
      <c r="J583" s="10"/>
      <c r="K583" s="10"/>
      <c r="L583" s="10"/>
      <c r="M583" s="10"/>
      <c r="N583" s="10"/>
      <c r="O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3"/>
      <c r="J584" s="10"/>
      <c r="K584" s="10"/>
      <c r="L584" s="10"/>
      <c r="M584" s="10"/>
      <c r="N584" s="10"/>
      <c r="O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3"/>
      <c r="J585" s="10"/>
      <c r="K585" s="10"/>
      <c r="L585" s="10"/>
      <c r="M585" s="10"/>
      <c r="N585" s="10"/>
      <c r="O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3"/>
      <c r="J586" s="10"/>
      <c r="K586" s="10"/>
      <c r="L586" s="10"/>
      <c r="M586" s="10"/>
      <c r="N586" s="10"/>
      <c r="O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3"/>
      <c r="J587" s="10"/>
      <c r="K587" s="10"/>
      <c r="L587" s="10"/>
      <c r="M587" s="10"/>
      <c r="N587" s="10"/>
      <c r="O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3"/>
      <c r="J588" s="10"/>
      <c r="K588" s="10"/>
      <c r="L588" s="10"/>
      <c r="M588" s="10"/>
      <c r="N588" s="10"/>
      <c r="O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3"/>
      <c r="J589" s="10"/>
      <c r="K589" s="10"/>
      <c r="L589" s="10"/>
      <c r="M589" s="10"/>
      <c r="N589" s="10"/>
      <c r="O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3"/>
      <c r="J590" s="10"/>
      <c r="K590" s="10"/>
      <c r="L590" s="10"/>
      <c r="M590" s="10"/>
      <c r="N590" s="10"/>
      <c r="O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3"/>
      <c r="J591" s="10"/>
      <c r="K591" s="10"/>
      <c r="L591" s="10"/>
      <c r="M591" s="10"/>
      <c r="N591" s="10"/>
      <c r="O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3"/>
      <c r="J592" s="10"/>
      <c r="K592" s="10"/>
      <c r="L592" s="10"/>
      <c r="M592" s="10"/>
      <c r="N592" s="10"/>
      <c r="O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3"/>
      <c r="J593" s="10"/>
      <c r="K593" s="10"/>
      <c r="L593" s="10"/>
      <c r="M593" s="10"/>
      <c r="N593" s="10"/>
      <c r="O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3"/>
      <c r="J594" s="10"/>
      <c r="K594" s="10"/>
      <c r="L594" s="10"/>
      <c r="M594" s="10"/>
      <c r="N594" s="10"/>
      <c r="O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3"/>
      <c r="J595" s="10"/>
      <c r="K595" s="10"/>
      <c r="L595" s="10"/>
      <c r="M595" s="10"/>
      <c r="N595" s="10"/>
      <c r="O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3"/>
      <c r="J596" s="10"/>
      <c r="K596" s="10"/>
      <c r="L596" s="10"/>
      <c r="M596" s="10"/>
      <c r="N596" s="10"/>
      <c r="O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3"/>
      <c r="J597" s="10"/>
      <c r="K597" s="10"/>
      <c r="L597" s="10"/>
      <c r="M597" s="10"/>
      <c r="N597" s="10"/>
      <c r="O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3"/>
      <c r="J598" s="10"/>
      <c r="K598" s="10"/>
      <c r="L598" s="10"/>
      <c r="M598" s="10"/>
      <c r="N598" s="10"/>
      <c r="O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3"/>
      <c r="J599" s="10"/>
      <c r="K599" s="10"/>
      <c r="L599" s="10"/>
      <c r="M599" s="10"/>
      <c r="N599" s="10"/>
      <c r="O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3"/>
      <c r="J600" s="10"/>
      <c r="K600" s="10"/>
      <c r="L600" s="10"/>
      <c r="M600" s="10"/>
      <c r="N600" s="10"/>
      <c r="O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3"/>
      <c r="J601" s="10"/>
      <c r="K601" s="10"/>
      <c r="L601" s="10"/>
      <c r="M601" s="10"/>
      <c r="N601" s="10"/>
      <c r="O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3"/>
      <c r="J602" s="10"/>
      <c r="K602" s="10"/>
      <c r="L602" s="10"/>
      <c r="M602" s="10"/>
      <c r="N602" s="10"/>
      <c r="O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3"/>
      <c r="J603" s="10"/>
      <c r="K603" s="10"/>
      <c r="L603" s="10"/>
      <c r="M603" s="10"/>
      <c r="N603" s="10"/>
      <c r="O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3"/>
      <c r="J604" s="10"/>
      <c r="K604" s="10"/>
      <c r="L604" s="10"/>
      <c r="M604" s="10"/>
      <c r="N604" s="10"/>
      <c r="O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3"/>
      <c r="J605" s="10"/>
      <c r="K605" s="10"/>
      <c r="L605" s="10"/>
      <c r="M605" s="10"/>
      <c r="N605" s="10"/>
      <c r="O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3"/>
      <c r="J606" s="10"/>
      <c r="K606" s="10"/>
      <c r="L606" s="10"/>
      <c r="M606" s="10"/>
      <c r="N606" s="10"/>
      <c r="O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3"/>
      <c r="J607" s="10"/>
      <c r="K607" s="10"/>
      <c r="L607" s="10"/>
      <c r="M607" s="10"/>
      <c r="N607" s="10"/>
      <c r="O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3"/>
      <c r="J608" s="10"/>
      <c r="K608" s="10"/>
      <c r="L608" s="10"/>
      <c r="M608" s="10"/>
      <c r="N608" s="10"/>
      <c r="O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3"/>
      <c r="J609" s="10"/>
      <c r="K609" s="10"/>
      <c r="L609" s="10"/>
      <c r="M609" s="10"/>
      <c r="N609" s="10"/>
      <c r="O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3"/>
      <c r="J610" s="10"/>
      <c r="K610" s="10"/>
      <c r="L610" s="10"/>
      <c r="M610" s="10"/>
      <c r="N610" s="10"/>
      <c r="O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3"/>
      <c r="J611" s="10"/>
      <c r="K611" s="10"/>
      <c r="L611" s="10"/>
      <c r="M611" s="10"/>
      <c r="N611" s="10"/>
      <c r="O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3"/>
      <c r="J612" s="10"/>
      <c r="K612" s="10"/>
      <c r="L612" s="10"/>
      <c r="M612" s="10"/>
      <c r="N612" s="10"/>
      <c r="O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3"/>
      <c r="J613" s="10"/>
      <c r="K613" s="10"/>
      <c r="L613" s="10"/>
      <c r="M613" s="10"/>
      <c r="N613" s="10"/>
      <c r="O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3"/>
      <c r="J614" s="10"/>
      <c r="K614" s="10"/>
      <c r="L614" s="10"/>
      <c r="M614" s="10"/>
      <c r="N614" s="10"/>
      <c r="O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3"/>
      <c r="J615" s="10"/>
      <c r="K615" s="10"/>
      <c r="L615" s="10"/>
      <c r="M615" s="10"/>
      <c r="N615" s="10"/>
      <c r="O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3"/>
      <c r="J616" s="10"/>
      <c r="K616" s="10"/>
      <c r="L616" s="10"/>
      <c r="M616" s="10"/>
      <c r="N616" s="10"/>
      <c r="O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3"/>
      <c r="J617" s="10"/>
      <c r="K617" s="10"/>
      <c r="L617" s="10"/>
      <c r="M617" s="10"/>
      <c r="N617" s="10"/>
      <c r="O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3"/>
      <c r="J618" s="10"/>
      <c r="K618" s="10"/>
      <c r="L618" s="10"/>
      <c r="M618" s="10"/>
      <c r="N618" s="10"/>
      <c r="O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3"/>
      <c r="J619" s="10"/>
      <c r="K619" s="10"/>
      <c r="L619" s="10"/>
      <c r="M619" s="10"/>
      <c r="N619" s="10"/>
      <c r="O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3"/>
      <c r="J620" s="10"/>
      <c r="K620" s="10"/>
      <c r="L620" s="10"/>
      <c r="M620" s="10"/>
      <c r="N620" s="10"/>
      <c r="O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3"/>
      <c r="J621" s="10"/>
      <c r="K621" s="10"/>
      <c r="L621" s="10"/>
      <c r="M621" s="10"/>
      <c r="N621" s="10"/>
      <c r="O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3"/>
      <c r="J622" s="10"/>
      <c r="K622" s="10"/>
      <c r="L622" s="10"/>
      <c r="M622" s="10"/>
      <c r="N622" s="10"/>
      <c r="O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3"/>
      <c r="J623" s="10"/>
      <c r="K623" s="10"/>
      <c r="L623" s="10"/>
      <c r="M623" s="10"/>
      <c r="N623" s="10"/>
      <c r="O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3"/>
      <c r="J624" s="10"/>
      <c r="K624" s="10"/>
      <c r="L624" s="10"/>
      <c r="M624" s="10"/>
      <c r="N624" s="10"/>
      <c r="O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3"/>
      <c r="J625" s="10"/>
      <c r="K625" s="10"/>
      <c r="L625" s="10"/>
      <c r="M625" s="10"/>
      <c r="N625" s="10"/>
      <c r="O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3"/>
      <c r="J626" s="10"/>
      <c r="K626" s="10"/>
      <c r="L626" s="10"/>
      <c r="M626" s="10"/>
      <c r="N626" s="10"/>
      <c r="O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3"/>
      <c r="J627" s="10"/>
      <c r="K627" s="10"/>
      <c r="L627" s="10"/>
      <c r="M627" s="10"/>
      <c r="N627" s="10"/>
      <c r="O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3"/>
      <c r="J628" s="10"/>
      <c r="K628" s="10"/>
      <c r="L628" s="10"/>
      <c r="M628" s="10"/>
      <c r="N628" s="10"/>
      <c r="O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3"/>
      <c r="J629" s="10"/>
      <c r="K629" s="10"/>
      <c r="L629" s="10"/>
      <c r="M629" s="10"/>
      <c r="N629" s="10"/>
      <c r="O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3"/>
      <c r="J630" s="10"/>
      <c r="K630" s="10"/>
      <c r="L630" s="10"/>
      <c r="M630" s="10"/>
      <c r="N630" s="10"/>
      <c r="O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3"/>
      <c r="J631" s="10"/>
      <c r="K631" s="10"/>
      <c r="L631" s="10"/>
      <c r="M631" s="10"/>
      <c r="N631" s="10"/>
      <c r="O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3"/>
      <c r="J632" s="10"/>
      <c r="K632" s="10"/>
      <c r="L632" s="10"/>
      <c r="M632" s="10"/>
      <c r="N632" s="10"/>
      <c r="O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3"/>
      <c r="J633" s="10"/>
      <c r="K633" s="10"/>
      <c r="L633" s="10"/>
      <c r="M633" s="10"/>
      <c r="N633" s="10"/>
      <c r="O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3"/>
      <c r="J634" s="10"/>
      <c r="K634" s="10"/>
      <c r="L634" s="10"/>
      <c r="M634" s="10"/>
      <c r="N634" s="10"/>
      <c r="O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3"/>
      <c r="J635" s="10"/>
      <c r="K635" s="10"/>
      <c r="L635" s="10"/>
      <c r="M635" s="10"/>
      <c r="N635" s="10"/>
      <c r="O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3"/>
      <c r="J636" s="10"/>
      <c r="K636" s="10"/>
      <c r="L636" s="10"/>
      <c r="M636" s="10"/>
      <c r="N636" s="10"/>
      <c r="O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3"/>
      <c r="J637" s="10"/>
      <c r="K637" s="10"/>
      <c r="L637" s="10"/>
      <c r="M637" s="10"/>
      <c r="N637" s="10"/>
      <c r="O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3"/>
      <c r="J638" s="10"/>
      <c r="K638" s="10"/>
      <c r="L638" s="10"/>
      <c r="M638" s="10"/>
      <c r="N638" s="10"/>
      <c r="O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3"/>
      <c r="J639" s="10"/>
      <c r="K639" s="10"/>
      <c r="L639" s="10"/>
      <c r="M639" s="10"/>
      <c r="N639" s="10"/>
      <c r="O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3"/>
      <c r="J640" s="10"/>
      <c r="K640" s="10"/>
      <c r="L640" s="10"/>
      <c r="M640" s="10"/>
      <c r="N640" s="10"/>
      <c r="O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3"/>
      <c r="J641" s="10"/>
      <c r="K641" s="10"/>
      <c r="L641" s="10"/>
      <c r="M641" s="10"/>
      <c r="N641" s="10"/>
      <c r="O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3"/>
      <c r="J642" s="10"/>
      <c r="K642" s="10"/>
      <c r="L642" s="10"/>
      <c r="M642" s="10"/>
      <c r="N642" s="10"/>
      <c r="O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3"/>
      <c r="J643" s="10"/>
      <c r="K643" s="10"/>
      <c r="L643" s="10"/>
      <c r="M643" s="10"/>
      <c r="N643" s="10"/>
      <c r="O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3"/>
      <c r="J644" s="10"/>
      <c r="K644" s="10"/>
      <c r="L644" s="10"/>
      <c r="M644" s="10"/>
      <c r="N644" s="10"/>
      <c r="O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3"/>
      <c r="J645" s="10"/>
      <c r="K645" s="10"/>
      <c r="L645" s="10"/>
      <c r="M645" s="10"/>
      <c r="N645" s="10"/>
      <c r="O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3"/>
      <c r="J646" s="10"/>
      <c r="K646" s="10"/>
      <c r="L646" s="10"/>
      <c r="M646" s="10"/>
      <c r="N646" s="10"/>
      <c r="O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3"/>
      <c r="J647" s="10"/>
      <c r="K647" s="10"/>
      <c r="L647" s="10"/>
      <c r="M647" s="10"/>
      <c r="N647" s="10"/>
      <c r="O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3"/>
      <c r="J648" s="10"/>
      <c r="K648" s="10"/>
      <c r="L648" s="10"/>
      <c r="M648" s="10"/>
      <c r="N648" s="10"/>
      <c r="O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3"/>
      <c r="J649" s="10"/>
      <c r="K649" s="10"/>
      <c r="L649" s="10"/>
      <c r="M649" s="10"/>
      <c r="N649" s="10"/>
      <c r="O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3"/>
      <c r="J650" s="10"/>
      <c r="K650" s="10"/>
      <c r="L650" s="10"/>
      <c r="M650" s="10"/>
      <c r="N650" s="10"/>
      <c r="O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3"/>
      <c r="J651" s="10"/>
      <c r="K651" s="10"/>
      <c r="L651" s="10"/>
      <c r="M651" s="10"/>
      <c r="N651" s="10"/>
      <c r="O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3"/>
      <c r="J652" s="10"/>
      <c r="K652" s="10"/>
      <c r="L652" s="10"/>
      <c r="M652" s="10"/>
      <c r="N652" s="10"/>
      <c r="O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3"/>
      <c r="J653" s="10"/>
      <c r="K653" s="10"/>
      <c r="L653" s="10"/>
      <c r="M653" s="10"/>
      <c r="N653" s="10"/>
      <c r="O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3"/>
      <c r="J654" s="10"/>
      <c r="K654" s="10"/>
      <c r="L654" s="10"/>
      <c r="M654" s="10"/>
      <c r="N654" s="10"/>
      <c r="O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3"/>
      <c r="J655" s="10"/>
      <c r="K655" s="10"/>
      <c r="L655" s="10"/>
      <c r="M655" s="10"/>
      <c r="N655" s="10"/>
      <c r="O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3"/>
      <c r="J656" s="10"/>
      <c r="K656" s="10"/>
      <c r="L656" s="10"/>
      <c r="M656" s="10"/>
      <c r="N656" s="10"/>
      <c r="O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3"/>
      <c r="J657" s="10"/>
      <c r="K657" s="10"/>
      <c r="L657" s="10"/>
      <c r="M657" s="10"/>
      <c r="N657" s="10"/>
      <c r="O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3"/>
      <c r="J658" s="10"/>
      <c r="K658" s="10"/>
      <c r="L658" s="10"/>
      <c r="M658" s="10"/>
      <c r="N658" s="10"/>
      <c r="O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3"/>
      <c r="J659" s="10"/>
      <c r="K659" s="10"/>
      <c r="L659" s="10"/>
      <c r="M659" s="10"/>
      <c r="N659" s="10"/>
      <c r="O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3"/>
      <c r="J660" s="10"/>
      <c r="K660" s="10"/>
      <c r="L660" s="10"/>
      <c r="M660" s="10"/>
      <c r="N660" s="10"/>
      <c r="O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3"/>
      <c r="J661" s="10"/>
      <c r="K661" s="10"/>
      <c r="L661" s="10"/>
      <c r="M661" s="10"/>
      <c r="N661" s="10"/>
      <c r="O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3"/>
      <c r="J662" s="10"/>
      <c r="K662" s="10"/>
      <c r="L662" s="10"/>
      <c r="M662" s="10"/>
      <c r="N662" s="10"/>
      <c r="O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3"/>
      <c r="J663" s="10"/>
      <c r="K663" s="10"/>
      <c r="L663" s="10"/>
      <c r="M663" s="10"/>
      <c r="N663" s="10"/>
      <c r="O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3"/>
      <c r="J664" s="10"/>
      <c r="K664" s="10"/>
      <c r="L664" s="10"/>
      <c r="M664" s="10"/>
      <c r="N664" s="10"/>
      <c r="O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3"/>
      <c r="J665" s="10"/>
      <c r="K665" s="10"/>
      <c r="L665" s="10"/>
      <c r="M665" s="10"/>
      <c r="N665" s="10"/>
      <c r="O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3"/>
      <c r="J666" s="10"/>
      <c r="K666" s="10"/>
      <c r="L666" s="10"/>
      <c r="M666" s="10"/>
      <c r="N666" s="10"/>
      <c r="O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3"/>
      <c r="J667" s="10"/>
      <c r="K667" s="10"/>
      <c r="L667" s="10"/>
      <c r="M667" s="10"/>
      <c r="N667" s="10"/>
      <c r="O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3"/>
      <c r="J668" s="10"/>
      <c r="K668" s="10"/>
      <c r="L668" s="10"/>
      <c r="M668" s="10"/>
      <c r="N668" s="10"/>
      <c r="O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3"/>
      <c r="J669" s="10"/>
      <c r="K669" s="10"/>
      <c r="L669" s="10"/>
      <c r="M669" s="10"/>
      <c r="N669" s="10"/>
      <c r="O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3"/>
      <c r="J670" s="10"/>
      <c r="K670" s="10"/>
      <c r="L670" s="10"/>
      <c r="M670" s="10"/>
      <c r="N670" s="10"/>
      <c r="O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3"/>
      <c r="J671" s="10"/>
      <c r="K671" s="10"/>
      <c r="L671" s="10"/>
      <c r="M671" s="10"/>
      <c r="N671" s="10"/>
      <c r="O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3"/>
      <c r="J672" s="10"/>
      <c r="K672" s="10"/>
      <c r="L672" s="10"/>
      <c r="M672" s="10"/>
      <c r="N672" s="10"/>
      <c r="O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3"/>
      <c r="J673" s="10"/>
      <c r="K673" s="10"/>
      <c r="L673" s="10"/>
      <c r="M673" s="10"/>
      <c r="N673" s="10"/>
      <c r="O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3"/>
      <c r="J674" s="10"/>
      <c r="K674" s="10"/>
      <c r="L674" s="10"/>
      <c r="M674" s="10"/>
      <c r="N674" s="10"/>
      <c r="O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3"/>
      <c r="J675" s="10"/>
      <c r="K675" s="10"/>
      <c r="L675" s="10"/>
      <c r="M675" s="10"/>
      <c r="N675" s="10"/>
      <c r="O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3"/>
      <c r="J676" s="10"/>
      <c r="K676" s="10"/>
      <c r="L676" s="10"/>
      <c r="M676" s="10"/>
      <c r="N676" s="10"/>
      <c r="O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3"/>
      <c r="J677" s="10"/>
      <c r="K677" s="10"/>
      <c r="L677" s="10"/>
      <c r="M677" s="10"/>
      <c r="N677" s="10"/>
      <c r="O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3"/>
      <c r="J678" s="10"/>
      <c r="K678" s="10"/>
      <c r="L678" s="10"/>
      <c r="M678" s="10"/>
      <c r="N678" s="10"/>
      <c r="O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3"/>
      <c r="J679" s="10"/>
      <c r="K679" s="10"/>
      <c r="L679" s="10"/>
      <c r="M679" s="10"/>
      <c r="N679" s="10"/>
      <c r="O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3"/>
      <c r="J680" s="10"/>
      <c r="K680" s="10"/>
      <c r="L680" s="10"/>
      <c r="M680" s="10"/>
      <c r="N680" s="10"/>
      <c r="O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3"/>
      <c r="J681" s="10"/>
      <c r="K681" s="10"/>
      <c r="L681" s="10"/>
      <c r="M681" s="10"/>
      <c r="N681" s="10"/>
      <c r="O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3"/>
      <c r="J682" s="10"/>
      <c r="K682" s="10"/>
      <c r="L682" s="10"/>
      <c r="M682" s="10"/>
      <c r="N682" s="10"/>
      <c r="O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3"/>
      <c r="J683" s="10"/>
      <c r="K683" s="10"/>
      <c r="L683" s="10"/>
      <c r="M683" s="10"/>
      <c r="N683" s="10"/>
      <c r="O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3"/>
      <c r="J684" s="10"/>
      <c r="K684" s="10"/>
      <c r="L684" s="10"/>
      <c r="M684" s="10"/>
      <c r="N684" s="10"/>
      <c r="O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3"/>
      <c r="J685" s="10"/>
      <c r="K685" s="10"/>
      <c r="L685" s="10"/>
      <c r="M685" s="10"/>
      <c r="N685" s="10"/>
      <c r="O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3"/>
      <c r="J686" s="10"/>
      <c r="K686" s="10"/>
      <c r="L686" s="10"/>
      <c r="M686" s="10"/>
      <c r="N686" s="10"/>
      <c r="O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3"/>
      <c r="J687" s="10"/>
      <c r="K687" s="10"/>
      <c r="L687" s="10"/>
      <c r="M687" s="10"/>
      <c r="N687" s="10"/>
      <c r="O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3"/>
      <c r="J688" s="10"/>
      <c r="K688" s="10"/>
      <c r="L688" s="10"/>
      <c r="M688" s="10"/>
      <c r="N688" s="10"/>
      <c r="O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3"/>
      <c r="J689" s="10"/>
      <c r="K689" s="10"/>
      <c r="L689" s="10"/>
      <c r="M689" s="10"/>
      <c r="N689" s="10"/>
      <c r="O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3"/>
      <c r="J690" s="10"/>
      <c r="K690" s="10"/>
      <c r="L690" s="10"/>
      <c r="M690" s="10"/>
      <c r="N690" s="10"/>
      <c r="O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3"/>
      <c r="J691" s="10"/>
      <c r="K691" s="10"/>
      <c r="L691" s="10"/>
      <c r="M691" s="10"/>
      <c r="N691" s="10"/>
      <c r="O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3"/>
      <c r="J692" s="10"/>
      <c r="K692" s="10"/>
      <c r="L692" s="10"/>
      <c r="M692" s="10"/>
      <c r="N692" s="10"/>
      <c r="O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3"/>
      <c r="J693" s="10"/>
      <c r="K693" s="10"/>
      <c r="L693" s="10"/>
      <c r="M693" s="10"/>
      <c r="N693" s="10"/>
      <c r="O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3"/>
      <c r="J694" s="10"/>
      <c r="K694" s="10"/>
      <c r="L694" s="10"/>
      <c r="M694" s="10"/>
      <c r="N694" s="10"/>
      <c r="O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3"/>
      <c r="J695" s="10"/>
      <c r="K695" s="10"/>
      <c r="L695" s="10"/>
      <c r="M695" s="10"/>
      <c r="N695" s="10"/>
      <c r="O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3"/>
      <c r="J696" s="10"/>
      <c r="K696" s="10"/>
      <c r="L696" s="10"/>
      <c r="M696" s="10"/>
      <c r="N696" s="10"/>
      <c r="O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3"/>
      <c r="J697" s="10"/>
      <c r="K697" s="10"/>
      <c r="L697" s="10"/>
      <c r="M697" s="10"/>
      <c r="N697" s="10"/>
      <c r="O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3"/>
      <c r="J698" s="10"/>
      <c r="K698" s="10"/>
      <c r="L698" s="10"/>
      <c r="M698" s="10"/>
      <c r="N698" s="10"/>
      <c r="O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3"/>
      <c r="J699" s="10"/>
      <c r="K699" s="10"/>
      <c r="L699" s="10"/>
      <c r="M699" s="10"/>
      <c r="N699" s="10"/>
      <c r="O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3"/>
      <c r="J700" s="10"/>
      <c r="K700" s="10"/>
      <c r="L700" s="10"/>
      <c r="M700" s="10"/>
      <c r="N700" s="10"/>
      <c r="O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3"/>
      <c r="J701" s="10"/>
      <c r="K701" s="10"/>
      <c r="L701" s="10"/>
      <c r="M701" s="10"/>
      <c r="N701" s="10"/>
      <c r="O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3"/>
      <c r="J702" s="10"/>
      <c r="K702" s="10"/>
      <c r="L702" s="10"/>
      <c r="M702" s="10"/>
      <c r="N702" s="10"/>
      <c r="O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3"/>
      <c r="J703" s="10"/>
      <c r="K703" s="10"/>
      <c r="L703" s="10"/>
      <c r="M703" s="10"/>
      <c r="N703" s="10"/>
      <c r="O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3"/>
      <c r="J704" s="10"/>
      <c r="K704" s="10"/>
      <c r="L704" s="10"/>
      <c r="M704" s="10"/>
      <c r="N704" s="10"/>
      <c r="O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3"/>
      <c r="J705" s="10"/>
      <c r="K705" s="10"/>
      <c r="L705" s="10"/>
      <c r="M705" s="10"/>
      <c r="N705" s="10"/>
      <c r="O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3"/>
      <c r="J706" s="10"/>
      <c r="K706" s="10"/>
      <c r="L706" s="10"/>
      <c r="M706" s="10"/>
      <c r="N706" s="10"/>
      <c r="O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3"/>
      <c r="J707" s="10"/>
      <c r="K707" s="10"/>
      <c r="L707" s="10"/>
      <c r="M707" s="10"/>
      <c r="N707" s="10"/>
      <c r="O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3"/>
      <c r="J708" s="10"/>
      <c r="K708" s="10"/>
      <c r="L708" s="10"/>
      <c r="M708" s="10"/>
      <c r="N708" s="10"/>
      <c r="O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3"/>
      <c r="J709" s="10"/>
      <c r="K709" s="10"/>
      <c r="L709" s="10"/>
      <c r="M709" s="10"/>
      <c r="N709" s="10"/>
      <c r="O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3"/>
      <c r="J710" s="10"/>
      <c r="K710" s="10"/>
      <c r="L710" s="10"/>
      <c r="M710" s="10"/>
      <c r="N710" s="10"/>
      <c r="O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3"/>
      <c r="J711" s="10"/>
      <c r="K711" s="10"/>
      <c r="L711" s="10"/>
      <c r="M711" s="10"/>
      <c r="N711" s="10"/>
      <c r="O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3"/>
      <c r="J712" s="10"/>
      <c r="K712" s="10"/>
      <c r="L712" s="10"/>
      <c r="M712" s="10"/>
      <c r="N712" s="10"/>
      <c r="O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3"/>
      <c r="J713" s="10"/>
      <c r="K713" s="10"/>
      <c r="L713" s="10"/>
      <c r="M713" s="10"/>
      <c r="N713" s="10"/>
      <c r="O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3"/>
      <c r="J714" s="10"/>
      <c r="K714" s="10"/>
      <c r="L714" s="10"/>
      <c r="M714" s="10"/>
      <c r="N714" s="10"/>
      <c r="O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3"/>
      <c r="J715" s="10"/>
      <c r="K715" s="10"/>
      <c r="L715" s="10"/>
      <c r="M715" s="10"/>
      <c r="N715" s="10"/>
      <c r="O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3"/>
      <c r="J716" s="10"/>
      <c r="K716" s="10"/>
      <c r="L716" s="10"/>
      <c r="M716" s="10"/>
      <c r="N716" s="10"/>
      <c r="O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3"/>
      <c r="J717" s="10"/>
      <c r="K717" s="10"/>
      <c r="L717" s="10"/>
      <c r="M717" s="10"/>
      <c r="N717" s="10"/>
      <c r="O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3"/>
      <c r="J718" s="10"/>
      <c r="K718" s="10"/>
      <c r="L718" s="10"/>
      <c r="M718" s="10"/>
      <c r="N718" s="10"/>
      <c r="O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3"/>
      <c r="J719" s="10"/>
      <c r="K719" s="10"/>
      <c r="L719" s="10"/>
      <c r="M719" s="10"/>
      <c r="N719" s="10"/>
      <c r="O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3"/>
      <c r="J720" s="10"/>
      <c r="K720" s="10"/>
      <c r="L720" s="10"/>
      <c r="M720" s="10"/>
      <c r="N720" s="10"/>
      <c r="O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3"/>
      <c r="J721" s="10"/>
      <c r="K721" s="10"/>
      <c r="L721" s="10"/>
      <c r="M721" s="10"/>
      <c r="N721" s="10"/>
      <c r="O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3"/>
      <c r="J722" s="10"/>
      <c r="K722" s="10"/>
      <c r="L722" s="10"/>
      <c r="M722" s="10"/>
      <c r="N722" s="10"/>
      <c r="O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3"/>
      <c r="J723" s="10"/>
      <c r="K723" s="10"/>
      <c r="L723" s="10"/>
      <c r="M723" s="10"/>
      <c r="N723" s="10"/>
      <c r="O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3"/>
      <c r="J724" s="10"/>
      <c r="K724" s="10"/>
      <c r="L724" s="10"/>
      <c r="M724" s="10"/>
      <c r="N724" s="10"/>
      <c r="O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3"/>
      <c r="J725" s="10"/>
      <c r="K725" s="10"/>
      <c r="L725" s="10"/>
      <c r="M725" s="10"/>
      <c r="N725" s="10"/>
      <c r="O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3"/>
      <c r="J726" s="10"/>
      <c r="K726" s="10"/>
      <c r="L726" s="10"/>
      <c r="M726" s="10"/>
      <c r="N726" s="10"/>
      <c r="O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3"/>
      <c r="J727" s="10"/>
      <c r="K727" s="10"/>
      <c r="L727" s="10"/>
      <c r="M727" s="10"/>
      <c r="N727" s="10"/>
      <c r="O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3"/>
      <c r="J728" s="10"/>
      <c r="K728" s="10"/>
      <c r="L728" s="10"/>
      <c r="M728" s="10"/>
      <c r="N728" s="10"/>
      <c r="O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3"/>
      <c r="J729" s="10"/>
      <c r="K729" s="10"/>
      <c r="L729" s="10"/>
      <c r="M729" s="10"/>
      <c r="N729" s="10"/>
      <c r="O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3"/>
      <c r="J730" s="10"/>
      <c r="K730" s="10"/>
      <c r="L730" s="10"/>
      <c r="M730" s="10"/>
      <c r="N730" s="10"/>
      <c r="O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3"/>
      <c r="J731" s="10"/>
      <c r="K731" s="10"/>
      <c r="L731" s="10"/>
      <c r="M731" s="10"/>
      <c r="N731" s="10"/>
      <c r="O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3"/>
      <c r="J732" s="10"/>
      <c r="K732" s="10"/>
      <c r="L732" s="10"/>
      <c r="M732" s="10"/>
      <c r="N732" s="10"/>
      <c r="O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3"/>
      <c r="J733" s="10"/>
      <c r="K733" s="10"/>
      <c r="L733" s="10"/>
      <c r="M733" s="10"/>
      <c r="N733" s="10"/>
      <c r="O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3"/>
      <c r="J734" s="10"/>
      <c r="K734" s="10"/>
      <c r="L734" s="10"/>
      <c r="M734" s="10"/>
      <c r="N734" s="10"/>
      <c r="O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3"/>
      <c r="J735" s="10"/>
      <c r="K735" s="10"/>
      <c r="L735" s="10"/>
      <c r="M735" s="10"/>
      <c r="N735" s="10"/>
      <c r="O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3"/>
      <c r="J736" s="10"/>
      <c r="K736" s="10"/>
      <c r="L736" s="10"/>
      <c r="M736" s="10"/>
      <c r="N736" s="10"/>
      <c r="O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3"/>
      <c r="J737" s="10"/>
      <c r="K737" s="10"/>
      <c r="L737" s="10"/>
      <c r="M737" s="10"/>
      <c r="N737" s="10"/>
      <c r="O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3"/>
      <c r="J738" s="10"/>
      <c r="K738" s="10"/>
      <c r="L738" s="10"/>
      <c r="M738" s="10"/>
      <c r="N738" s="10"/>
      <c r="O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3"/>
      <c r="J739" s="10"/>
      <c r="K739" s="10"/>
      <c r="L739" s="10"/>
      <c r="M739" s="10"/>
      <c r="N739" s="10"/>
      <c r="O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3"/>
      <c r="J740" s="10"/>
      <c r="K740" s="10"/>
      <c r="L740" s="10"/>
      <c r="M740" s="10"/>
      <c r="N740" s="10"/>
      <c r="O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3"/>
      <c r="J741" s="10"/>
      <c r="K741" s="10"/>
      <c r="L741" s="10"/>
      <c r="M741" s="10"/>
      <c r="N741" s="10"/>
      <c r="O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3"/>
      <c r="J742" s="10"/>
      <c r="K742" s="10"/>
      <c r="L742" s="10"/>
      <c r="M742" s="10"/>
      <c r="N742" s="10"/>
      <c r="O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3"/>
      <c r="J743" s="10"/>
      <c r="K743" s="10"/>
      <c r="L743" s="10"/>
      <c r="M743" s="10"/>
      <c r="N743" s="10"/>
      <c r="O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3"/>
      <c r="J744" s="10"/>
      <c r="K744" s="10"/>
      <c r="L744" s="10"/>
      <c r="M744" s="10"/>
      <c r="N744" s="10"/>
      <c r="O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3"/>
      <c r="J745" s="10"/>
      <c r="K745" s="10"/>
      <c r="L745" s="10"/>
      <c r="M745" s="10"/>
      <c r="N745" s="10"/>
      <c r="O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3"/>
      <c r="J746" s="10"/>
      <c r="K746" s="10"/>
      <c r="L746" s="10"/>
      <c r="M746" s="10"/>
      <c r="N746" s="10"/>
      <c r="O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3"/>
      <c r="J747" s="10"/>
      <c r="K747" s="10"/>
      <c r="L747" s="10"/>
      <c r="M747" s="10"/>
      <c r="N747" s="10"/>
      <c r="O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3"/>
      <c r="J748" s="10"/>
      <c r="K748" s="10"/>
      <c r="L748" s="10"/>
      <c r="M748" s="10"/>
      <c r="N748" s="10"/>
      <c r="O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3"/>
      <c r="J749" s="10"/>
      <c r="K749" s="10"/>
      <c r="L749" s="10"/>
      <c r="M749" s="10"/>
      <c r="N749" s="10"/>
      <c r="O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3"/>
      <c r="J750" s="10"/>
      <c r="K750" s="10"/>
      <c r="L750" s="10"/>
      <c r="M750" s="10"/>
      <c r="N750" s="10"/>
      <c r="O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3"/>
      <c r="J751" s="10"/>
      <c r="K751" s="10"/>
      <c r="L751" s="10"/>
      <c r="M751" s="10"/>
      <c r="N751" s="10"/>
      <c r="O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3"/>
      <c r="J752" s="10"/>
      <c r="K752" s="10"/>
      <c r="L752" s="10"/>
      <c r="M752" s="10"/>
      <c r="N752" s="10"/>
      <c r="O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3"/>
      <c r="J753" s="10"/>
      <c r="K753" s="10"/>
      <c r="L753" s="10"/>
      <c r="M753" s="10"/>
      <c r="N753" s="10"/>
      <c r="O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3"/>
      <c r="J754" s="10"/>
      <c r="K754" s="10"/>
      <c r="L754" s="10"/>
      <c r="M754" s="10"/>
      <c r="N754" s="10"/>
      <c r="O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3"/>
      <c r="J755" s="10"/>
      <c r="K755" s="10"/>
      <c r="L755" s="10"/>
      <c r="M755" s="10"/>
      <c r="N755" s="10"/>
      <c r="O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3"/>
      <c r="J756" s="10"/>
      <c r="K756" s="10"/>
      <c r="L756" s="10"/>
      <c r="M756" s="10"/>
      <c r="N756" s="10"/>
      <c r="O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3"/>
      <c r="J757" s="10"/>
      <c r="K757" s="10"/>
      <c r="L757" s="10"/>
      <c r="M757" s="10"/>
      <c r="N757" s="10"/>
      <c r="O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3"/>
      <c r="J758" s="10"/>
      <c r="K758" s="10"/>
      <c r="L758" s="10"/>
      <c r="M758" s="10"/>
      <c r="N758" s="10"/>
      <c r="O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3"/>
      <c r="J759" s="10"/>
      <c r="K759" s="10"/>
      <c r="L759" s="10"/>
      <c r="M759" s="10"/>
      <c r="N759" s="10"/>
      <c r="O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3"/>
      <c r="J760" s="10"/>
      <c r="K760" s="10"/>
      <c r="L760" s="10"/>
      <c r="M760" s="10"/>
      <c r="N760" s="10"/>
      <c r="O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3"/>
      <c r="J761" s="10"/>
      <c r="K761" s="10"/>
      <c r="L761" s="10"/>
      <c r="M761" s="10"/>
      <c r="N761" s="10"/>
      <c r="O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3"/>
      <c r="J762" s="10"/>
      <c r="K762" s="10"/>
      <c r="L762" s="10"/>
      <c r="M762" s="10"/>
      <c r="N762" s="10"/>
      <c r="O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3"/>
      <c r="J763" s="10"/>
      <c r="K763" s="10"/>
      <c r="L763" s="10"/>
      <c r="M763" s="10"/>
      <c r="N763" s="10"/>
      <c r="O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3"/>
      <c r="J764" s="10"/>
      <c r="K764" s="10"/>
      <c r="L764" s="10"/>
      <c r="M764" s="10"/>
      <c r="N764" s="10"/>
      <c r="O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3"/>
      <c r="J765" s="10"/>
      <c r="K765" s="10"/>
      <c r="L765" s="10"/>
      <c r="M765" s="10"/>
      <c r="N765" s="10"/>
      <c r="O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3"/>
      <c r="J766" s="10"/>
      <c r="K766" s="10"/>
      <c r="L766" s="10"/>
      <c r="M766" s="10"/>
      <c r="N766" s="10"/>
      <c r="O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3"/>
      <c r="J767" s="10"/>
      <c r="K767" s="10"/>
      <c r="L767" s="10"/>
      <c r="M767" s="10"/>
      <c r="N767" s="10"/>
      <c r="O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3"/>
      <c r="J768" s="10"/>
      <c r="K768" s="10"/>
      <c r="L768" s="10"/>
      <c r="M768" s="10"/>
      <c r="N768" s="10"/>
      <c r="O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3"/>
      <c r="J769" s="10"/>
      <c r="K769" s="10"/>
      <c r="L769" s="10"/>
      <c r="M769" s="10"/>
      <c r="N769" s="10"/>
      <c r="O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3"/>
      <c r="J770" s="10"/>
      <c r="K770" s="10"/>
      <c r="L770" s="10"/>
      <c r="M770" s="10"/>
      <c r="N770" s="10"/>
      <c r="O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3"/>
      <c r="J771" s="10"/>
      <c r="K771" s="10"/>
      <c r="L771" s="10"/>
      <c r="M771" s="10"/>
      <c r="N771" s="10"/>
      <c r="O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3"/>
      <c r="J772" s="10"/>
      <c r="K772" s="10"/>
      <c r="L772" s="10"/>
      <c r="M772" s="10"/>
      <c r="N772" s="10"/>
      <c r="O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3"/>
      <c r="J773" s="10"/>
      <c r="K773" s="10"/>
      <c r="L773" s="10"/>
      <c r="M773" s="10"/>
      <c r="N773" s="10"/>
      <c r="O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3"/>
      <c r="J774" s="10"/>
      <c r="K774" s="10"/>
      <c r="L774" s="10"/>
      <c r="M774" s="10"/>
      <c r="N774" s="10"/>
      <c r="O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3"/>
      <c r="J775" s="10"/>
      <c r="K775" s="10"/>
      <c r="L775" s="10"/>
      <c r="M775" s="10"/>
      <c r="N775" s="10"/>
      <c r="O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3"/>
      <c r="J776" s="10"/>
      <c r="K776" s="10"/>
      <c r="L776" s="10"/>
      <c r="M776" s="10"/>
      <c r="N776" s="10"/>
      <c r="O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3"/>
      <c r="J777" s="10"/>
      <c r="K777" s="10"/>
      <c r="L777" s="10"/>
      <c r="M777" s="10"/>
      <c r="N777" s="10"/>
      <c r="O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3"/>
      <c r="J778" s="10"/>
      <c r="K778" s="10"/>
      <c r="L778" s="10"/>
      <c r="M778" s="10"/>
      <c r="N778" s="10"/>
      <c r="O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3"/>
      <c r="J779" s="10"/>
      <c r="K779" s="10"/>
      <c r="L779" s="10"/>
      <c r="M779" s="10"/>
      <c r="N779" s="10"/>
      <c r="O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3"/>
      <c r="J780" s="10"/>
      <c r="K780" s="10"/>
      <c r="L780" s="10"/>
      <c r="M780" s="10"/>
      <c r="N780" s="10"/>
      <c r="O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3"/>
      <c r="J781" s="10"/>
      <c r="K781" s="10"/>
      <c r="L781" s="10"/>
      <c r="M781" s="10"/>
      <c r="N781" s="10"/>
      <c r="O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3"/>
      <c r="J782" s="10"/>
      <c r="K782" s="10"/>
      <c r="L782" s="10"/>
      <c r="M782" s="10"/>
      <c r="N782" s="10"/>
      <c r="O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3"/>
      <c r="J783" s="10"/>
      <c r="K783" s="10"/>
      <c r="L783" s="10"/>
      <c r="M783" s="10"/>
      <c r="N783" s="10"/>
      <c r="O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3"/>
      <c r="J784" s="10"/>
      <c r="K784" s="10"/>
      <c r="L784" s="10"/>
      <c r="M784" s="10"/>
      <c r="N784" s="10"/>
      <c r="O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3"/>
      <c r="J785" s="10"/>
      <c r="K785" s="10"/>
      <c r="L785" s="10"/>
      <c r="M785" s="10"/>
      <c r="N785" s="10"/>
      <c r="O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3"/>
      <c r="J786" s="10"/>
      <c r="K786" s="10"/>
      <c r="L786" s="10"/>
      <c r="M786" s="10"/>
      <c r="N786" s="10"/>
      <c r="O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3"/>
      <c r="J787" s="10"/>
      <c r="K787" s="10"/>
      <c r="L787" s="10"/>
      <c r="M787" s="10"/>
      <c r="N787" s="10"/>
      <c r="O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3"/>
      <c r="J788" s="10"/>
      <c r="K788" s="10"/>
      <c r="L788" s="10"/>
      <c r="M788" s="10"/>
      <c r="N788" s="10"/>
      <c r="O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3"/>
      <c r="J789" s="10"/>
      <c r="K789" s="10"/>
      <c r="L789" s="10"/>
      <c r="M789" s="10"/>
      <c r="N789" s="10"/>
      <c r="O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3"/>
      <c r="J790" s="10"/>
      <c r="K790" s="10"/>
      <c r="L790" s="10"/>
      <c r="M790" s="10"/>
      <c r="N790" s="10"/>
      <c r="O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3"/>
      <c r="J791" s="10"/>
      <c r="K791" s="10"/>
      <c r="L791" s="10"/>
      <c r="M791" s="10"/>
      <c r="N791" s="10"/>
      <c r="O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3"/>
      <c r="J792" s="10"/>
      <c r="K792" s="10"/>
      <c r="L792" s="10"/>
      <c r="M792" s="10"/>
      <c r="N792" s="10"/>
      <c r="O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3"/>
      <c r="J793" s="10"/>
      <c r="K793" s="10"/>
      <c r="L793" s="10"/>
      <c r="M793" s="10"/>
      <c r="N793" s="10"/>
      <c r="O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3"/>
      <c r="J794" s="10"/>
      <c r="K794" s="10"/>
      <c r="L794" s="10"/>
      <c r="M794" s="10"/>
      <c r="N794" s="10"/>
      <c r="O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3"/>
      <c r="J795" s="10"/>
      <c r="K795" s="10"/>
      <c r="L795" s="10"/>
      <c r="M795" s="10"/>
      <c r="N795" s="10"/>
      <c r="O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3"/>
      <c r="J796" s="10"/>
      <c r="K796" s="10"/>
      <c r="L796" s="10"/>
      <c r="M796" s="10"/>
      <c r="N796" s="10"/>
      <c r="O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3"/>
      <c r="J797" s="10"/>
      <c r="K797" s="10"/>
      <c r="L797" s="10"/>
      <c r="M797" s="10"/>
      <c r="N797" s="10"/>
      <c r="O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3"/>
      <c r="J798" s="10"/>
      <c r="K798" s="10"/>
      <c r="L798" s="10"/>
      <c r="M798" s="10"/>
      <c r="N798" s="10"/>
      <c r="O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3"/>
      <c r="J799" s="10"/>
      <c r="K799" s="10"/>
      <c r="L799" s="10"/>
      <c r="M799" s="10"/>
      <c r="N799" s="10"/>
      <c r="O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3"/>
      <c r="J800" s="10"/>
      <c r="K800" s="10"/>
      <c r="L800" s="10"/>
      <c r="M800" s="10"/>
      <c r="N800" s="10"/>
      <c r="O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3"/>
      <c r="J801" s="10"/>
      <c r="K801" s="10"/>
      <c r="L801" s="10"/>
      <c r="M801" s="10"/>
      <c r="N801" s="10"/>
      <c r="O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3"/>
      <c r="J802" s="10"/>
      <c r="K802" s="10"/>
      <c r="L802" s="10"/>
      <c r="M802" s="10"/>
      <c r="N802" s="10"/>
      <c r="O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3"/>
      <c r="J803" s="10"/>
      <c r="K803" s="10"/>
      <c r="L803" s="10"/>
      <c r="M803" s="10"/>
      <c r="N803" s="10"/>
      <c r="O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3"/>
      <c r="J804" s="10"/>
      <c r="K804" s="10"/>
      <c r="L804" s="10"/>
      <c r="M804" s="10"/>
      <c r="N804" s="10"/>
      <c r="O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3"/>
      <c r="J805" s="10"/>
      <c r="K805" s="10"/>
      <c r="L805" s="10"/>
      <c r="M805" s="10"/>
      <c r="N805" s="10"/>
      <c r="O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3"/>
      <c r="J806" s="10"/>
      <c r="K806" s="10"/>
      <c r="L806" s="10"/>
      <c r="M806" s="10"/>
      <c r="N806" s="10"/>
      <c r="O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3"/>
      <c r="J807" s="10"/>
      <c r="K807" s="10"/>
      <c r="L807" s="10"/>
      <c r="M807" s="10"/>
      <c r="N807" s="10"/>
      <c r="O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3"/>
      <c r="J808" s="10"/>
      <c r="K808" s="10"/>
      <c r="L808" s="10"/>
      <c r="M808" s="10"/>
      <c r="N808" s="10"/>
      <c r="O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3"/>
      <c r="J809" s="10"/>
      <c r="K809" s="10"/>
      <c r="L809" s="10"/>
      <c r="M809" s="10"/>
      <c r="N809" s="10"/>
      <c r="O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3"/>
      <c r="J810" s="10"/>
      <c r="K810" s="10"/>
      <c r="L810" s="10"/>
      <c r="M810" s="10"/>
      <c r="N810" s="10"/>
      <c r="O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3"/>
      <c r="J811" s="10"/>
      <c r="K811" s="10"/>
      <c r="L811" s="10"/>
      <c r="M811" s="10"/>
      <c r="N811" s="10"/>
      <c r="O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3"/>
      <c r="J812" s="10"/>
      <c r="K812" s="10"/>
      <c r="L812" s="10"/>
      <c r="M812" s="10"/>
      <c r="N812" s="10"/>
      <c r="O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3"/>
      <c r="J813" s="10"/>
      <c r="K813" s="10"/>
      <c r="L813" s="10"/>
      <c r="M813" s="10"/>
      <c r="N813" s="10"/>
      <c r="O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3"/>
      <c r="J814" s="10"/>
      <c r="K814" s="10"/>
      <c r="L814" s="10"/>
      <c r="M814" s="10"/>
      <c r="N814" s="10"/>
      <c r="O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3"/>
      <c r="J815" s="10"/>
      <c r="K815" s="10"/>
      <c r="L815" s="10"/>
      <c r="M815" s="10"/>
      <c r="N815" s="10"/>
      <c r="O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3"/>
      <c r="J816" s="10"/>
      <c r="K816" s="10"/>
      <c r="L816" s="10"/>
      <c r="M816" s="10"/>
      <c r="N816" s="10"/>
      <c r="O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3"/>
      <c r="J817" s="10"/>
      <c r="K817" s="10"/>
      <c r="L817" s="10"/>
      <c r="M817" s="10"/>
      <c r="N817" s="10"/>
      <c r="O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3"/>
      <c r="J818" s="10"/>
      <c r="K818" s="10"/>
      <c r="L818" s="10"/>
      <c r="M818" s="10"/>
      <c r="N818" s="10"/>
      <c r="O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3"/>
      <c r="J819" s="10"/>
      <c r="K819" s="10"/>
      <c r="L819" s="10"/>
      <c r="M819" s="10"/>
      <c r="N819" s="10"/>
      <c r="O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3"/>
      <c r="J820" s="10"/>
      <c r="K820" s="10"/>
      <c r="L820" s="10"/>
      <c r="M820" s="10"/>
      <c r="N820" s="10"/>
      <c r="O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3"/>
      <c r="J821" s="10"/>
      <c r="K821" s="10"/>
      <c r="L821" s="10"/>
      <c r="M821" s="10"/>
      <c r="N821" s="10"/>
      <c r="O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3"/>
      <c r="J822" s="10"/>
      <c r="K822" s="10"/>
      <c r="L822" s="10"/>
      <c r="M822" s="10"/>
      <c r="N822" s="10"/>
      <c r="O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3"/>
      <c r="J823" s="10"/>
      <c r="K823" s="10"/>
      <c r="L823" s="10"/>
      <c r="M823" s="10"/>
      <c r="N823" s="10"/>
      <c r="O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3"/>
      <c r="J824" s="10"/>
      <c r="K824" s="10"/>
      <c r="L824" s="10"/>
      <c r="M824" s="10"/>
      <c r="N824" s="10"/>
      <c r="O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3"/>
      <c r="J825" s="10"/>
      <c r="K825" s="10"/>
      <c r="L825" s="10"/>
      <c r="M825" s="10"/>
      <c r="N825" s="10"/>
      <c r="O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3"/>
      <c r="J826" s="10"/>
      <c r="K826" s="10"/>
      <c r="L826" s="10"/>
      <c r="M826" s="10"/>
      <c r="N826" s="10"/>
      <c r="O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3"/>
      <c r="J827" s="10"/>
      <c r="K827" s="10"/>
      <c r="L827" s="10"/>
      <c r="M827" s="10"/>
      <c r="N827" s="10"/>
      <c r="O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3"/>
      <c r="J828" s="10"/>
      <c r="K828" s="10"/>
      <c r="L828" s="10"/>
      <c r="M828" s="10"/>
      <c r="N828" s="10"/>
      <c r="O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3"/>
      <c r="J829" s="10"/>
      <c r="K829" s="10"/>
      <c r="L829" s="10"/>
      <c r="M829" s="10"/>
      <c r="N829" s="10"/>
      <c r="O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3"/>
      <c r="J830" s="10"/>
      <c r="K830" s="10"/>
      <c r="L830" s="10"/>
      <c r="M830" s="10"/>
      <c r="N830" s="10"/>
      <c r="O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3"/>
      <c r="J831" s="10"/>
      <c r="K831" s="10"/>
      <c r="L831" s="10"/>
      <c r="M831" s="10"/>
      <c r="N831" s="10"/>
      <c r="O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3"/>
      <c r="J832" s="10"/>
      <c r="K832" s="10"/>
      <c r="L832" s="10"/>
      <c r="M832" s="10"/>
      <c r="N832" s="10"/>
      <c r="O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3"/>
      <c r="J833" s="10"/>
      <c r="K833" s="10"/>
      <c r="L833" s="10"/>
      <c r="M833" s="10"/>
      <c r="N833" s="10"/>
      <c r="O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3"/>
      <c r="J834" s="10"/>
      <c r="K834" s="10"/>
      <c r="L834" s="10"/>
      <c r="M834" s="10"/>
      <c r="N834" s="10"/>
      <c r="O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3"/>
      <c r="J835" s="10"/>
      <c r="K835" s="10"/>
      <c r="L835" s="10"/>
      <c r="M835" s="10"/>
      <c r="N835" s="10"/>
      <c r="O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3"/>
      <c r="J836" s="10"/>
      <c r="K836" s="10"/>
      <c r="L836" s="10"/>
      <c r="M836" s="10"/>
      <c r="N836" s="10"/>
      <c r="O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3"/>
      <c r="J837" s="10"/>
      <c r="K837" s="10"/>
      <c r="L837" s="10"/>
      <c r="M837" s="10"/>
      <c r="N837" s="10"/>
      <c r="O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3"/>
      <c r="J838" s="10"/>
      <c r="K838" s="10"/>
      <c r="L838" s="10"/>
      <c r="M838" s="10"/>
      <c r="N838" s="10"/>
      <c r="O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3"/>
      <c r="J839" s="10"/>
      <c r="K839" s="10"/>
      <c r="L839" s="10"/>
      <c r="M839" s="10"/>
      <c r="N839" s="10"/>
      <c r="O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3"/>
      <c r="J840" s="10"/>
      <c r="K840" s="10"/>
      <c r="L840" s="10"/>
      <c r="M840" s="10"/>
      <c r="N840" s="10"/>
      <c r="O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3"/>
      <c r="J841" s="10"/>
      <c r="K841" s="10"/>
      <c r="L841" s="10"/>
      <c r="M841" s="10"/>
      <c r="N841" s="10"/>
      <c r="O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3"/>
      <c r="J842" s="10"/>
      <c r="K842" s="10"/>
      <c r="L842" s="10"/>
      <c r="M842" s="10"/>
      <c r="N842" s="10"/>
      <c r="O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3"/>
      <c r="J843" s="10"/>
      <c r="K843" s="10"/>
      <c r="L843" s="10"/>
      <c r="M843" s="10"/>
      <c r="N843" s="10"/>
      <c r="O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3"/>
      <c r="J844" s="10"/>
      <c r="K844" s="10"/>
      <c r="L844" s="10"/>
      <c r="M844" s="10"/>
      <c r="N844" s="10"/>
      <c r="O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3"/>
      <c r="J845" s="10"/>
      <c r="K845" s="10"/>
      <c r="L845" s="10"/>
      <c r="M845" s="10"/>
      <c r="N845" s="10"/>
      <c r="O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3"/>
      <c r="J846" s="10"/>
      <c r="K846" s="10"/>
      <c r="L846" s="10"/>
      <c r="M846" s="10"/>
      <c r="N846" s="10"/>
      <c r="O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3"/>
      <c r="J847" s="10"/>
      <c r="K847" s="10"/>
      <c r="L847" s="10"/>
      <c r="M847" s="10"/>
      <c r="N847" s="10"/>
      <c r="O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3"/>
      <c r="J848" s="10"/>
      <c r="K848" s="10"/>
      <c r="L848" s="10"/>
      <c r="M848" s="10"/>
      <c r="N848" s="10"/>
      <c r="O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3"/>
      <c r="J849" s="10"/>
      <c r="K849" s="10"/>
      <c r="L849" s="10"/>
      <c r="M849" s="10"/>
      <c r="N849" s="10"/>
      <c r="O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3"/>
      <c r="J850" s="10"/>
      <c r="K850" s="10"/>
      <c r="L850" s="10"/>
      <c r="M850" s="10"/>
      <c r="N850" s="10"/>
      <c r="O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3"/>
      <c r="J851" s="10"/>
      <c r="K851" s="10"/>
      <c r="L851" s="10"/>
      <c r="M851" s="10"/>
      <c r="N851" s="10"/>
      <c r="O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3"/>
      <c r="J852" s="10"/>
      <c r="K852" s="10"/>
      <c r="L852" s="10"/>
      <c r="M852" s="10"/>
      <c r="N852" s="10"/>
      <c r="O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3"/>
      <c r="J853" s="10"/>
      <c r="K853" s="10"/>
      <c r="L853" s="10"/>
      <c r="M853" s="10"/>
      <c r="N853" s="10"/>
      <c r="O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3"/>
      <c r="J854" s="10"/>
      <c r="K854" s="10"/>
      <c r="L854" s="10"/>
      <c r="M854" s="10"/>
      <c r="N854" s="10"/>
      <c r="O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3"/>
      <c r="J855" s="10"/>
      <c r="K855" s="10"/>
      <c r="L855" s="10"/>
      <c r="M855" s="10"/>
      <c r="N855" s="10"/>
      <c r="O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3"/>
      <c r="J856" s="10"/>
      <c r="K856" s="10"/>
      <c r="L856" s="10"/>
      <c r="M856" s="10"/>
      <c r="N856" s="10"/>
      <c r="O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3"/>
      <c r="J857" s="10"/>
      <c r="K857" s="10"/>
      <c r="L857" s="10"/>
      <c r="M857" s="10"/>
      <c r="N857" s="10"/>
      <c r="O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3"/>
      <c r="J858" s="10"/>
      <c r="K858" s="10"/>
      <c r="L858" s="10"/>
      <c r="M858" s="10"/>
      <c r="N858" s="10"/>
      <c r="O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3"/>
      <c r="J859" s="10"/>
      <c r="K859" s="10"/>
      <c r="L859" s="10"/>
      <c r="M859" s="10"/>
      <c r="N859" s="10"/>
      <c r="O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3"/>
      <c r="J860" s="10"/>
      <c r="K860" s="10"/>
      <c r="L860" s="10"/>
      <c r="M860" s="10"/>
      <c r="N860" s="10"/>
      <c r="O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3"/>
      <c r="J861" s="10"/>
      <c r="K861" s="10"/>
      <c r="L861" s="10"/>
      <c r="M861" s="10"/>
      <c r="N861" s="10"/>
      <c r="O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3"/>
      <c r="J862" s="10"/>
      <c r="K862" s="10"/>
      <c r="L862" s="10"/>
      <c r="M862" s="10"/>
      <c r="N862" s="10"/>
      <c r="O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3"/>
      <c r="J863" s="10"/>
      <c r="K863" s="10"/>
      <c r="L863" s="10"/>
      <c r="M863" s="10"/>
      <c r="N863" s="10"/>
      <c r="O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3"/>
      <c r="J864" s="10"/>
      <c r="K864" s="10"/>
      <c r="L864" s="10"/>
      <c r="M864" s="10"/>
      <c r="N864" s="10"/>
      <c r="O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3"/>
      <c r="J865" s="10"/>
      <c r="K865" s="10"/>
      <c r="L865" s="10"/>
      <c r="M865" s="10"/>
      <c r="N865" s="10"/>
      <c r="O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3"/>
      <c r="J866" s="10"/>
      <c r="K866" s="10"/>
      <c r="L866" s="10"/>
      <c r="M866" s="10"/>
      <c r="N866" s="10"/>
      <c r="O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3"/>
      <c r="J867" s="10"/>
      <c r="K867" s="10"/>
      <c r="L867" s="10"/>
      <c r="M867" s="10"/>
      <c r="N867" s="10"/>
      <c r="O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3"/>
      <c r="J868" s="10"/>
      <c r="K868" s="10"/>
      <c r="L868" s="10"/>
      <c r="M868" s="10"/>
      <c r="N868" s="10"/>
      <c r="O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3"/>
      <c r="J869" s="10"/>
      <c r="K869" s="10"/>
      <c r="L869" s="10"/>
      <c r="M869" s="10"/>
      <c r="N869" s="10"/>
      <c r="O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3"/>
      <c r="J870" s="10"/>
      <c r="K870" s="10"/>
      <c r="L870" s="10"/>
      <c r="M870" s="10"/>
      <c r="N870" s="10"/>
      <c r="O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3"/>
      <c r="J871" s="10"/>
      <c r="K871" s="10"/>
      <c r="L871" s="10"/>
      <c r="M871" s="10"/>
      <c r="N871" s="10"/>
      <c r="O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3"/>
      <c r="J872" s="10"/>
      <c r="K872" s="10"/>
      <c r="L872" s="10"/>
      <c r="M872" s="10"/>
      <c r="N872" s="10"/>
      <c r="O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3"/>
      <c r="J873" s="10"/>
      <c r="K873" s="10"/>
      <c r="L873" s="10"/>
      <c r="M873" s="10"/>
      <c r="N873" s="10"/>
      <c r="O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3"/>
      <c r="J874" s="10"/>
      <c r="K874" s="10"/>
      <c r="L874" s="10"/>
      <c r="M874" s="10"/>
      <c r="N874" s="10"/>
      <c r="O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3"/>
      <c r="J875" s="10"/>
      <c r="K875" s="10"/>
      <c r="L875" s="10"/>
      <c r="M875" s="10"/>
      <c r="N875" s="10"/>
      <c r="O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3"/>
      <c r="J876" s="10"/>
      <c r="K876" s="10"/>
      <c r="L876" s="10"/>
      <c r="M876" s="10"/>
      <c r="N876" s="10"/>
      <c r="O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3"/>
      <c r="J877" s="10"/>
      <c r="K877" s="10"/>
      <c r="L877" s="10"/>
      <c r="M877" s="10"/>
      <c r="N877" s="10"/>
      <c r="O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3"/>
      <c r="J878" s="10"/>
      <c r="K878" s="10"/>
      <c r="L878" s="10"/>
      <c r="M878" s="10"/>
      <c r="N878" s="10"/>
      <c r="O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3"/>
      <c r="J879" s="10"/>
      <c r="K879" s="10"/>
      <c r="L879" s="10"/>
      <c r="M879" s="10"/>
      <c r="N879" s="10"/>
      <c r="O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3"/>
      <c r="J880" s="10"/>
      <c r="K880" s="10"/>
      <c r="L880" s="10"/>
      <c r="M880" s="10"/>
      <c r="N880" s="10"/>
      <c r="O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3"/>
      <c r="J881" s="10"/>
      <c r="K881" s="10"/>
      <c r="L881" s="10"/>
      <c r="M881" s="10"/>
      <c r="N881" s="10"/>
      <c r="O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3"/>
      <c r="J882" s="10"/>
      <c r="K882" s="10"/>
      <c r="L882" s="10"/>
      <c r="M882" s="10"/>
      <c r="N882" s="10"/>
      <c r="O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3"/>
      <c r="J883" s="10"/>
      <c r="K883" s="10"/>
      <c r="L883" s="10"/>
      <c r="M883" s="10"/>
      <c r="N883" s="10"/>
      <c r="O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3"/>
      <c r="J884" s="10"/>
      <c r="K884" s="10"/>
      <c r="L884" s="10"/>
      <c r="M884" s="10"/>
      <c r="N884" s="10"/>
      <c r="O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3"/>
      <c r="J885" s="10"/>
      <c r="K885" s="10"/>
      <c r="L885" s="10"/>
      <c r="M885" s="10"/>
      <c r="N885" s="10"/>
      <c r="O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3"/>
      <c r="J886" s="10"/>
      <c r="K886" s="10"/>
      <c r="L886" s="10"/>
      <c r="M886" s="10"/>
      <c r="N886" s="10"/>
      <c r="O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3"/>
      <c r="J887" s="10"/>
      <c r="K887" s="10"/>
      <c r="L887" s="10"/>
      <c r="M887" s="10"/>
      <c r="N887" s="10"/>
      <c r="O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3"/>
      <c r="J888" s="10"/>
      <c r="K888" s="10"/>
      <c r="L888" s="10"/>
      <c r="M888" s="10"/>
      <c r="N888" s="10"/>
      <c r="O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3"/>
      <c r="J889" s="10"/>
      <c r="K889" s="10"/>
      <c r="L889" s="10"/>
      <c r="M889" s="10"/>
      <c r="N889" s="10"/>
      <c r="O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3"/>
      <c r="J890" s="10"/>
      <c r="K890" s="10"/>
      <c r="L890" s="10"/>
      <c r="M890" s="10"/>
      <c r="N890" s="10"/>
      <c r="O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3"/>
      <c r="J891" s="10"/>
      <c r="K891" s="10"/>
      <c r="L891" s="10"/>
      <c r="M891" s="10"/>
      <c r="N891" s="10"/>
      <c r="O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3"/>
      <c r="J892" s="10"/>
      <c r="K892" s="10"/>
      <c r="L892" s="10"/>
      <c r="M892" s="10"/>
      <c r="N892" s="10"/>
      <c r="O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3"/>
      <c r="J893" s="10"/>
      <c r="K893" s="10"/>
      <c r="L893" s="10"/>
      <c r="M893" s="10"/>
      <c r="N893" s="10"/>
      <c r="O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3"/>
      <c r="J894" s="10"/>
      <c r="K894" s="10"/>
      <c r="L894" s="10"/>
      <c r="M894" s="10"/>
      <c r="N894" s="10"/>
      <c r="O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3"/>
      <c r="J895" s="10"/>
      <c r="K895" s="10"/>
      <c r="L895" s="10"/>
      <c r="M895" s="10"/>
      <c r="N895" s="10"/>
      <c r="O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3"/>
      <c r="J896" s="10"/>
      <c r="K896" s="10"/>
      <c r="L896" s="10"/>
      <c r="M896" s="10"/>
      <c r="N896" s="10"/>
      <c r="O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3"/>
      <c r="J897" s="10"/>
      <c r="K897" s="10"/>
      <c r="L897" s="10"/>
      <c r="M897" s="10"/>
      <c r="N897" s="10"/>
      <c r="O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3"/>
      <c r="J898" s="10"/>
      <c r="K898" s="10"/>
      <c r="L898" s="10"/>
      <c r="M898" s="10"/>
      <c r="N898" s="10"/>
      <c r="O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3"/>
      <c r="J899" s="10"/>
      <c r="K899" s="10"/>
      <c r="L899" s="10"/>
      <c r="M899" s="10"/>
      <c r="N899" s="10"/>
      <c r="O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3"/>
      <c r="J900" s="10"/>
      <c r="K900" s="10"/>
      <c r="L900" s="10"/>
      <c r="M900" s="10"/>
      <c r="N900" s="10"/>
      <c r="O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3"/>
      <c r="J901" s="10"/>
      <c r="K901" s="10"/>
      <c r="L901" s="10"/>
      <c r="M901" s="10"/>
      <c r="N901" s="10"/>
      <c r="O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3"/>
      <c r="J902" s="10"/>
      <c r="K902" s="10"/>
      <c r="L902" s="10"/>
      <c r="M902" s="10"/>
      <c r="N902" s="10"/>
      <c r="O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3"/>
      <c r="J903" s="10"/>
      <c r="K903" s="10"/>
      <c r="L903" s="10"/>
      <c r="M903" s="10"/>
      <c r="N903" s="10"/>
      <c r="O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3"/>
      <c r="J904" s="10"/>
      <c r="K904" s="10"/>
      <c r="L904" s="10"/>
      <c r="M904" s="10"/>
      <c r="N904" s="10"/>
      <c r="O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3"/>
      <c r="J905" s="10"/>
      <c r="K905" s="10"/>
      <c r="L905" s="10"/>
      <c r="M905" s="10"/>
      <c r="N905" s="10"/>
      <c r="O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3"/>
      <c r="J906" s="10"/>
      <c r="K906" s="10"/>
      <c r="L906" s="10"/>
      <c r="M906" s="10"/>
      <c r="N906" s="10"/>
      <c r="O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3"/>
      <c r="J907" s="10"/>
      <c r="K907" s="10"/>
      <c r="L907" s="10"/>
      <c r="M907" s="10"/>
      <c r="N907" s="10"/>
      <c r="O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3"/>
      <c r="J908" s="10"/>
      <c r="K908" s="10"/>
      <c r="L908" s="10"/>
      <c r="M908" s="10"/>
      <c r="N908" s="10"/>
      <c r="O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3"/>
      <c r="J909" s="10"/>
      <c r="K909" s="10"/>
      <c r="L909" s="10"/>
      <c r="M909" s="10"/>
      <c r="N909" s="10"/>
      <c r="O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3"/>
      <c r="J910" s="10"/>
      <c r="K910" s="10"/>
      <c r="L910" s="10"/>
      <c r="M910" s="10"/>
      <c r="N910" s="10"/>
      <c r="O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3"/>
      <c r="J911" s="10"/>
      <c r="K911" s="10"/>
      <c r="L911" s="10"/>
      <c r="M911" s="10"/>
      <c r="N911" s="10"/>
      <c r="O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3"/>
      <c r="J912" s="10"/>
      <c r="K912" s="10"/>
      <c r="L912" s="10"/>
      <c r="M912" s="10"/>
      <c r="N912" s="10"/>
      <c r="O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3"/>
      <c r="J913" s="10"/>
      <c r="K913" s="10"/>
      <c r="L913" s="10"/>
      <c r="M913" s="10"/>
      <c r="N913" s="10"/>
      <c r="O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3"/>
      <c r="J914" s="10"/>
      <c r="K914" s="10"/>
      <c r="L914" s="10"/>
      <c r="M914" s="10"/>
      <c r="N914" s="10"/>
      <c r="O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3"/>
      <c r="J915" s="10"/>
      <c r="K915" s="10"/>
      <c r="L915" s="10"/>
      <c r="M915" s="10"/>
      <c r="N915" s="10"/>
      <c r="O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3"/>
      <c r="J916" s="10"/>
      <c r="K916" s="10"/>
      <c r="L916" s="10"/>
      <c r="M916" s="10"/>
      <c r="N916" s="10"/>
      <c r="O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3"/>
      <c r="J917" s="10"/>
      <c r="K917" s="10"/>
      <c r="L917" s="10"/>
      <c r="M917" s="10"/>
      <c r="N917" s="10"/>
      <c r="O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3"/>
      <c r="J918" s="10"/>
      <c r="K918" s="10"/>
      <c r="L918" s="10"/>
      <c r="M918" s="10"/>
      <c r="N918" s="10"/>
      <c r="O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3"/>
      <c r="J919" s="10"/>
      <c r="K919" s="10"/>
      <c r="L919" s="10"/>
      <c r="M919" s="10"/>
      <c r="N919" s="10"/>
      <c r="O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3"/>
      <c r="J920" s="10"/>
      <c r="K920" s="10"/>
      <c r="L920" s="10"/>
      <c r="M920" s="10"/>
      <c r="N920" s="10"/>
      <c r="O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3"/>
      <c r="J921" s="10"/>
      <c r="K921" s="10"/>
      <c r="L921" s="10"/>
      <c r="M921" s="10"/>
      <c r="N921" s="10"/>
      <c r="O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3"/>
      <c r="J922" s="10"/>
      <c r="K922" s="10"/>
      <c r="L922" s="10"/>
      <c r="M922" s="10"/>
      <c r="N922" s="10"/>
      <c r="O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3"/>
      <c r="J923" s="10"/>
      <c r="K923" s="10"/>
      <c r="L923" s="10"/>
      <c r="M923" s="10"/>
      <c r="N923" s="10"/>
      <c r="O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3"/>
      <c r="J924" s="10"/>
      <c r="K924" s="10"/>
      <c r="L924" s="10"/>
      <c r="M924" s="10"/>
      <c r="N924" s="10"/>
      <c r="O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3"/>
      <c r="J925" s="10"/>
      <c r="K925" s="10"/>
      <c r="L925" s="10"/>
      <c r="M925" s="10"/>
      <c r="N925" s="10"/>
      <c r="O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3"/>
      <c r="J926" s="10"/>
      <c r="K926" s="10"/>
      <c r="L926" s="10"/>
      <c r="M926" s="10"/>
      <c r="N926" s="10"/>
      <c r="O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3"/>
      <c r="J927" s="10"/>
      <c r="K927" s="10"/>
      <c r="L927" s="10"/>
      <c r="M927" s="10"/>
      <c r="N927" s="10"/>
      <c r="O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3"/>
      <c r="J928" s="10"/>
      <c r="K928" s="10"/>
      <c r="L928" s="10"/>
      <c r="M928" s="10"/>
      <c r="N928" s="10"/>
      <c r="O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3"/>
      <c r="J929" s="10"/>
      <c r="K929" s="10"/>
      <c r="L929" s="10"/>
      <c r="M929" s="10"/>
      <c r="N929" s="10"/>
      <c r="O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3"/>
      <c r="J930" s="10"/>
      <c r="K930" s="10"/>
      <c r="L930" s="10"/>
      <c r="M930" s="10"/>
      <c r="N930" s="10"/>
      <c r="O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3"/>
      <c r="J931" s="10"/>
      <c r="K931" s="10"/>
      <c r="L931" s="10"/>
      <c r="M931" s="10"/>
      <c r="N931" s="10"/>
      <c r="O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3"/>
      <c r="J932" s="10"/>
      <c r="K932" s="10"/>
      <c r="L932" s="10"/>
      <c r="M932" s="10"/>
      <c r="N932" s="10"/>
      <c r="O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3"/>
      <c r="J933" s="10"/>
      <c r="K933" s="10"/>
      <c r="L933" s="10"/>
      <c r="M933" s="10"/>
      <c r="N933" s="10"/>
      <c r="O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3"/>
      <c r="J934" s="10"/>
      <c r="K934" s="10"/>
      <c r="L934" s="10"/>
      <c r="M934" s="10"/>
      <c r="N934" s="10"/>
      <c r="O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3"/>
      <c r="J935" s="10"/>
      <c r="K935" s="10"/>
      <c r="L935" s="10"/>
      <c r="M935" s="10"/>
      <c r="N935" s="10"/>
      <c r="O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3"/>
      <c r="J936" s="10"/>
      <c r="K936" s="10"/>
      <c r="L936" s="10"/>
      <c r="M936" s="10"/>
      <c r="N936" s="10"/>
      <c r="O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3"/>
      <c r="J937" s="10"/>
      <c r="K937" s="10"/>
      <c r="L937" s="10"/>
      <c r="M937" s="10"/>
      <c r="N937" s="10"/>
      <c r="O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3"/>
      <c r="J938" s="10"/>
      <c r="K938" s="10"/>
      <c r="L938" s="10"/>
      <c r="M938" s="10"/>
      <c r="N938" s="10"/>
      <c r="O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3"/>
      <c r="J939" s="10"/>
      <c r="K939" s="10"/>
      <c r="L939" s="10"/>
      <c r="M939" s="10"/>
      <c r="N939" s="10"/>
      <c r="O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3"/>
      <c r="J940" s="10"/>
      <c r="K940" s="10"/>
      <c r="L940" s="10"/>
      <c r="M940" s="10"/>
      <c r="N940" s="10"/>
      <c r="O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3"/>
      <c r="J941" s="10"/>
      <c r="K941" s="10"/>
      <c r="L941" s="10"/>
      <c r="M941" s="10"/>
      <c r="N941" s="10"/>
      <c r="O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3"/>
      <c r="J942" s="10"/>
      <c r="K942" s="10"/>
      <c r="L942" s="10"/>
      <c r="M942" s="10"/>
      <c r="N942" s="10"/>
      <c r="O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3"/>
      <c r="J943" s="10"/>
      <c r="K943" s="10"/>
      <c r="L943" s="10"/>
      <c r="M943" s="10"/>
      <c r="N943" s="10"/>
      <c r="O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3"/>
      <c r="J944" s="10"/>
      <c r="K944" s="10"/>
      <c r="L944" s="10"/>
      <c r="M944" s="10"/>
      <c r="N944" s="10"/>
      <c r="O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3"/>
      <c r="J945" s="10"/>
      <c r="K945" s="10"/>
      <c r="L945" s="10"/>
      <c r="M945" s="10"/>
      <c r="N945" s="10"/>
      <c r="O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3"/>
      <c r="J946" s="10"/>
      <c r="K946" s="10"/>
      <c r="L946" s="10"/>
      <c r="M946" s="10"/>
      <c r="N946" s="10"/>
      <c r="O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3"/>
      <c r="J947" s="10"/>
      <c r="K947" s="10"/>
      <c r="L947" s="10"/>
      <c r="M947" s="10"/>
      <c r="N947" s="10"/>
      <c r="O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3"/>
      <c r="J948" s="10"/>
      <c r="K948" s="10"/>
      <c r="L948" s="10"/>
      <c r="M948" s="10"/>
      <c r="N948" s="10"/>
      <c r="O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3"/>
      <c r="J949" s="10"/>
      <c r="K949" s="10"/>
      <c r="L949" s="10"/>
      <c r="M949" s="10"/>
      <c r="N949" s="10"/>
      <c r="O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3"/>
      <c r="J950" s="10"/>
      <c r="K950" s="10"/>
      <c r="L950" s="10"/>
      <c r="M950" s="10"/>
      <c r="N950" s="10"/>
      <c r="O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3"/>
      <c r="J951" s="10"/>
      <c r="K951" s="10"/>
      <c r="L951" s="10"/>
      <c r="M951" s="10"/>
      <c r="N951" s="10"/>
      <c r="O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3"/>
      <c r="J952" s="10"/>
      <c r="K952" s="10"/>
      <c r="L952" s="10"/>
      <c r="M952" s="10"/>
      <c r="N952" s="10"/>
      <c r="O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3"/>
      <c r="J953" s="10"/>
      <c r="K953" s="10"/>
      <c r="L953" s="10"/>
      <c r="M953" s="10"/>
      <c r="N953" s="10"/>
      <c r="O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3"/>
      <c r="J954" s="10"/>
      <c r="K954" s="10"/>
      <c r="L954" s="10"/>
      <c r="M954" s="10"/>
      <c r="N954" s="10"/>
      <c r="O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3"/>
      <c r="J955" s="10"/>
      <c r="K955" s="10"/>
      <c r="L955" s="10"/>
      <c r="M955" s="10"/>
      <c r="N955" s="10"/>
      <c r="O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3"/>
      <c r="J956" s="10"/>
      <c r="K956" s="10"/>
      <c r="L956" s="10"/>
      <c r="M956" s="10"/>
      <c r="N956" s="10"/>
      <c r="O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3"/>
      <c r="J957" s="10"/>
      <c r="K957" s="10"/>
      <c r="L957" s="10"/>
      <c r="M957" s="10"/>
      <c r="N957" s="10"/>
      <c r="O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3"/>
      <c r="J958" s="10"/>
      <c r="K958" s="10"/>
      <c r="L958" s="10"/>
      <c r="M958" s="10"/>
      <c r="N958" s="10"/>
      <c r="O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3"/>
      <c r="J959" s="10"/>
      <c r="K959" s="10"/>
      <c r="L959" s="10"/>
      <c r="M959" s="10"/>
      <c r="N959" s="10"/>
      <c r="O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3"/>
      <c r="J960" s="10"/>
      <c r="K960" s="10"/>
      <c r="L960" s="10"/>
      <c r="M960" s="10"/>
      <c r="N960" s="10"/>
      <c r="O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3"/>
      <c r="J961" s="10"/>
      <c r="K961" s="10"/>
      <c r="L961" s="10"/>
      <c r="M961" s="10"/>
      <c r="N961" s="10"/>
      <c r="O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3"/>
      <c r="J962" s="10"/>
      <c r="K962" s="10"/>
      <c r="L962" s="10"/>
      <c r="M962" s="10"/>
      <c r="N962" s="10"/>
      <c r="O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3"/>
      <c r="J963" s="10"/>
      <c r="K963" s="10"/>
      <c r="L963" s="10"/>
      <c r="M963" s="10"/>
      <c r="N963" s="10"/>
      <c r="O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3"/>
      <c r="J964" s="10"/>
      <c r="K964" s="10"/>
      <c r="L964" s="10"/>
      <c r="M964" s="10"/>
      <c r="N964" s="10"/>
      <c r="O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3"/>
      <c r="J965" s="10"/>
      <c r="K965" s="10"/>
      <c r="L965" s="10"/>
      <c r="M965" s="10"/>
      <c r="N965" s="10"/>
      <c r="O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3"/>
      <c r="J966" s="10"/>
      <c r="K966" s="10"/>
      <c r="L966" s="10"/>
      <c r="M966" s="10"/>
      <c r="N966" s="10"/>
      <c r="O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3"/>
      <c r="J967" s="10"/>
      <c r="K967" s="10"/>
      <c r="L967" s="10"/>
      <c r="M967" s="10"/>
      <c r="N967" s="10"/>
      <c r="O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3"/>
      <c r="J968" s="10"/>
      <c r="K968" s="10"/>
      <c r="L968" s="10"/>
      <c r="M968" s="10"/>
      <c r="N968" s="10"/>
      <c r="O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3"/>
      <c r="J969" s="10"/>
      <c r="K969" s="10"/>
      <c r="L969" s="10"/>
      <c r="M969" s="10"/>
      <c r="N969" s="10"/>
      <c r="O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3"/>
      <c r="J970" s="10"/>
      <c r="K970" s="10"/>
      <c r="L970" s="10"/>
      <c r="M970" s="10"/>
      <c r="N970" s="10"/>
      <c r="O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3"/>
      <c r="J971" s="10"/>
      <c r="K971" s="10"/>
      <c r="L971" s="10"/>
      <c r="M971" s="10"/>
      <c r="N971" s="10"/>
      <c r="O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3"/>
      <c r="J972" s="10"/>
      <c r="K972" s="10"/>
      <c r="L972" s="10"/>
      <c r="M972" s="10"/>
      <c r="N972" s="10"/>
      <c r="O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3"/>
      <c r="J973" s="10"/>
      <c r="K973" s="10"/>
      <c r="L973" s="10"/>
      <c r="M973" s="10"/>
      <c r="N973" s="10"/>
      <c r="O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3"/>
      <c r="J974" s="10"/>
      <c r="K974" s="10"/>
      <c r="L974" s="10"/>
      <c r="M974" s="10"/>
      <c r="N974" s="10"/>
      <c r="O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3"/>
      <c r="J975" s="10"/>
      <c r="K975" s="10"/>
      <c r="L975" s="10"/>
      <c r="M975" s="10"/>
      <c r="N975" s="10"/>
      <c r="O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3"/>
      <c r="J976" s="10"/>
      <c r="K976" s="10"/>
      <c r="L976" s="10"/>
      <c r="M976" s="10"/>
      <c r="N976" s="10"/>
      <c r="O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3"/>
      <c r="J977" s="10"/>
      <c r="K977" s="10"/>
      <c r="L977" s="10"/>
      <c r="M977" s="10"/>
      <c r="N977" s="10"/>
      <c r="O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3"/>
      <c r="J978" s="10"/>
      <c r="K978" s="10"/>
      <c r="L978" s="10"/>
      <c r="M978" s="10"/>
      <c r="N978" s="10"/>
      <c r="O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3"/>
      <c r="J979" s="10"/>
      <c r="K979" s="10"/>
      <c r="L979" s="10"/>
      <c r="M979" s="10"/>
      <c r="N979" s="10"/>
      <c r="O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3"/>
      <c r="J980" s="10"/>
      <c r="K980" s="10"/>
      <c r="L980" s="10"/>
      <c r="M980" s="10"/>
      <c r="N980" s="10"/>
      <c r="O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3"/>
      <c r="J981" s="10"/>
      <c r="K981" s="10"/>
      <c r="L981" s="10"/>
      <c r="M981" s="10"/>
      <c r="N981" s="10"/>
      <c r="O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3"/>
      <c r="J982" s="10"/>
      <c r="K982" s="10"/>
      <c r="L982" s="10"/>
      <c r="M982" s="10"/>
      <c r="N982" s="10"/>
      <c r="O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3"/>
      <c r="J983" s="10"/>
      <c r="K983" s="10"/>
      <c r="L983" s="10"/>
      <c r="M983" s="10"/>
      <c r="N983" s="10"/>
      <c r="O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3"/>
      <c r="J984" s="10"/>
      <c r="K984" s="10"/>
      <c r="L984" s="10"/>
      <c r="M984" s="10"/>
      <c r="N984" s="10"/>
      <c r="O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3"/>
      <c r="J985" s="10"/>
      <c r="K985" s="10"/>
      <c r="L985" s="10"/>
      <c r="M985" s="10"/>
      <c r="N985" s="10"/>
      <c r="O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3"/>
      <c r="J986" s="10"/>
      <c r="K986" s="10"/>
      <c r="L986" s="10"/>
      <c r="M986" s="10"/>
      <c r="N986" s="10"/>
      <c r="O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3"/>
      <c r="J987" s="10"/>
      <c r="K987" s="10"/>
      <c r="L987" s="10"/>
      <c r="M987" s="10"/>
      <c r="N987" s="10"/>
      <c r="O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3"/>
      <c r="J988" s="10"/>
      <c r="K988" s="10"/>
      <c r="L988" s="10"/>
      <c r="M988" s="10"/>
      <c r="N988" s="10"/>
      <c r="O988" s="10"/>
    </row>
    <row r="989">
      <c r="I989" s="13"/>
    </row>
    <row r="990">
      <c r="I990" s="13"/>
    </row>
    <row r="991">
      <c r="I991" s="13"/>
    </row>
    <row r="992">
      <c r="I992" s="13"/>
    </row>
    <row r="993">
      <c r="I993" s="13"/>
    </row>
    <row r="994">
      <c r="I994" s="13"/>
    </row>
    <row r="995">
      <c r="I995" s="13"/>
    </row>
    <row r="996">
      <c r="I996" s="13"/>
    </row>
    <row r="997">
      <c r="I997" s="13"/>
    </row>
    <row r="998">
      <c r="I998" s="13"/>
    </row>
    <row r="999">
      <c r="I999" s="13"/>
    </row>
    <row r="1000">
      <c r="I1000" s="13"/>
    </row>
    <row r="1001">
      <c r="I1001" s="13"/>
    </row>
    <row r="1002">
      <c r="I1002" s="13"/>
    </row>
    <row r="1003">
      <c r="I1003" s="13"/>
    </row>
  </sheetData>
  <autoFilter ref="$A$1:$AC$33">
    <sortState ref="A1:AC33">
      <sortCondition ref="A1:A33"/>
      <sortCondition ref="E1:E33"/>
    </sortState>
  </autoFilter>
  <hyperlinks>
    <hyperlink r:id="rId4" ref="C2"/>
    <hyperlink r:id="rId5" ref="I2"/>
    <hyperlink r:id="rId6" ref="J2"/>
    <hyperlink r:id="rId7" ref="K2"/>
    <hyperlink r:id="rId8" ref="N2"/>
    <hyperlink r:id="rId9" location="gid=1298254117" ref="C3"/>
    <hyperlink r:id="rId10" ref="I3"/>
    <hyperlink r:id="rId11" ref="J3"/>
    <hyperlink r:id="rId12" ref="K3"/>
    <hyperlink r:id="rId13" ref="N3"/>
    <hyperlink r:id="rId14" ref="C4"/>
    <hyperlink r:id="rId15" ref="I4"/>
    <hyperlink r:id="rId16" ref="J4"/>
    <hyperlink r:id="rId17" ref="K4"/>
    <hyperlink r:id="rId18" ref="N4"/>
    <hyperlink r:id="rId19" ref="C5"/>
    <hyperlink r:id="rId20" ref="I5"/>
    <hyperlink r:id="rId21" ref="J5"/>
    <hyperlink r:id="rId22" ref="K5"/>
    <hyperlink r:id="rId23" ref="N5"/>
    <hyperlink r:id="rId24" ref="C6"/>
    <hyperlink r:id="rId25" ref="I6"/>
    <hyperlink r:id="rId26" ref="J6"/>
    <hyperlink r:id="rId27" ref="K6"/>
    <hyperlink r:id="rId28" ref="N6"/>
    <hyperlink r:id="rId29" ref="C7"/>
    <hyperlink r:id="rId30" ref="I7"/>
    <hyperlink r:id="rId31" ref="J7"/>
    <hyperlink r:id="rId32" ref="K7"/>
    <hyperlink r:id="rId33" ref="N7"/>
    <hyperlink r:id="rId34" ref="C8"/>
    <hyperlink r:id="rId35" ref="I8"/>
    <hyperlink r:id="rId36" ref="J8"/>
    <hyperlink r:id="rId37" ref="K8"/>
    <hyperlink r:id="rId38" ref="N8"/>
    <hyperlink r:id="rId39" ref="C9"/>
    <hyperlink r:id="rId40" ref="I9"/>
    <hyperlink r:id="rId41" ref="J9"/>
    <hyperlink r:id="rId42" ref="K9"/>
    <hyperlink r:id="rId43" ref="N9"/>
    <hyperlink r:id="rId44" ref="C10"/>
    <hyperlink r:id="rId45" ref="I10"/>
    <hyperlink r:id="rId46" ref="J10"/>
    <hyperlink r:id="rId47" ref="K10"/>
    <hyperlink r:id="rId48" ref="N10"/>
    <hyperlink r:id="rId49" ref="C11"/>
    <hyperlink r:id="rId50" ref="I11"/>
    <hyperlink r:id="rId51" ref="N11"/>
    <hyperlink r:id="rId52" ref="C12"/>
    <hyperlink r:id="rId53" ref="I12"/>
    <hyperlink r:id="rId54" ref="J12"/>
    <hyperlink r:id="rId55" ref="K12"/>
    <hyperlink r:id="rId56" ref="N12"/>
    <hyperlink r:id="rId57" ref="C13"/>
    <hyperlink r:id="rId58" ref="I13"/>
    <hyperlink r:id="rId59" ref="J13"/>
    <hyperlink r:id="rId60" ref="K13"/>
    <hyperlink r:id="rId61" ref="N13"/>
    <hyperlink r:id="rId62" ref="C14"/>
    <hyperlink r:id="rId63" ref="I14"/>
    <hyperlink r:id="rId64" ref="J14"/>
    <hyperlink r:id="rId65" ref="K14"/>
    <hyperlink r:id="rId66" ref="N14"/>
    <hyperlink r:id="rId67" ref="C15"/>
    <hyperlink r:id="rId68" ref="I15"/>
    <hyperlink r:id="rId69" ref="J15"/>
    <hyperlink r:id="rId70" ref="K15"/>
    <hyperlink r:id="rId71" ref="N15"/>
    <hyperlink r:id="rId72" ref="C16"/>
    <hyperlink r:id="rId73" ref="I16"/>
    <hyperlink r:id="rId74" ref="J16"/>
    <hyperlink r:id="rId75" ref="K16"/>
    <hyperlink r:id="rId76" ref="N16"/>
    <hyperlink r:id="rId77" ref="C17"/>
    <hyperlink r:id="rId78" ref="I17"/>
    <hyperlink r:id="rId79" ref="J17"/>
    <hyperlink r:id="rId80" ref="K17"/>
    <hyperlink r:id="rId81" ref="N17"/>
    <hyperlink r:id="rId82" ref="C18"/>
    <hyperlink r:id="rId83" ref="I18"/>
    <hyperlink r:id="rId84" ref="J18"/>
    <hyperlink r:id="rId85" ref="K18"/>
    <hyperlink r:id="rId86" ref="N18"/>
    <hyperlink r:id="rId87" ref="C19"/>
    <hyperlink r:id="rId88" ref="I19"/>
    <hyperlink r:id="rId89" ref="J19"/>
    <hyperlink r:id="rId90" ref="K19"/>
    <hyperlink r:id="rId91" ref="N19"/>
    <hyperlink r:id="rId92" ref="C20"/>
    <hyperlink r:id="rId93" ref="I20"/>
    <hyperlink r:id="rId94" ref="J20"/>
    <hyperlink r:id="rId95" ref="K20"/>
    <hyperlink r:id="rId96" ref="N20"/>
    <hyperlink r:id="rId97" ref="C21"/>
    <hyperlink r:id="rId98" ref="I21"/>
    <hyperlink r:id="rId99" ref="J21"/>
    <hyperlink r:id="rId100" ref="K21"/>
    <hyperlink r:id="rId101" ref="N21"/>
    <hyperlink r:id="rId102" ref="C22"/>
    <hyperlink r:id="rId103" ref="I22"/>
    <hyperlink r:id="rId104" ref="J22"/>
    <hyperlink r:id="rId105" ref="K22"/>
    <hyperlink r:id="rId106" ref="N22"/>
    <hyperlink r:id="rId107" ref="C23"/>
    <hyperlink r:id="rId108" ref="I23"/>
    <hyperlink r:id="rId109" ref="J23"/>
    <hyperlink r:id="rId110" ref="K23"/>
    <hyperlink r:id="rId111" ref="N23"/>
    <hyperlink r:id="rId112" location="gid=249097066" ref="C24"/>
    <hyperlink r:id="rId113" ref="I24"/>
    <hyperlink r:id="rId114" ref="J24"/>
    <hyperlink r:id="rId115" ref="K24"/>
    <hyperlink r:id="rId116" ref="N24"/>
    <hyperlink r:id="rId117" location="gid=249097066" ref="C25"/>
    <hyperlink r:id="rId118" ref="I25"/>
    <hyperlink r:id="rId119" ref="J25"/>
    <hyperlink r:id="rId120" ref="K25"/>
    <hyperlink r:id="rId121" ref="N25"/>
    <hyperlink r:id="rId122" ref="C26"/>
    <hyperlink r:id="rId123" ref="I26"/>
    <hyperlink r:id="rId124" ref="J26"/>
    <hyperlink r:id="rId125" ref="K26"/>
    <hyperlink r:id="rId126" ref="N26"/>
    <hyperlink r:id="rId127" location="gid=1577199110" ref="C27"/>
    <hyperlink r:id="rId128" ref="I27"/>
    <hyperlink r:id="rId129" ref="J27"/>
    <hyperlink r:id="rId130" ref="K27"/>
    <hyperlink r:id="rId131" ref="N27"/>
    <hyperlink r:id="rId132" location="gid=679799729" ref="C28"/>
    <hyperlink r:id="rId133" ref="I28"/>
    <hyperlink r:id="rId134" ref="J28"/>
    <hyperlink r:id="rId135" ref="K28"/>
    <hyperlink r:id="rId136" ref="N28"/>
    <hyperlink r:id="rId137" location="gid=249097066" ref="C29"/>
    <hyperlink r:id="rId138" ref="I29"/>
    <hyperlink r:id="rId139" ref="J29"/>
    <hyperlink r:id="rId140" ref="K29"/>
    <hyperlink r:id="rId141" ref="N29"/>
    <hyperlink r:id="rId142" location="gid=249097066" ref="C30"/>
    <hyperlink r:id="rId143" ref="I30"/>
    <hyperlink r:id="rId144" ref="J30"/>
    <hyperlink r:id="rId145" ref="K30"/>
    <hyperlink r:id="rId146" ref="N30"/>
    <hyperlink r:id="rId147" location="gid=296291542" ref="C31"/>
    <hyperlink r:id="rId148" ref="I31"/>
    <hyperlink r:id="rId149" ref="J31"/>
    <hyperlink r:id="rId150" ref="N31"/>
    <hyperlink r:id="rId151" location="gid=75777616" ref="C32"/>
    <hyperlink r:id="rId152" ref="I32"/>
    <hyperlink r:id="rId153" ref="J32"/>
    <hyperlink r:id="rId154" ref="K32"/>
    <hyperlink r:id="rId155" ref="N32"/>
    <hyperlink r:id="rId156" ref="C33"/>
    <hyperlink r:id="rId157" ref="I33"/>
    <hyperlink r:id="rId158" ref="J33"/>
    <hyperlink r:id="rId159" ref="K33"/>
    <hyperlink r:id="rId160" ref="N33"/>
    <hyperlink r:id="rId161" ref="C34"/>
    <hyperlink r:id="rId162" ref="I34"/>
    <hyperlink r:id="rId163" ref="J34"/>
    <hyperlink r:id="rId164" ref="K34"/>
    <hyperlink r:id="rId165" ref="N34"/>
    <hyperlink r:id="rId166" ref="C35"/>
    <hyperlink r:id="rId167" ref="I35"/>
    <hyperlink r:id="rId168" ref="J35"/>
    <hyperlink r:id="rId169" ref="N35"/>
    <hyperlink r:id="rId170" ref="C36"/>
    <hyperlink r:id="rId171" ref="I36"/>
    <hyperlink r:id="rId172" ref="J36"/>
    <hyperlink r:id="rId173" ref="K36"/>
    <hyperlink r:id="rId174" ref="N36"/>
    <hyperlink r:id="rId175" ref="C37"/>
    <hyperlink r:id="rId176" ref="I37"/>
    <hyperlink r:id="rId177" ref="J37"/>
    <hyperlink r:id="rId178" ref="N37"/>
    <hyperlink r:id="rId179" ref="C38"/>
    <hyperlink r:id="rId180" ref="I38"/>
    <hyperlink r:id="rId181" ref="J38"/>
    <hyperlink r:id="rId182" ref="K38"/>
    <hyperlink r:id="rId183" ref="N38"/>
    <hyperlink r:id="rId184" ref="C39"/>
    <hyperlink r:id="rId185" ref="I39"/>
    <hyperlink r:id="rId186" ref="J39"/>
    <hyperlink r:id="rId187" ref="N39"/>
    <hyperlink r:id="rId188" ref="C40"/>
    <hyperlink r:id="rId189" ref="I40"/>
    <hyperlink r:id="rId190" ref="J40"/>
    <hyperlink r:id="rId191" ref="N40"/>
    <hyperlink r:id="rId192" ref="C41"/>
    <hyperlink r:id="rId193" ref="I41"/>
    <hyperlink r:id="rId194" ref="J41"/>
    <hyperlink r:id="rId195" ref="N41"/>
    <hyperlink r:id="rId196" ref="C42"/>
    <hyperlink r:id="rId197" ref="I42"/>
    <hyperlink r:id="rId198" ref="J42"/>
    <hyperlink r:id="rId199" ref="N42"/>
    <hyperlink r:id="rId200" ref="N43"/>
    <hyperlink r:id="rId201" ref="C44"/>
    <hyperlink r:id="rId202" ref="I44"/>
    <hyperlink r:id="rId203" ref="J44"/>
    <hyperlink r:id="rId204" ref="N44"/>
    <hyperlink r:id="rId205" ref="C45"/>
    <hyperlink r:id="rId206" ref="I45"/>
    <hyperlink r:id="rId207" ref="J45"/>
    <hyperlink r:id="rId208" ref="N45"/>
    <hyperlink r:id="rId209" ref="N46"/>
    <hyperlink r:id="rId210" ref="C47"/>
    <hyperlink r:id="rId211" ref="I47"/>
    <hyperlink r:id="rId212" ref="J47"/>
    <hyperlink r:id="rId213" ref="N47"/>
    <hyperlink r:id="rId214" ref="C48"/>
    <hyperlink r:id="rId215" ref="I48"/>
    <hyperlink r:id="rId216" ref="J48"/>
    <hyperlink r:id="rId217" ref="N48"/>
    <hyperlink r:id="rId218" ref="C49"/>
    <hyperlink r:id="rId219" ref="I49"/>
    <hyperlink r:id="rId220" ref="J49"/>
    <hyperlink r:id="rId221" ref="N49"/>
    <hyperlink r:id="rId222" ref="C50"/>
    <hyperlink r:id="rId223" ref="I50"/>
    <hyperlink r:id="rId224" ref="J50"/>
    <hyperlink r:id="rId225" ref="N50"/>
    <hyperlink r:id="rId226" ref="C51"/>
    <hyperlink r:id="rId227" ref="I51"/>
    <hyperlink r:id="rId228" ref="J51"/>
    <hyperlink r:id="rId229" ref="N51"/>
    <hyperlink r:id="rId230" ref="N52"/>
    <hyperlink r:id="rId231" ref="C53"/>
    <hyperlink r:id="rId232" ref="I53"/>
    <hyperlink r:id="rId233" ref="J53"/>
    <hyperlink r:id="rId234" ref="N53"/>
    <hyperlink r:id="rId235" ref="C54"/>
    <hyperlink r:id="rId236" ref="I54"/>
    <hyperlink r:id="rId237" ref="J54"/>
    <hyperlink r:id="rId238" ref="N54"/>
    <hyperlink r:id="rId239" location="gid=1577199110" ref="C55"/>
    <hyperlink r:id="rId240" ref="I55"/>
    <hyperlink r:id="rId241" ref="J55"/>
    <hyperlink r:id="rId242" ref="N55"/>
    <hyperlink r:id="rId243" ref="C56"/>
    <hyperlink r:id="rId244" ref="I56"/>
    <hyperlink r:id="rId245" ref="J56"/>
    <hyperlink r:id="rId246" ref="N56"/>
    <hyperlink r:id="rId247" ref="C57"/>
    <hyperlink r:id="rId248" ref="I57"/>
    <hyperlink r:id="rId249" ref="J57"/>
    <hyperlink r:id="rId250" ref="N57"/>
    <hyperlink r:id="rId251" ref="C58"/>
    <hyperlink r:id="rId252" ref="I58"/>
    <hyperlink r:id="rId253" ref="J58"/>
    <hyperlink r:id="rId254" ref="N58"/>
  </hyperlinks>
  <drawing r:id="rId255"/>
  <legacyDrawing r:id="rId25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3" max="3" width="13.38"/>
    <col customWidth="1" min="4" max="4" width="17.0"/>
    <col customWidth="1" hidden="1" min="5" max="5" width="13.63"/>
    <col hidden="1" min="6" max="6" width="12.63"/>
  </cols>
  <sheetData>
    <row r="1">
      <c r="A1" s="18" t="s">
        <v>3779</v>
      </c>
      <c r="B1" s="18" t="s">
        <v>3780</v>
      </c>
      <c r="C1" s="18" t="s">
        <v>3781</v>
      </c>
      <c r="D1" s="18" t="s">
        <v>3782</v>
      </c>
      <c r="E1" s="18" t="s">
        <v>3783</v>
      </c>
      <c r="F1" s="39" t="s">
        <v>3784</v>
      </c>
    </row>
    <row r="2">
      <c r="A2" s="10" t="s">
        <v>154</v>
      </c>
      <c r="B2" s="13">
        <v>44090.0</v>
      </c>
      <c r="C2" s="40">
        <v>4.67945205479452</v>
      </c>
      <c r="D2" s="41">
        <v>1.1255088100000001</v>
      </c>
      <c r="E2" s="10">
        <v>1.3</v>
      </c>
      <c r="F2" s="40">
        <f t="shared" ref="F2:F24" si="1">E2/D2</f>
        <v>1.155033162</v>
      </c>
    </row>
    <row r="3">
      <c r="A3" s="10" t="s">
        <v>148</v>
      </c>
      <c r="B3" s="13">
        <v>44130.0</v>
      </c>
      <c r="C3" s="40">
        <v>4.5698630136986305</v>
      </c>
      <c r="D3" s="41">
        <v>1.1255088100000001</v>
      </c>
      <c r="E3" s="18">
        <v>0.8</v>
      </c>
      <c r="F3" s="40">
        <f t="shared" si="1"/>
        <v>0.7107896383</v>
      </c>
    </row>
    <row r="4">
      <c r="A4" s="10" t="s">
        <v>145</v>
      </c>
      <c r="B4" s="13">
        <v>44168.0</v>
      </c>
      <c r="C4" s="40">
        <v>4.465753424657534</v>
      </c>
      <c r="D4" s="41">
        <v>1.1255088100000001</v>
      </c>
      <c r="E4" s="10">
        <v>1.05</v>
      </c>
      <c r="F4" s="40">
        <f t="shared" si="1"/>
        <v>0.9329114003</v>
      </c>
    </row>
    <row r="5">
      <c r="A5" s="10" t="s">
        <v>158</v>
      </c>
      <c r="B5" s="13">
        <v>44270.0</v>
      </c>
      <c r="C5" s="40">
        <v>4.186301369863013</v>
      </c>
      <c r="D5" s="41">
        <v>1.1255088100000001</v>
      </c>
      <c r="E5" s="10">
        <v>0.8</v>
      </c>
      <c r="F5" s="40">
        <f t="shared" si="1"/>
        <v>0.7107896383</v>
      </c>
    </row>
    <row r="6">
      <c r="A6" s="10" t="s">
        <v>225</v>
      </c>
      <c r="B6" s="13">
        <v>44356.0</v>
      </c>
      <c r="C6" s="40">
        <v>3.9506849315068493</v>
      </c>
      <c r="D6" s="41">
        <v>1.1255088100000001</v>
      </c>
      <c r="E6" s="10">
        <v>1.25</v>
      </c>
      <c r="F6" s="40">
        <f t="shared" si="1"/>
        <v>1.11060881</v>
      </c>
    </row>
    <row r="7">
      <c r="A7" s="10" t="s">
        <v>112</v>
      </c>
      <c r="B7" s="13">
        <v>44642.0</v>
      </c>
      <c r="C7" s="40">
        <v>3.1671232876712327</v>
      </c>
      <c r="D7" s="41">
        <v>1.092727</v>
      </c>
      <c r="E7" s="10">
        <v>1.35</v>
      </c>
      <c r="F7" s="40">
        <f t="shared" si="1"/>
        <v>1.23544124</v>
      </c>
    </row>
    <row r="8">
      <c r="A8" s="10" t="s">
        <v>171</v>
      </c>
      <c r="B8" s="13">
        <v>44788.0</v>
      </c>
      <c r="C8" s="40">
        <v>2.767123287671233</v>
      </c>
      <c r="D8" s="41">
        <v>1.0609</v>
      </c>
      <c r="E8" s="10">
        <v>1.15</v>
      </c>
      <c r="F8" s="40">
        <f t="shared" si="1"/>
        <v>1.083985296</v>
      </c>
    </row>
    <row r="9">
      <c r="A9" s="10" t="s">
        <v>138</v>
      </c>
      <c r="B9" s="13">
        <v>44805.0</v>
      </c>
      <c r="C9" s="40">
        <v>2.7205479452054795</v>
      </c>
      <c r="D9" s="41">
        <v>1.0609</v>
      </c>
      <c r="E9" s="10">
        <v>1.3</v>
      </c>
      <c r="F9" s="40">
        <f t="shared" si="1"/>
        <v>1.225374682</v>
      </c>
    </row>
    <row r="10">
      <c r="A10" s="10" t="s">
        <v>35</v>
      </c>
      <c r="B10" s="13">
        <v>44910.0</v>
      </c>
      <c r="C10" s="40">
        <v>2.4328767123287673</v>
      </c>
      <c r="D10" s="41">
        <v>1.0609</v>
      </c>
      <c r="E10" s="10">
        <v>1.35</v>
      </c>
      <c r="F10" s="40">
        <f t="shared" si="1"/>
        <v>1.272504477</v>
      </c>
    </row>
    <row r="11">
      <c r="A11" s="10" t="s">
        <v>216</v>
      </c>
      <c r="B11" s="13">
        <v>44927.0</v>
      </c>
      <c r="C11" s="40">
        <v>2.3863013698630136</v>
      </c>
      <c r="D11" s="41">
        <v>1.0609</v>
      </c>
      <c r="E11" s="10">
        <v>1.35</v>
      </c>
      <c r="F11" s="40">
        <f t="shared" si="1"/>
        <v>1.272504477</v>
      </c>
    </row>
    <row r="12">
      <c r="A12" s="10" t="s">
        <v>282</v>
      </c>
      <c r="B12" s="13">
        <v>44941.0</v>
      </c>
      <c r="C12" s="40">
        <v>2.347945205479452</v>
      </c>
      <c r="D12" s="41">
        <v>1.0609</v>
      </c>
      <c r="E12" s="10">
        <v>1.15</v>
      </c>
      <c r="F12" s="40">
        <f t="shared" si="1"/>
        <v>1.083985296</v>
      </c>
    </row>
    <row r="13">
      <c r="A13" s="10" t="s">
        <v>630</v>
      </c>
      <c r="B13" s="13">
        <v>44986.0</v>
      </c>
      <c r="C13" s="40">
        <v>2.2246575342465755</v>
      </c>
      <c r="D13" s="41">
        <v>1.0609</v>
      </c>
      <c r="E13" s="10">
        <v>1.1</v>
      </c>
      <c r="F13" s="40">
        <f t="shared" si="1"/>
        <v>1.0368555</v>
      </c>
    </row>
    <row r="14">
      <c r="A14" s="10" t="s">
        <v>912</v>
      </c>
      <c r="B14" s="13">
        <v>44986.0</v>
      </c>
      <c r="C14" s="40">
        <v>2.2246575342465755</v>
      </c>
      <c r="D14" s="41">
        <v>1.0609</v>
      </c>
      <c r="E14" s="10">
        <v>1.15</v>
      </c>
      <c r="F14" s="40">
        <f t="shared" si="1"/>
        <v>1.083985296</v>
      </c>
    </row>
    <row r="15">
      <c r="A15" s="10" t="s">
        <v>801</v>
      </c>
      <c r="B15" s="13">
        <v>45031.0</v>
      </c>
      <c r="C15" s="40">
        <v>2.1013698630136988</v>
      </c>
      <c r="D15" s="41">
        <v>1.0609</v>
      </c>
      <c r="E15" s="10">
        <v>1.1</v>
      </c>
      <c r="F15" s="40">
        <f t="shared" si="1"/>
        <v>1.0368555</v>
      </c>
    </row>
    <row r="16">
      <c r="A16" s="18" t="s">
        <v>210</v>
      </c>
      <c r="B16" s="13">
        <v>45078.0</v>
      </c>
      <c r="C16" s="40">
        <v>1.9726027397260273</v>
      </c>
      <c r="D16" s="41">
        <v>1.0609</v>
      </c>
      <c r="E16" s="10">
        <v>1.2</v>
      </c>
      <c r="F16" s="40">
        <f t="shared" si="1"/>
        <v>1.131115091</v>
      </c>
    </row>
    <row r="17">
      <c r="A17" s="10" t="s">
        <v>201</v>
      </c>
      <c r="B17" s="13">
        <v>45092.0</v>
      </c>
      <c r="C17" s="40">
        <v>1.9342465753424658</v>
      </c>
      <c r="D17" s="41">
        <v>1.0609</v>
      </c>
      <c r="E17" s="10">
        <v>1.2</v>
      </c>
      <c r="F17" s="40">
        <f t="shared" si="1"/>
        <v>1.131115091</v>
      </c>
    </row>
    <row r="18">
      <c r="A18" s="10" t="s">
        <v>165</v>
      </c>
      <c r="B18" s="13">
        <v>45170.0</v>
      </c>
      <c r="C18" s="40">
        <v>1.7205479452054795</v>
      </c>
      <c r="D18" s="41">
        <v>1.03</v>
      </c>
      <c r="E18" s="10">
        <v>1.2</v>
      </c>
      <c r="F18" s="40">
        <f t="shared" si="1"/>
        <v>1.165048544</v>
      </c>
    </row>
    <row r="19">
      <c r="A19" s="10" t="s">
        <v>364</v>
      </c>
      <c r="B19" s="13">
        <v>45170.0</v>
      </c>
      <c r="C19" s="40">
        <v>1.7205479452054795</v>
      </c>
      <c r="D19" s="41">
        <v>1.03</v>
      </c>
      <c r="E19" s="10">
        <v>1.2</v>
      </c>
      <c r="F19" s="40">
        <f t="shared" si="1"/>
        <v>1.165048544</v>
      </c>
    </row>
    <row r="20">
      <c r="A20" s="10" t="s">
        <v>49</v>
      </c>
      <c r="B20" s="13">
        <v>45215.0</v>
      </c>
      <c r="C20" s="40">
        <v>1.5972602739726027</v>
      </c>
      <c r="D20" s="41">
        <v>1.03</v>
      </c>
      <c r="E20" s="10">
        <v>1.15</v>
      </c>
      <c r="F20" s="40">
        <f t="shared" si="1"/>
        <v>1.116504854</v>
      </c>
    </row>
    <row r="21">
      <c r="A21" s="10" t="s">
        <v>132</v>
      </c>
      <c r="B21" s="13">
        <v>45311.0</v>
      </c>
      <c r="C21" s="40">
        <v>1.3342465753424657</v>
      </c>
      <c r="D21" s="41">
        <v>1.03</v>
      </c>
      <c r="E21" s="10">
        <v>0.8</v>
      </c>
      <c r="F21" s="40">
        <f t="shared" si="1"/>
        <v>0.7766990291</v>
      </c>
    </row>
    <row r="22">
      <c r="A22" s="18" t="s">
        <v>485</v>
      </c>
      <c r="B22" s="13">
        <v>45313.0</v>
      </c>
      <c r="C22" s="40">
        <v>1.3287671232876712</v>
      </c>
      <c r="D22" s="41">
        <v>1.03</v>
      </c>
      <c r="E22" s="10">
        <v>1.1</v>
      </c>
      <c r="F22" s="40">
        <f t="shared" si="1"/>
        <v>1.067961165</v>
      </c>
    </row>
    <row r="23">
      <c r="A23" s="18" t="s">
        <v>125</v>
      </c>
      <c r="B23" s="13">
        <v>45322.0</v>
      </c>
      <c r="C23" s="40">
        <v>1.3041095890410959</v>
      </c>
      <c r="D23" s="41">
        <v>1.03</v>
      </c>
      <c r="E23" s="10">
        <v>0.85</v>
      </c>
      <c r="F23" s="40">
        <f t="shared" si="1"/>
        <v>0.8252427184</v>
      </c>
    </row>
    <row r="24">
      <c r="A24" s="10" t="s">
        <v>191</v>
      </c>
      <c r="B24" s="13">
        <v>45337.0</v>
      </c>
      <c r="C24" s="40">
        <v>1.263013698630137</v>
      </c>
      <c r="D24" s="41">
        <v>1.03</v>
      </c>
      <c r="E24" s="10">
        <v>1.25</v>
      </c>
      <c r="F24" s="40">
        <f t="shared" si="1"/>
        <v>1.213592233</v>
      </c>
    </row>
    <row r="25">
      <c r="B25" s="13"/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A34" s="10" t="s">
        <v>34</v>
      </c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31.13"/>
    <col customWidth="1" min="3" max="3" width="20.0"/>
    <col customWidth="1" min="4" max="4" width="17.63"/>
    <col customWidth="1" min="5" max="5" width="19.13"/>
  </cols>
  <sheetData>
    <row r="1">
      <c r="A1" s="17" t="s">
        <v>3785</v>
      </c>
      <c r="B1" s="17" t="s">
        <v>18</v>
      </c>
      <c r="C1" s="17" t="s">
        <v>3786</v>
      </c>
      <c r="D1" s="17" t="s">
        <v>3787</v>
      </c>
      <c r="E1" s="17" t="s">
        <v>3788</v>
      </c>
    </row>
    <row r="2">
      <c r="A2" s="18" t="s">
        <v>3789</v>
      </c>
      <c r="B2" s="18" t="s">
        <v>3790</v>
      </c>
      <c r="C2" s="18" t="s">
        <v>3791</v>
      </c>
      <c r="D2" s="18"/>
      <c r="E2" s="18">
        <v>0.0</v>
      </c>
    </row>
    <row r="3">
      <c r="A3" s="18" t="s">
        <v>3789</v>
      </c>
      <c r="B3" s="18" t="s">
        <v>3792</v>
      </c>
      <c r="C3" s="18" t="s">
        <v>3793</v>
      </c>
      <c r="D3" s="18"/>
      <c r="E3" s="18">
        <v>0.0</v>
      </c>
    </row>
    <row r="4">
      <c r="A4" s="18" t="s">
        <v>3794</v>
      </c>
      <c r="B4" s="18" t="s">
        <v>3795</v>
      </c>
      <c r="C4" s="18" t="s">
        <v>3796</v>
      </c>
      <c r="D4" s="18"/>
      <c r="E4" s="18">
        <v>0.0</v>
      </c>
    </row>
    <row r="5">
      <c r="A5" s="18" t="s">
        <v>3794</v>
      </c>
      <c r="B5" s="18" t="s">
        <v>3797</v>
      </c>
      <c r="C5" s="18" t="s">
        <v>3798</v>
      </c>
      <c r="D5" s="18"/>
      <c r="E5" s="18">
        <v>0.0</v>
      </c>
    </row>
    <row r="6">
      <c r="A6" s="18" t="s">
        <v>3794</v>
      </c>
      <c r="B6" s="18" t="s">
        <v>3799</v>
      </c>
      <c r="C6" s="18" t="s">
        <v>3800</v>
      </c>
      <c r="D6" s="18"/>
      <c r="E6" s="18">
        <v>0.0</v>
      </c>
    </row>
    <row r="7">
      <c r="A7" s="18" t="s">
        <v>3794</v>
      </c>
      <c r="B7" s="18" t="s">
        <v>3801</v>
      </c>
      <c r="C7" s="18" t="s">
        <v>3802</v>
      </c>
      <c r="D7" s="18"/>
      <c r="E7" s="18">
        <v>0.0</v>
      </c>
    </row>
    <row r="8">
      <c r="A8" s="18" t="s">
        <v>3794</v>
      </c>
      <c r="B8" s="18" t="s">
        <v>3803</v>
      </c>
      <c r="C8" s="18" t="s">
        <v>3804</v>
      </c>
      <c r="D8" s="18"/>
      <c r="E8" s="18">
        <v>0.0</v>
      </c>
    </row>
    <row r="9">
      <c r="A9" s="18" t="s">
        <v>3794</v>
      </c>
      <c r="B9" s="18" t="s">
        <v>3805</v>
      </c>
      <c r="C9" s="18" t="s">
        <v>3806</v>
      </c>
      <c r="D9" s="18"/>
      <c r="E9" s="18">
        <v>0.0</v>
      </c>
    </row>
    <row r="10">
      <c r="A10" s="18" t="s">
        <v>3794</v>
      </c>
      <c r="B10" s="18" t="s">
        <v>3807</v>
      </c>
      <c r="C10" s="18" t="s">
        <v>3808</v>
      </c>
      <c r="D10" s="18"/>
      <c r="E10" s="18">
        <v>0.0</v>
      </c>
    </row>
    <row r="11">
      <c r="A11" s="18" t="s">
        <v>3794</v>
      </c>
      <c r="B11" s="18" t="s">
        <v>3809</v>
      </c>
      <c r="C11" s="18" t="s">
        <v>3810</v>
      </c>
      <c r="D11" s="18"/>
      <c r="E11" s="18">
        <v>0.0</v>
      </c>
    </row>
    <row r="12">
      <c r="A12" s="18" t="s">
        <v>3789</v>
      </c>
      <c r="B12" s="18" t="s">
        <v>3811</v>
      </c>
      <c r="C12" s="18" t="s">
        <v>3812</v>
      </c>
      <c r="D12" s="18">
        <v>1.0</v>
      </c>
      <c r="E12" s="18">
        <v>21.0</v>
      </c>
    </row>
    <row r="13">
      <c r="A13" s="18" t="s">
        <v>3789</v>
      </c>
      <c r="B13" s="18" t="s">
        <v>3813</v>
      </c>
      <c r="C13" s="18" t="s">
        <v>3814</v>
      </c>
      <c r="D13" s="18">
        <v>1.2</v>
      </c>
      <c r="E13" s="18">
        <v>23.0</v>
      </c>
    </row>
    <row r="14">
      <c r="A14" s="18" t="s">
        <v>3815</v>
      </c>
      <c r="B14" s="18" t="s">
        <v>3816</v>
      </c>
      <c r="C14" s="18" t="s">
        <v>3817</v>
      </c>
      <c r="D14" s="18">
        <v>1.15</v>
      </c>
      <c r="E14" s="18">
        <v>16.0</v>
      </c>
    </row>
    <row r="15">
      <c r="A15" s="18" t="s">
        <v>3789</v>
      </c>
      <c r="B15" s="18" t="s">
        <v>3818</v>
      </c>
      <c r="C15" s="18" t="s">
        <v>3819</v>
      </c>
      <c r="D15" s="18">
        <v>1.0</v>
      </c>
      <c r="E15" s="18">
        <v>0.0</v>
      </c>
    </row>
    <row r="16">
      <c r="A16" s="18" t="s">
        <v>3794</v>
      </c>
      <c r="B16" s="18" t="s">
        <v>138</v>
      </c>
      <c r="C16" s="18" t="s">
        <v>3820</v>
      </c>
      <c r="D16" s="18">
        <v>1.45</v>
      </c>
      <c r="E16" s="18">
        <v>34.0</v>
      </c>
    </row>
    <row r="17">
      <c r="A17" s="18" t="s">
        <v>3794</v>
      </c>
      <c r="B17" s="18" t="s">
        <v>3821</v>
      </c>
      <c r="C17" s="18" t="s">
        <v>3822</v>
      </c>
      <c r="D17" s="18">
        <v>1.1</v>
      </c>
      <c r="E17" s="18">
        <v>0.0</v>
      </c>
    </row>
    <row r="18">
      <c r="A18" s="18" t="s">
        <v>3789</v>
      </c>
      <c r="B18" s="18" t="s">
        <v>3823</v>
      </c>
      <c r="C18" s="18" t="s">
        <v>3824</v>
      </c>
      <c r="D18" s="18"/>
      <c r="E18" s="18">
        <v>21.0</v>
      </c>
    </row>
    <row r="19">
      <c r="A19" s="18" t="s">
        <v>3794</v>
      </c>
      <c r="B19" s="18" t="s">
        <v>1238</v>
      </c>
      <c r="C19" s="18" t="s">
        <v>3825</v>
      </c>
      <c r="D19" s="18">
        <v>1.3</v>
      </c>
      <c r="E19" s="18">
        <v>23.0</v>
      </c>
    </row>
    <row r="20">
      <c r="A20" s="18" t="s">
        <v>3794</v>
      </c>
      <c r="B20" s="18" t="s">
        <v>43</v>
      </c>
      <c r="C20" s="18" t="s">
        <v>3826</v>
      </c>
      <c r="D20" s="18">
        <v>1.2</v>
      </c>
      <c r="E20" s="18">
        <v>18.0</v>
      </c>
    </row>
    <row r="21">
      <c r="A21" s="18" t="s">
        <v>3815</v>
      </c>
      <c r="B21" s="18" t="s">
        <v>3827</v>
      </c>
      <c r="C21" s="18" t="s">
        <v>3828</v>
      </c>
      <c r="D21" s="18"/>
      <c r="E21" s="18">
        <v>11.0</v>
      </c>
    </row>
    <row r="22">
      <c r="A22" s="18" t="s">
        <v>3815</v>
      </c>
      <c r="B22" s="18" t="s">
        <v>3829</v>
      </c>
      <c r="C22" s="18" t="s">
        <v>3830</v>
      </c>
      <c r="D22" s="18">
        <v>1.15</v>
      </c>
      <c r="E22" s="18">
        <v>24.0</v>
      </c>
    </row>
    <row r="23">
      <c r="A23" s="18" t="s">
        <v>3794</v>
      </c>
      <c r="B23" s="18" t="s">
        <v>201</v>
      </c>
      <c r="C23" s="18" t="s">
        <v>3831</v>
      </c>
      <c r="D23" s="18">
        <v>1.2</v>
      </c>
      <c r="E23" s="18">
        <v>24.0</v>
      </c>
    </row>
    <row r="24">
      <c r="A24" s="18" t="s">
        <v>3794</v>
      </c>
      <c r="B24" s="18" t="s">
        <v>3007</v>
      </c>
      <c r="C24" s="18" t="s">
        <v>3832</v>
      </c>
      <c r="D24" s="18">
        <v>1.0</v>
      </c>
      <c r="E24" s="18">
        <v>18.0</v>
      </c>
    </row>
    <row r="25">
      <c r="A25" s="18" t="s">
        <v>3794</v>
      </c>
      <c r="B25" s="18" t="s">
        <v>49</v>
      </c>
      <c r="C25" s="18" t="s">
        <v>3833</v>
      </c>
      <c r="D25" s="18">
        <v>1.15</v>
      </c>
      <c r="E25" s="18">
        <v>27.0</v>
      </c>
    </row>
    <row r="26">
      <c r="A26" s="18" t="s">
        <v>3815</v>
      </c>
      <c r="B26" s="18" t="s">
        <v>3834</v>
      </c>
      <c r="C26" s="18" t="s">
        <v>3835</v>
      </c>
      <c r="D26" s="18">
        <v>1.3</v>
      </c>
      <c r="E26" s="18">
        <v>11.0</v>
      </c>
    </row>
    <row r="27">
      <c r="A27" s="18" t="s">
        <v>3789</v>
      </c>
      <c r="B27" s="18" t="s">
        <v>3836</v>
      </c>
      <c r="C27" s="18" t="s">
        <v>3837</v>
      </c>
      <c r="D27" s="18">
        <v>1.2</v>
      </c>
      <c r="E27" s="18">
        <v>20.0</v>
      </c>
    </row>
    <row r="28">
      <c r="A28" s="18" t="s">
        <v>3815</v>
      </c>
      <c r="B28" s="18" t="s">
        <v>3838</v>
      </c>
      <c r="C28" s="18" t="s">
        <v>3839</v>
      </c>
      <c r="D28" s="18">
        <v>1.15</v>
      </c>
      <c r="E28" s="18">
        <v>27.0</v>
      </c>
    </row>
    <row r="29">
      <c r="A29" s="18" t="s">
        <v>3815</v>
      </c>
      <c r="B29" s="18" t="s">
        <v>3840</v>
      </c>
      <c r="C29" s="18" t="s">
        <v>3841</v>
      </c>
      <c r="D29" s="18">
        <v>1.0</v>
      </c>
      <c r="E29" s="18">
        <v>12.0</v>
      </c>
    </row>
    <row r="30">
      <c r="A30" s="18" t="s">
        <v>3815</v>
      </c>
      <c r="B30" s="18" t="s">
        <v>3842</v>
      </c>
      <c r="C30" s="18" t="s">
        <v>3843</v>
      </c>
      <c r="D30" s="18">
        <v>1.2</v>
      </c>
      <c r="E30" s="18">
        <v>13.0</v>
      </c>
    </row>
    <row r="31">
      <c r="A31" s="18" t="s">
        <v>3789</v>
      </c>
      <c r="B31" s="18" t="s">
        <v>3844</v>
      </c>
      <c r="C31" s="18" t="s">
        <v>3845</v>
      </c>
      <c r="D31" s="18">
        <v>1.2</v>
      </c>
      <c r="E31" s="18">
        <v>11.0</v>
      </c>
    </row>
    <row r="32">
      <c r="A32" s="18" t="s">
        <v>3815</v>
      </c>
      <c r="B32" s="18" t="s">
        <v>3846</v>
      </c>
      <c r="C32" s="18" t="s">
        <v>3847</v>
      </c>
      <c r="D32" s="18">
        <v>1.0</v>
      </c>
      <c r="E32" s="18">
        <v>14.0</v>
      </c>
    </row>
    <row r="33">
      <c r="A33" s="18" t="s">
        <v>3815</v>
      </c>
      <c r="B33" s="18" t="s">
        <v>3848</v>
      </c>
      <c r="C33" s="18" t="s">
        <v>3849</v>
      </c>
      <c r="D33" s="18">
        <v>1.2</v>
      </c>
      <c r="E33" s="18">
        <v>14.0</v>
      </c>
    </row>
    <row r="34">
      <c r="A34" s="18" t="s">
        <v>3794</v>
      </c>
      <c r="B34" s="18" t="s">
        <v>158</v>
      </c>
      <c r="C34" s="18" t="s">
        <v>3850</v>
      </c>
      <c r="D34" s="18">
        <v>1.0</v>
      </c>
      <c r="E34" s="18">
        <v>38.0</v>
      </c>
    </row>
    <row r="35">
      <c r="A35" s="18" t="s">
        <v>3789</v>
      </c>
      <c r="B35" s="18" t="s">
        <v>3851</v>
      </c>
      <c r="C35" s="18" t="s">
        <v>3852</v>
      </c>
      <c r="D35" s="18"/>
      <c r="E35" s="18">
        <v>23.0</v>
      </c>
    </row>
    <row r="36">
      <c r="A36" s="18" t="s">
        <v>3815</v>
      </c>
      <c r="B36" s="18" t="s">
        <v>3853</v>
      </c>
      <c r="C36" s="18" t="s">
        <v>3854</v>
      </c>
      <c r="D36" s="18"/>
      <c r="E36" s="18">
        <v>40.0</v>
      </c>
    </row>
    <row r="37">
      <c r="A37" s="18" t="s">
        <v>3794</v>
      </c>
      <c r="B37" s="18" t="s">
        <v>3855</v>
      </c>
      <c r="C37" s="18" t="s">
        <v>3856</v>
      </c>
      <c r="D37" s="18"/>
      <c r="E37" s="18">
        <v>0.0</v>
      </c>
    </row>
    <row r="38">
      <c r="A38" s="18" t="s">
        <v>3794</v>
      </c>
      <c r="B38" s="18" t="s">
        <v>3857</v>
      </c>
      <c r="C38" s="18" t="s">
        <v>3858</v>
      </c>
      <c r="D38" s="18"/>
      <c r="E38" s="18">
        <v>0.0</v>
      </c>
    </row>
    <row r="39">
      <c r="A39" s="18" t="s">
        <v>3794</v>
      </c>
      <c r="B39" s="18" t="s">
        <v>3859</v>
      </c>
      <c r="C39" s="18" t="s">
        <v>3860</v>
      </c>
      <c r="D39" s="18"/>
      <c r="E39" s="18">
        <v>0.0</v>
      </c>
    </row>
    <row r="40">
      <c r="A40" s="18" t="s">
        <v>3794</v>
      </c>
      <c r="B40" s="18" t="s">
        <v>1596</v>
      </c>
      <c r="C40" s="18" t="s">
        <v>3861</v>
      </c>
      <c r="D40" s="18">
        <v>1.05</v>
      </c>
      <c r="E40" s="18">
        <v>13.0</v>
      </c>
    </row>
    <row r="41">
      <c r="A41" s="18" t="s">
        <v>3815</v>
      </c>
      <c r="B41" s="18" t="s">
        <v>3862</v>
      </c>
      <c r="C41" s="18" t="s">
        <v>3863</v>
      </c>
      <c r="D41" s="18">
        <v>1.0</v>
      </c>
      <c r="E41" s="18">
        <v>12.0</v>
      </c>
    </row>
    <row r="42">
      <c r="A42" s="18" t="s">
        <v>3794</v>
      </c>
      <c r="B42" s="18" t="s">
        <v>58</v>
      </c>
      <c r="C42" s="18" t="s">
        <v>3864</v>
      </c>
      <c r="D42" s="18">
        <v>1.0</v>
      </c>
      <c r="E42" s="18">
        <v>0.0</v>
      </c>
    </row>
    <row r="43">
      <c r="A43" s="18" t="s">
        <v>3789</v>
      </c>
      <c r="B43" s="18" t="s">
        <v>3865</v>
      </c>
      <c r="C43" s="18" t="s">
        <v>3866</v>
      </c>
      <c r="D43" s="18">
        <v>1.0</v>
      </c>
      <c r="E43" s="18">
        <v>16.0</v>
      </c>
    </row>
    <row r="44">
      <c r="A44" s="18" t="s">
        <v>3794</v>
      </c>
      <c r="B44" s="18" t="s">
        <v>210</v>
      </c>
      <c r="C44" s="18" t="s">
        <v>3867</v>
      </c>
      <c r="D44" s="18">
        <v>1.3</v>
      </c>
      <c r="E44" s="18">
        <v>25.0</v>
      </c>
    </row>
    <row r="45">
      <c r="A45" s="18" t="s">
        <v>3789</v>
      </c>
      <c r="B45" s="18" t="s">
        <v>3868</v>
      </c>
      <c r="C45" s="18" t="s">
        <v>3869</v>
      </c>
      <c r="D45" s="18">
        <v>1.0</v>
      </c>
      <c r="E45" s="18">
        <v>16.0</v>
      </c>
    </row>
    <row r="46">
      <c r="A46" s="18" t="s">
        <v>3789</v>
      </c>
      <c r="B46" s="18" t="s">
        <v>3870</v>
      </c>
      <c r="C46" s="18" t="s">
        <v>3871</v>
      </c>
      <c r="D46" s="18">
        <v>1.0</v>
      </c>
      <c r="E46" s="18">
        <v>24.0</v>
      </c>
    </row>
    <row r="47">
      <c r="A47" s="18" t="s">
        <v>3794</v>
      </c>
      <c r="B47" s="18" t="s">
        <v>132</v>
      </c>
      <c r="C47" s="18" t="s">
        <v>3872</v>
      </c>
      <c r="D47" s="18">
        <v>0.8</v>
      </c>
      <c r="E47" s="18">
        <v>20.0</v>
      </c>
    </row>
    <row r="48">
      <c r="A48" s="18" t="s">
        <v>3789</v>
      </c>
      <c r="B48" s="18" t="s">
        <v>3873</v>
      </c>
      <c r="C48" s="18" t="s">
        <v>3874</v>
      </c>
      <c r="D48" s="18">
        <v>1.2</v>
      </c>
      <c r="E48" s="18">
        <v>16.0</v>
      </c>
    </row>
    <row r="49">
      <c r="A49" s="18" t="s">
        <v>3794</v>
      </c>
      <c r="B49" s="18" t="s">
        <v>191</v>
      </c>
      <c r="C49" s="18" t="s">
        <v>3875</v>
      </c>
      <c r="D49" s="18">
        <v>1.3</v>
      </c>
      <c r="E49" s="18">
        <v>20.0</v>
      </c>
    </row>
    <row r="50">
      <c r="A50" s="18" t="s">
        <v>3815</v>
      </c>
      <c r="B50" s="18" t="s">
        <v>3876</v>
      </c>
      <c r="C50" s="18" t="s">
        <v>3877</v>
      </c>
      <c r="D50" s="18">
        <v>1.15</v>
      </c>
      <c r="E50" s="18">
        <v>14.0</v>
      </c>
    </row>
    <row r="51">
      <c r="A51" s="18" t="s">
        <v>3789</v>
      </c>
      <c r="B51" s="18" t="s">
        <v>3878</v>
      </c>
      <c r="C51" s="18" t="s">
        <v>3879</v>
      </c>
      <c r="D51" s="18">
        <v>1.0</v>
      </c>
      <c r="E51" s="18">
        <v>0.0</v>
      </c>
    </row>
    <row r="52">
      <c r="A52" s="18" t="s">
        <v>3794</v>
      </c>
      <c r="B52" s="18" t="s">
        <v>485</v>
      </c>
      <c r="C52" s="18" t="s">
        <v>3880</v>
      </c>
      <c r="D52" s="18">
        <v>1.1</v>
      </c>
      <c r="E52" s="18">
        <v>21.0</v>
      </c>
    </row>
    <row r="53">
      <c r="A53" s="18" t="s">
        <v>3789</v>
      </c>
      <c r="B53" s="18" t="s">
        <v>3881</v>
      </c>
      <c r="C53" s="18" t="s">
        <v>3882</v>
      </c>
      <c r="D53" s="18">
        <v>1.0</v>
      </c>
      <c r="E53" s="18">
        <v>10.0</v>
      </c>
    </row>
    <row r="54">
      <c r="A54" s="18" t="s">
        <v>3794</v>
      </c>
      <c r="B54" s="18" t="s">
        <v>225</v>
      </c>
      <c r="C54" s="18" t="s">
        <v>3883</v>
      </c>
      <c r="D54" s="18">
        <v>1.3</v>
      </c>
      <c r="E54" s="18">
        <v>24.0</v>
      </c>
    </row>
    <row r="55">
      <c r="A55" s="18" t="s">
        <v>3789</v>
      </c>
      <c r="B55" s="18" t="s">
        <v>3884</v>
      </c>
      <c r="C55" s="18" t="s">
        <v>3885</v>
      </c>
      <c r="D55" s="18">
        <v>1.2</v>
      </c>
      <c r="E55" s="18">
        <v>36.0</v>
      </c>
    </row>
    <row r="56">
      <c r="A56" s="18" t="s">
        <v>3815</v>
      </c>
      <c r="B56" s="18" t="s">
        <v>3886</v>
      </c>
      <c r="C56" s="18" t="s">
        <v>3887</v>
      </c>
      <c r="D56" s="18">
        <v>1.0</v>
      </c>
      <c r="E56" s="18">
        <v>4.0</v>
      </c>
    </row>
    <row r="57">
      <c r="A57" s="18" t="s">
        <v>3815</v>
      </c>
      <c r="B57" s="18" t="s">
        <v>3888</v>
      </c>
      <c r="C57" s="18" t="s">
        <v>3889</v>
      </c>
      <c r="D57" s="18">
        <v>1.5</v>
      </c>
      <c r="E57" s="18">
        <v>7.0</v>
      </c>
    </row>
    <row r="58">
      <c r="A58" s="18" t="s">
        <v>3815</v>
      </c>
      <c r="B58" s="18" t="s">
        <v>3890</v>
      </c>
      <c r="C58" s="18" t="s">
        <v>3891</v>
      </c>
      <c r="D58" s="18">
        <v>1.25</v>
      </c>
      <c r="E58" s="18">
        <v>20.0</v>
      </c>
    </row>
    <row r="59">
      <c r="A59" s="18" t="s">
        <v>3815</v>
      </c>
      <c r="B59" s="18" t="s">
        <v>3892</v>
      </c>
      <c r="C59" s="18" t="s">
        <v>3893</v>
      </c>
      <c r="D59" s="18">
        <v>1.2</v>
      </c>
      <c r="E59" s="18">
        <v>33.0</v>
      </c>
    </row>
    <row r="60">
      <c r="A60" s="18" t="s">
        <v>3815</v>
      </c>
      <c r="B60" s="18" t="s">
        <v>3894</v>
      </c>
      <c r="C60" s="18" t="s">
        <v>3895</v>
      </c>
      <c r="D60" s="18">
        <v>1.1</v>
      </c>
      <c r="E60" s="18">
        <v>20.0</v>
      </c>
    </row>
    <row r="61">
      <c r="A61" s="18" t="s">
        <v>3794</v>
      </c>
      <c r="B61" s="18" t="s">
        <v>3678</v>
      </c>
      <c r="C61" s="18" t="s">
        <v>3896</v>
      </c>
      <c r="D61" s="18">
        <v>1.0</v>
      </c>
      <c r="E61" s="18">
        <v>29.0</v>
      </c>
    </row>
    <row r="62">
      <c r="A62" s="18" t="s">
        <v>3794</v>
      </c>
      <c r="B62" s="18" t="s">
        <v>171</v>
      </c>
      <c r="C62" s="18" t="s">
        <v>3897</v>
      </c>
      <c r="D62" s="18">
        <v>1.15</v>
      </c>
      <c r="E62" s="18">
        <v>30.0</v>
      </c>
    </row>
    <row r="63">
      <c r="A63" s="18" t="s">
        <v>3794</v>
      </c>
      <c r="B63" s="18" t="s">
        <v>3016</v>
      </c>
      <c r="C63" s="18" t="s">
        <v>3898</v>
      </c>
      <c r="D63" s="18">
        <v>1.0</v>
      </c>
      <c r="E63" s="18">
        <v>29.0</v>
      </c>
    </row>
    <row r="64">
      <c r="A64" s="18" t="s">
        <v>3789</v>
      </c>
      <c r="B64" s="18" t="s">
        <v>3899</v>
      </c>
      <c r="C64" s="18" t="s">
        <v>3900</v>
      </c>
      <c r="D64" s="18">
        <v>1.1</v>
      </c>
      <c r="E64" s="18">
        <v>18.0</v>
      </c>
    </row>
    <row r="65">
      <c r="A65" s="18" t="s">
        <v>3794</v>
      </c>
      <c r="B65" s="18" t="s">
        <v>3068</v>
      </c>
      <c r="C65" s="18" t="s">
        <v>3901</v>
      </c>
      <c r="D65" s="18">
        <v>1.0</v>
      </c>
      <c r="E65" s="18">
        <v>17.0</v>
      </c>
    </row>
    <row r="66">
      <c r="A66" s="18" t="s">
        <v>3794</v>
      </c>
      <c r="B66" s="18" t="s">
        <v>801</v>
      </c>
      <c r="C66" s="18" t="s">
        <v>3902</v>
      </c>
      <c r="D66" s="18">
        <v>1.1</v>
      </c>
      <c r="E66" s="18">
        <v>18.0</v>
      </c>
    </row>
    <row r="67">
      <c r="A67" s="18" t="s">
        <v>3794</v>
      </c>
      <c r="B67" s="18" t="s">
        <v>364</v>
      </c>
      <c r="C67" s="18" t="s">
        <v>3903</v>
      </c>
      <c r="D67" s="18">
        <v>1.0</v>
      </c>
      <c r="E67" s="18">
        <v>23.0</v>
      </c>
    </row>
    <row r="68">
      <c r="A68" s="18" t="s">
        <v>3815</v>
      </c>
      <c r="B68" s="18" t="s">
        <v>3904</v>
      </c>
      <c r="C68" s="18" t="s">
        <v>3905</v>
      </c>
      <c r="D68" s="18">
        <v>1.15</v>
      </c>
      <c r="E68" s="18">
        <v>11.0</v>
      </c>
    </row>
    <row r="69">
      <c r="A69" s="18" t="s">
        <v>3794</v>
      </c>
      <c r="B69" s="18" t="s">
        <v>165</v>
      </c>
      <c r="C69" s="18" t="s">
        <v>3906</v>
      </c>
      <c r="D69" s="18">
        <v>1.2</v>
      </c>
      <c r="E69" s="18">
        <v>24.0</v>
      </c>
    </row>
    <row r="70">
      <c r="A70" s="18" t="s">
        <v>3794</v>
      </c>
      <c r="B70" s="18" t="s">
        <v>35</v>
      </c>
      <c r="C70" s="18" t="s">
        <v>3907</v>
      </c>
      <c r="D70" s="18">
        <v>1.35</v>
      </c>
      <c r="E70" s="18">
        <v>20.0</v>
      </c>
    </row>
    <row r="71">
      <c r="A71" s="18" t="s">
        <v>3815</v>
      </c>
      <c r="B71" s="18" t="s">
        <v>3908</v>
      </c>
      <c r="C71" s="18" t="s">
        <v>3909</v>
      </c>
      <c r="D71" s="18">
        <v>1.3</v>
      </c>
      <c r="E71" s="18">
        <v>8.0</v>
      </c>
    </row>
    <row r="72">
      <c r="A72" s="18" t="s">
        <v>3794</v>
      </c>
      <c r="B72" s="18" t="s">
        <v>282</v>
      </c>
      <c r="C72" s="18" t="s">
        <v>3910</v>
      </c>
      <c r="D72" s="18">
        <v>1.2</v>
      </c>
      <c r="E72" s="18">
        <v>29.0</v>
      </c>
    </row>
    <row r="73">
      <c r="A73" s="18" t="s">
        <v>3815</v>
      </c>
      <c r="B73" s="18" t="s">
        <v>3911</v>
      </c>
      <c r="C73" s="18" t="s">
        <v>3912</v>
      </c>
      <c r="D73" s="18">
        <v>1.3</v>
      </c>
      <c r="E73" s="18">
        <v>10.0</v>
      </c>
    </row>
    <row r="74">
      <c r="A74" s="18" t="s">
        <v>3794</v>
      </c>
      <c r="B74" s="18" t="s">
        <v>216</v>
      </c>
      <c r="C74" s="18" t="s">
        <v>3913</v>
      </c>
      <c r="D74" s="18">
        <v>1.4</v>
      </c>
      <c r="E74" s="18">
        <v>29.0</v>
      </c>
    </row>
    <row r="75">
      <c r="A75" s="18" t="s">
        <v>3794</v>
      </c>
      <c r="B75" s="18" t="s">
        <v>3037</v>
      </c>
      <c r="C75" s="18" t="s">
        <v>3914</v>
      </c>
      <c r="D75" s="18">
        <v>1.0</v>
      </c>
      <c r="E75" s="18">
        <v>25.0</v>
      </c>
    </row>
    <row r="76">
      <c r="A76" s="18" t="s">
        <v>3815</v>
      </c>
      <c r="B76" s="18" t="s">
        <v>3915</v>
      </c>
      <c r="C76" s="18" t="s">
        <v>3916</v>
      </c>
      <c r="D76" s="18">
        <v>1.15</v>
      </c>
      <c r="E76" s="18">
        <v>22.0</v>
      </c>
    </row>
    <row r="77">
      <c r="A77" s="18" t="s">
        <v>3794</v>
      </c>
      <c r="B77" s="18" t="s">
        <v>630</v>
      </c>
      <c r="C77" s="18" t="s">
        <v>3917</v>
      </c>
      <c r="D77" s="18">
        <v>1.1</v>
      </c>
      <c r="E77" s="18">
        <v>21.0</v>
      </c>
    </row>
    <row r="78">
      <c r="A78" s="18" t="s">
        <v>3794</v>
      </c>
      <c r="B78" s="18" t="s">
        <v>912</v>
      </c>
      <c r="C78" s="18" t="s">
        <v>3918</v>
      </c>
      <c r="D78" s="18">
        <v>1.25</v>
      </c>
      <c r="E78" s="18">
        <v>22.0</v>
      </c>
    </row>
    <row r="79">
      <c r="A79" s="18" t="s">
        <v>3794</v>
      </c>
      <c r="B79" s="18" t="s">
        <v>3403</v>
      </c>
      <c r="C79" s="18" t="s">
        <v>3919</v>
      </c>
      <c r="D79" s="18">
        <v>1.0</v>
      </c>
      <c r="E79" s="18">
        <v>31.0</v>
      </c>
    </row>
    <row r="80">
      <c r="A80" s="18" t="s">
        <v>3794</v>
      </c>
      <c r="B80" s="18" t="s">
        <v>125</v>
      </c>
      <c r="C80" s="18" t="s">
        <v>3920</v>
      </c>
      <c r="D80" s="18">
        <v>0.85</v>
      </c>
      <c r="E80" s="18">
        <v>18.0</v>
      </c>
    </row>
    <row r="81">
      <c r="A81" s="18" t="s">
        <v>3789</v>
      </c>
      <c r="B81" s="18" t="s">
        <v>3921</v>
      </c>
      <c r="C81" s="18" t="s">
        <v>3922</v>
      </c>
      <c r="D81" s="18">
        <v>1.2</v>
      </c>
      <c r="E81" s="18">
        <v>14.0</v>
      </c>
    </row>
    <row r="82">
      <c r="A82" s="18" t="s">
        <v>3789</v>
      </c>
      <c r="B82" s="18" t="s">
        <v>3923</v>
      </c>
      <c r="C82" s="18" t="s">
        <v>3924</v>
      </c>
      <c r="D82" s="18">
        <v>1.15</v>
      </c>
      <c r="E82" s="18">
        <v>21.0</v>
      </c>
    </row>
    <row r="83">
      <c r="A83" s="18" t="s">
        <v>3789</v>
      </c>
      <c r="B83" s="18" t="s">
        <v>3925</v>
      </c>
      <c r="C83" s="18" t="s">
        <v>3926</v>
      </c>
      <c r="D83" s="18">
        <v>1.0</v>
      </c>
      <c r="E83" s="18">
        <v>17.0</v>
      </c>
    </row>
    <row r="84">
      <c r="A84" s="18" t="s">
        <v>3789</v>
      </c>
      <c r="B84" s="18" t="s">
        <v>3927</v>
      </c>
      <c r="C84" s="18" t="s">
        <v>3928</v>
      </c>
      <c r="D84" s="18">
        <v>1.3</v>
      </c>
      <c r="E84" s="18">
        <v>16.0</v>
      </c>
    </row>
    <row r="85">
      <c r="A85" s="18" t="s">
        <v>3794</v>
      </c>
      <c r="B85" s="18" t="s">
        <v>112</v>
      </c>
      <c r="C85" s="18" t="s">
        <v>3929</v>
      </c>
      <c r="D85" s="18">
        <v>1.4</v>
      </c>
      <c r="E85" s="18">
        <v>17.0</v>
      </c>
    </row>
    <row r="86">
      <c r="A86" s="18" t="s">
        <v>3794</v>
      </c>
      <c r="B86" s="18" t="s">
        <v>2780</v>
      </c>
      <c r="C86" s="18" t="s">
        <v>3930</v>
      </c>
      <c r="D86" s="18">
        <v>1.2</v>
      </c>
      <c r="E86" s="18">
        <v>22.0</v>
      </c>
    </row>
    <row r="87">
      <c r="A87" s="18" t="s">
        <v>3789</v>
      </c>
      <c r="B87" s="18" t="s">
        <v>3931</v>
      </c>
      <c r="C87" s="18" t="s">
        <v>3932</v>
      </c>
      <c r="D87" s="18"/>
      <c r="E87" s="18">
        <v>14.0</v>
      </c>
    </row>
    <row r="88">
      <c r="A88" s="18" t="s">
        <v>3815</v>
      </c>
      <c r="B88" s="18" t="s">
        <v>3933</v>
      </c>
      <c r="C88" s="18" t="s">
        <v>3934</v>
      </c>
      <c r="D88" s="18">
        <v>1.05</v>
      </c>
      <c r="E88" s="18">
        <v>11.0</v>
      </c>
    </row>
    <row r="89">
      <c r="A89" s="18" t="s">
        <v>3794</v>
      </c>
      <c r="B89" s="18" t="s">
        <v>2526</v>
      </c>
      <c r="C89" s="18" t="s">
        <v>3935</v>
      </c>
      <c r="D89" s="18">
        <v>1.1</v>
      </c>
      <c r="E89" s="18">
        <v>13.0</v>
      </c>
    </row>
    <row r="90">
      <c r="A90" s="18" t="s">
        <v>3815</v>
      </c>
      <c r="B90" s="18" t="s">
        <v>3936</v>
      </c>
      <c r="C90" s="18" t="s">
        <v>3937</v>
      </c>
      <c r="D90" s="18">
        <v>1.05</v>
      </c>
      <c r="E90" s="18">
        <v>11.0</v>
      </c>
    </row>
    <row r="91">
      <c r="A91" s="18" t="s">
        <v>3815</v>
      </c>
      <c r="B91" s="18" t="s">
        <v>3938</v>
      </c>
      <c r="C91" s="18" t="s">
        <v>3939</v>
      </c>
      <c r="D91" s="18"/>
      <c r="E91" s="18">
        <v>11.0</v>
      </c>
    </row>
    <row r="92">
      <c r="A92" s="18" t="s">
        <v>3789</v>
      </c>
      <c r="B92" s="18" t="s">
        <v>3940</v>
      </c>
      <c r="C92" s="18" t="s">
        <v>3941</v>
      </c>
      <c r="D92" s="18"/>
      <c r="E92" s="18">
        <v>11.0</v>
      </c>
    </row>
    <row r="93">
      <c r="A93" s="18" t="s">
        <v>3794</v>
      </c>
      <c r="B93" s="18" t="s">
        <v>1822</v>
      </c>
      <c r="C93" s="18" t="s">
        <v>3942</v>
      </c>
      <c r="D93" s="18">
        <v>1.1</v>
      </c>
      <c r="E93" s="18">
        <v>17.0</v>
      </c>
    </row>
    <row r="94">
      <c r="A94" s="18" t="s">
        <v>3794</v>
      </c>
      <c r="B94" s="18" t="s">
        <v>3943</v>
      </c>
      <c r="C94" s="18" t="s">
        <v>3944</v>
      </c>
      <c r="D94" s="18"/>
      <c r="E94" s="18">
        <v>0.0</v>
      </c>
    </row>
    <row r="95">
      <c r="A95" s="18" t="s">
        <v>3789</v>
      </c>
      <c r="B95" s="18" t="s">
        <v>3945</v>
      </c>
      <c r="C95" s="18" t="s">
        <v>3946</v>
      </c>
      <c r="D95" s="18"/>
      <c r="E95" s="18">
        <v>0.0</v>
      </c>
    </row>
    <row r="96">
      <c r="A96" s="18" t="s">
        <v>3794</v>
      </c>
      <c r="B96" s="18" t="s">
        <v>3947</v>
      </c>
      <c r="C96" s="18" t="s">
        <v>3948</v>
      </c>
      <c r="D96" s="18"/>
      <c r="E96" s="18">
        <v>0.0</v>
      </c>
    </row>
    <row r="97">
      <c r="A97" s="18" t="s">
        <v>3794</v>
      </c>
      <c r="B97" s="18" t="s">
        <v>3949</v>
      </c>
      <c r="C97" s="18" t="s">
        <v>3950</v>
      </c>
      <c r="D97" s="18"/>
      <c r="E97" s="18">
        <v>0.0</v>
      </c>
    </row>
    <row r="98">
      <c r="A98" s="18" t="s">
        <v>3794</v>
      </c>
      <c r="B98" s="18" t="s">
        <v>3951</v>
      </c>
      <c r="C98" s="18" t="s">
        <v>3952</v>
      </c>
      <c r="D98" s="18"/>
      <c r="E98" s="18">
        <v>0.0</v>
      </c>
    </row>
    <row r="99">
      <c r="A99" s="18" t="s">
        <v>3794</v>
      </c>
      <c r="B99" s="18" t="s">
        <v>3953</v>
      </c>
      <c r="C99" s="18" t="s">
        <v>3954</v>
      </c>
      <c r="D99" s="18"/>
      <c r="E99" s="18">
        <v>0.0</v>
      </c>
    </row>
    <row r="100">
      <c r="A100" s="18" t="s">
        <v>3794</v>
      </c>
      <c r="B100" s="18" t="s">
        <v>2208</v>
      </c>
      <c r="C100" s="18" t="s">
        <v>3955</v>
      </c>
      <c r="D100" s="18">
        <v>1.0</v>
      </c>
      <c r="E100" s="18">
        <v>22.0</v>
      </c>
    </row>
    <row r="101">
      <c r="A101" s="18" t="s">
        <v>3794</v>
      </c>
      <c r="B101" s="18" t="s">
        <v>3956</v>
      </c>
      <c r="C101" s="18" t="s">
        <v>3957</v>
      </c>
      <c r="D101" s="18"/>
      <c r="E101" s="18">
        <v>0.0</v>
      </c>
    </row>
    <row r="102">
      <c r="A102" s="18" t="s">
        <v>3794</v>
      </c>
      <c r="B102" s="18" t="s">
        <v>1899</v>
      </c>
      <c r="C102" s="18" t="s">
        <v>3958</v>
      </c>
      <c r="D102" s="18"/>
      <c r="E102" s="18">
        <v>14.0</v>
      </c>
    </row>
    <row r="103">
      <c r="A103" s="18" t="s">
        <v>3794</v>
      </c>
      <c r="B103" s="18" t="s">
        <v>3959</v>
      </c>
      <c r="C103" s="18" t="s">
        <v>3960</v>
      </c>
      <c r="D103" s="18"/>
      <c r="E103" s="18">
        <v>0.0</v>
      </c>
    </row>
    <row r="104">
      <c r="A104" s="18" t="s">
        <v>3794</v>
      </c>
      <c r="B104" s="18" t="s">
        <v>3961</v>
      </c>
      <c r="C104" s="18" t="s">
        <v>3962</v>
      </c>
      <c r="D104" s="18">
        <v>1.0</v>
      </c>
      <c r="E104" s="18">
        <v>0.0</v>
      </c>
    </row>
    <row r="105">
      <c r="A105" s="18" t="s">
        <v>3789</v>
      </c>
      <c r="B105" s="18" t="s">
        <v>3963</v>
      </c>
      <c r="C105" s="18" t="s">
        <v>3964</v>
      </c>
      <c r="D105" s="18"/>
      <c r="E105" s="18">
        <v>0.0</v>
      </c>
    </row>
    <row r="106">
      <c r="A106" s="18" t="s">
        <v>3794</v>
      </c>
      <c r="B106" s="18" t="s">
        <v>3965</v>
      </c>
      <c r="C106" s="18" t="s">
        <v>3966</v>
      </c>
      <c r="D106" s="18"/>
      <c r="E106" s="18">
        <v>0.0</v>
      </c>
    </row>
    <row r="107">
      <c r="A107" s="18" t="s">
        <v>3794</v>
      </c>
      <c r="B107" s="18" t="s">
        <v>3967</v>
      </c>
      <c r="C107" s="18" t="s">
        <v>3968</v>
      </c>
      <c r="D107" s="18"/>
      <c r="E107" s="18">
        <v>0.0</v>
      </c>
    </row>
    <row r="108">
      <c r="A108" s="18" t="s">
        <v>3794</v>
      </c>
      <c r="B108" s="18" t="s">
        <v>3969</v>
      </c>
      <c r="C108" s="18" t="s">
        <v>3970</v>
      </c>
      <c r="D108" s="18"/>
      <c r="E108" s="18">
        <v>0.0</v>
      </c>
    </row>
    <row r="109">
      <c r="A109" s="18" t="s">
        <v>3789</v>
      </c>
      <c r="B109" s="18" t="s">
        <v>3971</v>
      </c>
      <c r="C109" s="18" t="s">
        <v>3972</v>
      </c>
      <c r="D109" s="18">
        <v>1.2</v>
      </c>
      <c r="E109" s="18">
        <v>26.0</v>
      </c>
    </row>
    <row r="110">
      <c r="A110" s="18" t="s">
        <v>3789</v>
      </c>
      <c r="B110" s="18" t="s">
        <v>3973</v>
      </c>
      <c r="C110" s="18" t="s">
        <v>3974</v>
      </c>
      <c r="D110" s="18">
        <v>1.2</v>
      </c>
      <c r="E110" s="18">
        <v>20.0</v>
      </c>
    </row>
    <row r="111">
      <c r="A111" s="18" t="s">
        <v>3789</v>
      </c>
      <c r="B111" s="18" t="s">
        <v>3975</v>
      </c>
      <c r="C111" s="18" t="s">
        <v>3976</v>
      </c>
      <c r="D111" s="18">
        <v>1.2</v>
      </c>
      <c r="E111" s="18">
        <v>20.0</v>
      </c>
    </row>
    <row r="112">
      <c r="A112" s="18" t="s">
        <v>3815</v>
      </c>
      <c r="B112" s="18" t="s">
        <v>3977</v>
      </c>
      <c r="C112" s="18" t="s">
        <v>3978</v>
      </c>
      <c r="D112" s="18">
        <v>1.1</v>
      </c>
      <c r="E112" s="18">
        <v>36.0</v>
      </c>
    </row>
    <row r="113">
      <c r="A113" s="18" t="s">
        <v>3794</v>
      </c>
      <c r="B113" s="18" t="s">
        <v>145</v>
      </c>
      <c r="C113" s="18" t="s">
        <v>3979</v>
      </c>
      <c r="D113" s="18">
        <v>1.1</v>
      </c>
      <c r="E113" s="18">
        <v>22.0</v>
      </c>
    </row>
    <row r="114">
      <c r="A114" s="18" t="s">
        <v>3794</v>
      </c>
      <c r="B114" s="18" t="s">
        <v>154</v>
      </c>
      <c r="C114" s="18" t="s">
        <v>3980</v>
      </c>
      <c r="D114" s="18">
        <v>1.4</v>
      </c>
      <c r="E114" s="18">
        <v>53.0</v>
      </c>
    </row>
    <row r="115">
      <c r="A115" s="18" t="s">
        <v>3794</v>
      </c>
      <c r="B115" s="18" t="s">
        <v>148</v>
      </c>
      <c r="C115" s="18" t="s">
        <v>3981</v>
      </c>
      <c r="D115" s="18">
        <v>1.0</v>
      </c>
      <c r="E115" s="18">
        <v>56.0</v>
      </c>
    </row>
    <row r="116">
      <c r="A116" s="18" t="s">
        <v>3815</v>
      </c>
      <c r="B116" s="18" t="s">
        <v>3982</v>
      </c>
      <c r="C116" s="18" t="s">
        <v>3983</v>
      </c>
      <c r="D116" s="18">
        <v>1.05</v>
      </c>
      <c r="E116" s="18">
        <v>13.0</v>
      </c>
    </row>
    <row r="117">
      <c r="A117" s="18" t="s">
        <v>3815</v>
      </c>
      <c r="B117" s="18" t="s">
        <v>3984</v>
      </c>
      <c r="C117" s="18" t="s">
        <v>3985</v>
      </c>
      <c r="D117" s="18">
        <v>1.2</v>
      </c>
      <c r="E117" s="18">
        <v>20.0</v>
      </c>
    </row>
    <row r="118">
      <c r="A118" s="18" t="s">
        <v>3815</v>
      </c>
      <c r="B118" s="18" t="s">
        <v>3986</v>
      </c>
      <c r="C118" s="18" t="s">
        <v>3987</v>
      </c>
      <c r="D118" s="18">
        <v>1.3</v>
      </c>
      <c r="E118" s="18">
        <v>19.0</v>
      </c>
    </row>
    <row r="119">
      <c r="A119" s="18" t="s">
        <v>3794</v>
      </c>
      <c r="B119" s="18" t="s">
        <v>3988</v>
      </c>
      <c r="C119" s="18" t="s">
        <v>3989</v>
      </c>
      <c r="D119" s="18"/>
      <c r="E119" s="18">
        <v>0.0</v>
      </c>
    </row>
    <row r="120">
      <c r="A120" s="18" t="s">
        <v>3789</v>
      </c>
      <c r="B120" s="18" t="s">
        <v>3990</v>
      </c>
      <c r="C120" s="18" t="s">
        <v>3991</v>
      </c>
      <c r="D120" s="18"/>
      <c r="E120" s="18">
        <v>0.0</v>
      </c>
    </row>
    <row r="121">
      <c r="A121" s="18" t="s">
        <v>3794</v>
      </c>
      <c r="B121" s="18" t="s">
        <v>3992</v>
      </c>
      <c r="C121" s="18" t="s">
        <v>3993</v>
      </c>
      <c r="D121" s="18"/>
      <c r="E121" s="18">
        <v>0.0</v>
      </c>
    </row>
    <row r="122">
      <c r="A122" s="18" t="s">
        <v>3815</v>
      </c>
      <c r="B122" s="18" t="s">
        <v>3994</v>
      </c>
      <c r="C122" s="18" t="s">
        <v>3995</v>
      </c>
      <c r="D122" s="18"/>
      <c r="E122" s="18">
        <v>0.0</v>
      </c>
    </row>
    <row r="123">
      <c r="A123" s="18" t="s">
        <v>3794</v>
      </c>
      <c r="B123" s="18" t="s">
        <v>3996</v>
      </c>
      <c r="C123" s="18" t="s">
        <v>3997</v>
      </c>
      <c r="D123" s="18"/>
      <c r="E123" s="18">
        <v>0.0</v>
      </c>
    </row>
    <row r="124">
      <c r="A124" s="18" t="s">
        <v>3789</v>
      </c>
      <c r="B124" s="18" t="s">
        <v>3998</v>
      </c>
      <c r="C124" s="18" t="s">
        <v>3999</v>
      </c>
      <c r="D124" s="18"/>
      <c r="E124" s="18">
        <v>0.0</v>
      </c>
    </row>
    <row r="125">
      <c r="A125" s="18" t="s">
        <v>3789</v>
      </c>
      <c r="B125" s="18" t="s">
        <v>4000</v>
      </c>
      <c r="C125" s="18" t="s">
        <v>4001</v>
      </c>
      <c r="D125" s="18"/>
      <c r="E125" s="18">
        <v>6.0</v>
      </c>
    </row>
    <row r="126">
      <c r="A126" s="18" t="s">
        <v>3789</v>
      </c>
      <c r="B126" s="18" t="s">
        <v>4002</v>
      </c>
      <c r="C126" s="18" t="s">
        <v>4003</v>
      </c>
      <c r="D126" s="18"/>
      <c r="E126" s="18">
        <v>4.0</v>
      </c>
    </row>
    <row r="127">
      <c r="A127" s="18" t="s">
        <v>3789</v>
      </c>
      <c r="B127" s="18" t="s">
        <v>4004</v>
      </c>
      <c r="C127" s="18" t="s">
        <v>4005</v>
      </c>
      <c r="D127" s="18"/>
      <c r="E127" s="18">
        <v>12.0</v>
      </c>
    </row>
    <row r="128">
      <c r="A128" s="18" t="s">
        <v>3789</v>
      </c>
      <c r="B128" s="18" t="s">
        <v>4006</v>
      </c>
      <c r="C128" s="18" t="s">
        <v>4007</v>
      </c>
      <c r="D128" s="18"/>
      <c r="E128" s="18">
        <v>6.0</v>
      </c>
    </row>
    <row r="129">
      <c r="A129" s="18" t="s">
        <v>3789</v>
      </c>
      <c r="B129" s="18" t="s">
        <v>4008</v>
      </c>
      <c r="C129" s="18" t="s">
        <v>4009</v>
      </c>
      <c r="D129" s="18"/>
      <c r="E129" s="18">
        <v>7.0</v>
      </c>
    </row>
    <row r="130">
      <c r="A130" s="18" t="s">
        <v>3789</v>
      </c>
      <c r="B130" s="18" t="s">
        <v>4010</v>
      </c>
      <c r="C130" s="18" t="s">
        <v>4011</v>
      </c>
      <c r="D130" s="18"/>
      <c r="E130" s="18">
        <v>13.0</v>
      </c>
    </row>
    <row r="131">
      <c r="A131" s="18" t="s">
        <v>3789</v>
      </c>
      <c r="B131" s="18" t="s">
        <v>4012</v>
      </c>
      <c r="C131" s="18" t="s">
        <v>4013</v>
      </c>
      <c r="D131" s="18"/>
      <c r="E131" s="18">
        <v>13.0</v>
      </c>
    </row>
    <row r="132">
      <c r="A132" s="18" t="s">
        <v>3789</v>
      </c>
      <c r="B132" s="18" t="s">
        <v>4014</v>
      </c>
      <c r="C132" s="18" t="s">
        <v>4015</v>
      </c>
      <c r="D132" s="18"/>
      <c r="E132" s="18">
        <v>3.0</v>
      </c>
    </row>
    <row r="133">
      <c r="A133" s="18" t="s">
        <v>3789</v>
      </c>
      <c r="B133" s="18" t="s">
        <v>4016</v>
      </c>
      <c r="C133" s="18" t="s">
        <v>4017</v>
      </c>
      <c r="D133" s="18"/>
      <c r="E133" s="18">
        <v>4.0</v>
      </c>
    </row>
    <row r="134">
      <c r="A134" s="18" t="s">
        <v>3794</v>
      </c>
      <c r="B134" s="18" t="s">
        <v>4018</v>
      </c>
      <c r="C134" s="18" t="s">
        <v>4019</v>
      </c>
      <c r="D134" s="18"/>
      <c r="E134" s="18">
        <v>0.0</v>
      </c>
    </row>
    <row r="135">
      <c r="A135" s="18" t="s">
        <v>3794</v>
      </c>
      <c r="B135" s="18" t="s">
        <v>4020</v>
      </c>
      <c r="C135" s="18" t="s">
        <v>4021</v>
      </c>
      <c r="E135" s="18">
        <v>0.0</v>
      </c>
    </row>
    <row r="136">
      <c r="A136" s="18" t="s">
        <v>3794</v>
      </c>
      <c r="B136" s="18" t="s">
        <v>4022</v>
      </c>
      <c r="C136" s="18" t="s">
        <v>4023</v>
      </c>
      <c r="E136" s="18">
        <v>0.0</v>
      </c>
    </row>
    <row r="137">
      <c r="A137" s="18" t="s">
        <v>3794</v>
      </c>
      <c r="B137" s="18" t="s">
        <v>4024</v>
      </c>
      <c r="C137" s="18" t="s">
        <v>4025</v>
      </c>
      <c r="E137" s="18">
        <v>0.0</v>
      </c>
    </row>
    <row r="138">
      <c r="A138" s="18" t="s">
        <v>3789</v>
      </c>
      <c r="B138" s="18" t="s">
        <v>4026</v>
      </c>
      <c r="C138" s="18" t="s">
        <v>4027</v>
      </c>
      <c r="E138" s="18">
        <v>21.0</v>
      </c>
    </row>
    <row r="139">
      <c r="A139" s="18" t="s">
        <v>3794</v>
      </c>
      <c r="B139" s="18" t="s">
        <v>2735</v>
      </c>
      <c r="C139" s="18" t="s">
        <v>4028</v>
      </c>
      <c r="E139" s="18">
        <v>19.0</v>
      </c>
    </row>
    <row r="140">
      <c r="A140" s="18" t="s">
        <v>3789</v>
      </c>
      <c r="B140" s="18" t="s">
        <v>4029</v>
      </c>
      <c r="C140" s="18" t="s">
        <v>4030</v>
      </c>
      <c r="E140" s="18">
        <v>0.0</v>
      </c>
    </row>
    <row r="141">
      <c r="A141" s="18" t="s">
        <v>3794</v>
      </c>
      <c r="B141" s="18" t="s">
        <v>4031</v>
      </c>
      <c r="C141" s="18" t="s">
        <v>4032</v>
      </c>
      <c r="E141" s="18">
        <v>0.0</v>
      </c>
    </row>
    <row r="142">
      <c r="A142" s="18" t="s">
        <v>3794</v>
      </c>
      <c r="B142" s="18" t="s">
        <v>4033</v>
      </c>
      <c r="C142" s="18" t="s">
        <v>4034</v>
      </c>
      <c r="E142" s="18">
        <v>0.0</v>
      </c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hidden="1" min="2" max="2" width="17.88"/>
    <col customWidth="1" min="5" max="5" width="14.88"/>
    <col customWidth="1" min="6" max="6" width="14.63"/>
    <col customWidth="1" min="7" max="7" width="14.88"/>
    <col customWidth="1" min="8" max="8" width="15.25"/>
    <col customWidth="1" min="11" max="11" width="13.63"/>
    <col customWidth="1" min="12" max="12" width="16.13"/>
  </cols>
  <sheetData>
    <row r="1">
      <c r="A1" s="18" t="s">
        <v>3779</v>
      </c>
      <c r="B1" s="18" t="s">
        <v>4035</v>
      </c>
      <c r="C1" s="18" t="s">
        <v>4036</v>
      </c>
      <c r="D1" s="18" t="s">
        <v>4037</v>
      </c>
      <c r="E1" s="18" t="s">
        <v>4038</v>
      </c>
      <c r="F1" s="18" t="s">
        <v>4039</v>
      </c>
      <c r="G1" s="18" t="s">
        <v>4040</v>
      </c>
      <c r="H1" s="18" t="s">
        <v>4041</v>
      </c>
      <c r="I1" s="18" t="s">
        <v>4042</v>
      </c>
      <c r="J1" s="18" t="s">
        <v>4043</v>
      </c>
      <c r="K1" s="18" t="s">
        <v>3783</v>
      </c>
      <c r="L1" s="18" t="s">
        <v>4044</v>
      </c>
      <c r="M1" s="18" t="s">
        <v>4045</v>
      </c>
    </row>
    <row r="2">
      <c r="A2" s="10" t="s">
        <v>154</v>
      </c>
      <c r="B2" s="18" t="s">
        <v>4046</v>
      </c>
      <c r="C2" s="10">
        <f>COUNTIF(Qurtoba!D:D,"Vacant")</f>
        <v>9</v>
      </c>
      <c r="D2" s="10">
        <f>COUNTIF(Qurtoba!D:D,"Sold")</f>
        <v>1</v>
      </c>
      <c r="E2" s="10">
        <f>COUNTIF(Qurtoba!D:D,"Occupied")</f>
        <v>37</v>
      </c>
      <c r="F2" s="10">
        <f>COUNTIF(Qurtoba!D:D,"Churning")</f>
        <v>6</v>
      </c>
      <c r="G2" s="10">
        <f>COUNTIF('SF Kitchen Data'!A:A,A2)-COUNTIFS('SF Kitchen Data'!A:A,A2,'SF Kitchen Data'!F:F,"")</f>
        <v>53</v>
      </c>
      <c r="H2" s="42">
        <f>COUNTIF('SF Kitchen Data'!A:A,A2)</f>
        <v>53</v>
      </c>
      <c r="I2" s="22">
        <f t="shared" ref="I2:I27" si="1">Sum(D2:F2)/G2</f>
        <v>0.8301886792</v>
      </c>
      <c r="J2" s="22">
        <f t="shared" ref="J2:J27" si="2">sum(E2:F2)/G2</f>
        <v>0.8113207547</v>
      </c>
      <c r="K2" s="10">
        <f>VLOOKUP(A2,'Price Multipliers'!B:D,3,0)</f>
        <v>1.4</v>
      </c>
      <c r="L2" s="18">
        <v>1.35</v>
      </c>
      <c r="M2" s="10">
        <f t="shared" ref="M2:M25" si="3">K2-L2</f>
        <v>0.05</v>
      </c>
    </row>
    <row r="3">
      <c r="A3" s="10" t="s">
        <v>148</v>
      </c>
      <c r="B3" s="18" t="s">
        <v>4046</v>
      </c>
      <c r="C3" s="10">
        <f>COUNTIF(Wadi!D:D,"Vacant")</f>
        <v>15</v>
      </c>
      <c r="D3" s="10">
        <f>COUNTIF(Wadi!D:D,"Sold")</f>
        <v>1</v>
      </c>
      <c r="E3" s="10">
        <f>COUNTIF(Wadi!D:D,"Occupied")</f>
        <v>37</v>
      </c>
      <c r="F3" s="10">
        <f>COUNTIF(Wadi!D:D,"Churning")</f>
        <v>3</v>
      </c>
      <c r="G3" s="10">
        <f>COUNTIF('SF Kitchen Data'!A:A,A3)-COUNTIFS('SF Kitchen Data'!A:A,A3,'SF Kitchen Data'!F:F,"")</f>
        <v>56</v>
      </c>
      <c r="H3" s="42">
        <f>COUNTIF('SF Kitchen Data'!A:A,A3)</f>
        <v>56</v>
      </c>
      <c r="I3" s="22">
        <f t="shared" si="1"/>
        <v>0.7321428571</v>
      </c>
      <c r="J3" s="22">
        <f t="shared" si="2"/>
        <v>0.7142857143</v>
      </c>
      <c r="K3" s="10">
        <f>VLOOKUP(A3,'Price Multipliers'!B:D,3,0)</f>
        <v>1</v>
      </c>
      <c r="L3" s="18">
        <v>1.05</v>
      </c>
      <c r="M3" s="10">
        <f t="shared" si="3"/>
        <v>-0.05</v>
      </c>
    </row>
    <row r="4">
      <c r="A4" s="10" t="s">
        <v>145</v>
      </c>
      <c r="B4" s="18" t="s">
        <v>4046</v>
      </c>
      <c r="C4" s="10">
        <f>COUNTIF(Olaya!D:D,"Vacant")</f>
        <v>10</v>
      </c>
      <c r="D4" s="10">
        <f>COUNTIF(Olaya!D:D,"Sold")</f>
        <v>0</v>
      </c>
      <c r="E4" s="10">
        <f>COUNTIF(Olaya!D:D,"Occupied")</f>
        <v>11</v>
      </c>
      <c r="F4" s="10">
        <f>COUNTIF(Olaya!D:D,"Churning")</f>
        <v>1</v>
      </c>
      <c r="G4" s="10">
        <f>COUNTIF('SF Kitchen Data'!A:A,A4)-COUNTIFS('SF Kitchen Data'!A:A,A4,'SF Kitchen Data'!F:F,"")</f>
        <v>22</v>
      </c>
      <c r="H4" s="42">
        <f>COUNTIF('SF Kitchen Data'!A:A,A4)</f>
        <v>22</v>
      </c>
      <c r="I4" s="22">
        <f t="shared" si="1"/>
        <v>0.5454545455</v>
      </c>
      <c r="J4" s="22">
        <f t="shared" si="2"/>
        <v>0.5454545455</v>
      </c>
      <c r="K4" s="10">
        <f>VLOOKUP(A4,'Price Multipliers'!B:D,3,0)</f>
        <v>1.1</v>
      </c>
      <c r="L4" s="18">
        <v>1.1</v>
      </c>
      <c r="M4" s="10">
        <f t="shared" si="3"/>
        <v>0</v>
      </c>
    </row>
    <row r="5">
      <c r="A5" s="10" t="s">
        <v>158</v>
      </c>
      <c r="B5" s="18" t="s">
        <v>4046</v>
      </c>
      <c r="C5" s="10">
        <f>COUNTIF('Dahrat Laban'!D:D,"Vacant")</f>
        <v>10</v>
      </c>
      <c r="D5" s="10">
        <f>COUNTIF('Dahrat Laban'!D:D,"Sold")</f>
        <v>1</v>
      </c>
      <c r="E5" s="10">
        <f>COUNTIF('Dahrat Laban'!D:D,"Occupied")</f>
        <v>26</v>
      </c>
      <c r="F5" s="10">
        <f>COUNTIF('Dahrat Laban'!D:D,"Churning")</f>
        <v>1</v>
      </c>
      <c r="G5" s="10">
        <f>COUNTIF('SF Kitchen Data'!A:A,A5)-COUNTIFS('SF Kitchen Data'!A:A,A5,'SF Kitchen Data'!F:F,"")</f>
        <v>38</v>
      </c>
      <c r="H5" s="42">
        <f>COUNTIF('SF Kitchen Data'!A:A,A5)</f>
        <v>38</v>
      </c>
      <c r="I5" s="22">
        <f t="shared" si="1"/>
        <v>0.7368421053</v>
      </c>
      <c r="J5" s="22">
        <f t="shared" si="2"/>
        <v>0.7105263158</v>
      </c>
      <c r="K5" s="10">
        <f>VLOOKUP(A5,'Price Multipliers'!B:D,3,0)</f>
        <v>1</v>
      </c>
      <c r="L5" s="18">
        <v>0.8</v>
      </c>
      <c r="M5" s="10">
        <f t="shared" si="3"/>
        <v>0.2</v>
      </c>
    </row>
    <row r="6">
      <c r="A6" s="10" t="s">
        <v>225</v>
      </c>
      <c r="B6" s="18" t="s">
        <v>4046</v>
      </c>
      <c r="C6" s="10">
        <f>COUNTIF(Suweidi!D:D,"Vacant")</f>
        <v>2</v>
      </c>
      <c r="D6" s="10">
        <f>COUNTIF(Suweidi!D:D,"Sold")</f>
        <v>0</v>
      </c>
      <c r="E6" s="10">
        <f>COUNTIF(Suweidi!D:D,"Occupied")</f>
        <v>22</v>
      </c>
      <c r="F6" s="10">
        <f>COUNTIF(Suweidi!D:D,"Churning")</f>
        <v>0</v>
      </c>
      <c r="G6" s="10">
        <f>COUNTIF('SF Kitchen Data'!A:A,A6)-COUNTIFS('SF Kitchen Data'!A:A,A6,'SF Kitchen Data'!F:F,"")</f>
        <v>24</v>
      </c>
      <c r="H6" s="42">
        <f>COUNTIF('SF Kitchen Data'!A:A,A6)</f>
        <v>24</v>
      </c>
      <c r="I6" s="22">
        <f t="shared" si="1"/>
        <v>0.9166666667</v>
      </c>
      <c r="J6" s="22">
        <f t="shared" si="2"/>
        <v>0.9166666667</v>
      </c>
      <c r="K6" s="10">
        <f>VLOOKUP(A6,'Price Multipliers'!B:D,3,0)</f>
        <v>1.3</v>
      </c>
      <c r="L6" s="18">
        <v>1.25</v>
      </c>
      <c r="M6" s="10">
        <f t="shared" si="3"/>
        <v>0.05</v>
      </c>
    </row>
    <row r="7">
      <c r="A7" s="10" t="s">
        <v>112</v>
      </c>
      <c r="B7" s="18" t="s">
        <v>4046</v>
      </c>
      <c r="C7" s="10">
        <f>COUNTIF('Malga 1'!D:D,"Vacant")</f>
        <v>3</v>
      </c>
      <c r="D7" s="10">
        <f>COUNTIF('Malga 1'!D:D,"Sold")</f>
        <v>0</v>
      </c>
      <c r="E7" s="10">
        <f>COUNTIF('Malga 1'!D:D,"Occupied")</f>
        <v>12</v>
      </c>
      <c r="F7" s="10">
        <f>COUNTIF('Malga 1'!D:D,"Churning")</f>
        <v>2</v>
      </c>
      <c r="G7" s="10">
        <f>COUNTIF('SF Kitchen Data'!A:A,A7)-COUNTIFS('SF Kitchen Data'!A:A,A7,'SF Kitchen Data'!F:F,"")</f>
        <v>17</v>
      </c>
      <c r="H7" s="42">
        <f>COUNTIF('SF Kitchen Data'!A:A,A7)</f>
        <v>21</v>
      </c>
      <c r="I7" s="22">
        <f t="shared" si="1"/>
        <v>0.8235294118</v>
      </c>
      <c r="J7" s="22">
        <f t="shared" si="2"/>
        <v>0.8235294118</v>
      </c>
      <c r="K7" s="10">
        <f>VLOOKUP(A7,'Price Multipliers'!B:D,3,0)</f>
        <v>1.4</v>
      </c>
      <c r="L7" s="18">
        <v>1.4</v>
      </c>
      <c r="M7" s="10">
        <f t="shared" si="3"/>
        <v>0</v>
      </c>
    </row>
    <row r="8">
      <c r="A8" s="10" t="s">
        <v>171</v>
      </c>
      <c r="B8" s="18" t="s">
        <v>4046</v>
      </c>
      <c r="C8" s="10">
        <f>COUNTIF('Aqrabiya - KBR'!D:D,"Vacant")</f>
        <v>10</v>
      </c>
      <c r="D8" s="10">
        <f>COUNTIF('Aqrabiya - KBR'!D:D,"Sold")</f>
        <v>0</v>
      </c>
      <c r="E8" s="10">
        <f>COUNTIF('Aqrabiya - KBR'!D:D,"Occupied")</f>
        <v>17</v>
      </c>
      <c r="F8" s="10">
        <f>COUNTIF('Aqrabiya - KBR'!D:D,"Churning")</f>
        <v>3</v>
      </c>
      <c r="G8" s="10">
        <f>COUNTIF('SF Kitchen Data'!A:A,A8)-COUNTIFS('SF Kitchen Data'!A:A,A8,'SF Kitchen Data'!F:F,"")</f>
        <v>30</v>
      </c>
      <c r="H8" s="42">
        <f>COUNTIF('SF Kitchen Data'!A:A,A8)</f>
        <v>30</v>
      </c>
      <c r="I8" s="22">
        <f t="shared" si="1"/>
        <v>0.6666666667</v>
      </c>
      <c r="J8" s="22">
        <f t="shared" si="2"/>
        <v>0.6666666667</v>
      </c>
      <c r="K8" s="10">
        <f>VLOOKUP(A8,'Price Multipliers'!B:D,3,0)</f>
        <v>1.15</v>
      </c>
      <c r="L8" s="18">
        <v>1.2</v>
      </c>
      <c r="M8" s="10">
        <f t="shared" si="3"/>
        <v>-0.05</v>
      </c>
    </row>
    <row r="9">
      <c r="A9" s="10" t="s">
        <v>138</v>
      </c>
      <c r="B9" s="18" t="s">
        <v>4046</v>
      </c>
      <c r="C9" s="10">
        <f>COUNTIF(Khaleej!D:D,"Vacant")</f>
        <v>4</v>
      </c>
      <c r="D9" s="10">
        <f>COUNTIF(Khaleej!D:D,"Sold")</f>
        <v>1</v>
      </c>
      <c r="E9" s="10">
        <f>COUNTIF(Khaleej!D:D,"Occupied")</f>
        <v>27</v>
      </c>
      <c r="F9" s="10">
        <f>COUNTIF(Khaleej!D:D,"Churning")</f>
        <v>2</v>
      </c>
      <c r="G9" s="10">
        <f>COUNTIF('SF Kitchen Data'!A:A,A9)-COUNTIFS('SF Kitchen Data'!A:A,A9,'SF Kitchen Data'!F:F,"")</f>
        <v>34</v>
      </c>
      <c r="H9" s="42">
        <f>COUNTIF('SF Kitchen Data'!A:A,A9)</f>
        <v>34</v>
      </c>
      <c r="I9" s="22">
        <f t="shared" si="1"/>
        <v>0.8823529412</v>
      </c>
      <c r="J9" s="22">
        <f t="shared" si="2"/>
        <v>0.8529411765</v>
      </c>
      <c r="K9" s="10">
        <f>VLOOKUP(A9,'Price Multipliers'!B:D,3,0)</f>
        <v>1.45</v>
      </c>
      <c r="L9" s="18">
        <v>1.45</v>
      </c>
      <c r="M9" s="10">
        <f t="shared" si="3"/>
        <v>0</v>
      </c>
    </row>
    <row r="10">
      <c r="A10" s="10" t="s">
        <v>35</v>
      </c>
      <c r="B10" s="18" t="s">
        <v>4046</v>
      </c>
      <c r="C10" s="10">
        <f>COUNTIF(Aqiq!D:D,"Vacant")</f>
        <v>3</v>
      </c>
      <c r="D10" s="10">
        <f>COUNTIF(Aqiq!D:D,"Sold")</f>
        <v>1</v>
      </c>
      <c r="E10" s="10">
        <f>COUNTIF(Aqiq!D:D,"Occupied")</f>
        <v>15</v>
      </c>
      <c r="F10" s="10">
        <f>COUNTIF(Aqiq!D:D,"Churning")</f>
        <v>1</v>
      </c>
      <c r="G10" s="10">
        <f>COUNTIF('SF Kitchen Data'!A:A,A10)-COUNTIFS('SF Kitchen Data'!A:A,A10,'SF Kitchen Data'!F:F,"")</f>
        <v>20</v>
      </c>
      <c r="H10" s="42">
        <f>COUNTIF('SF Kitchen Data'!A:A,A10)</f>
        <v>21</v>
      </c>
      <c r="I10" s="22">
        <f t="shared" si="1"/>
        <v>0.85</v>
      </c>
      <c r="J10" s="22">
        <f t="shared" si="2"/>
        <v>0.8</v>
      </c>
      <c r="K10" s="10">
        <f>VLOOKUP(A10,'Price Multipliers'!B:D,3,0)</f>
        <v>1.35</v>
      </c>
      <c r="L10" s="18">
        <v>1.35</v>
      </c>
      <c r="M10" s="10">
        <f t="shared" si="3"/>
        <v>0</v>
      </c>
    </row>
    <row r="11">
      <c r="A11" s="10" t="s">
        <v>216</v>
      </c>
      <c r="B11" s="18" t="s">
        <v>4046</v>
      </c>
      <c r="C11" s="10">
        <f>COUNTIF('Malga 2'!D:D,"Vacant")</f>
        <v>2</v>
      </c>
      <c r="D11" s="10">
        <f>COUNTIF('Malga 2'!D:D,"Sold")</f>
        <v>1</v>
      </c>
      <c r="E11" s="10">
        <f>COUNTIF('Malga 2'!D:D,"Occupied")</f>
        <v>23</v>
      </c>
      <c r="F11" s="10">
        <f>COUNTIF('Malga 2'!D:D,"Churning")</f>
        <v>3</v>
      </c>
      <c r="G11" s="10">
        <f>COUNTIF('SF Kitchen Data'!A:A,A11)-COUNTIFS('SF Kitchen Data'!A:A,A11,'SF Kitchen Data'!F:F,"")</f>
        <v>29</v>
      </c>
      <c r="H11" s="42">
        <f>COUNTIF('SF Kitchen Data'!A:A,A11)</f>
        <v>29</v>
      </c>
      <c r="I11" s="22">
        <f t="shared" si="1"/>
        <v>0.9310344828</v>
      </c>
      <c r="J11" s="22">
        <f t="shared" si="2"/>
        <v>0.8965517241</v>
      </c>
      <c r="K11" s="10">
        <f>VLOOKUP(A11,'Price Multipliers'!B:D,3,0)</f>
        <v>1.4</v>
      </c>
      <c r="L11" s="18">
        <v>1.4</v>
      </c>
      <c r="M11" s="10">
        <f t="shared" si="3"/>
        <v>0</v>
      </c>
    </row>
    <row r="12">
      <c r="A12" s="10" t="s">
        <v>282</v>
      </c>
      <c r="B12" s="18" t="s">
        <v>4046</v>
      </c>
      <c r="C12" s="10">
        <f>COUNTIF('King Fahd'!D:D,"Vacant")</f>
        <v>9</v>
      </c>
      <c r="D12" s="10">
        <f>COUNTIF('King Fahd'!D:D,"Sold")</f>
        <v>0</v>
      </c>
      <c r="E12" s="10">
        <f>COUNTIF('King Fahd'!D:D,"Occupied")</f>
        <v>20</v>
      </c>
      <c r="F12" s="10">
        <f>COUNTIF('King Fahd'!D:D,"Churning")</f>
        <v>0</v>
      </c>
      <c r="G12" s="10">
        <f>COUNTIF('SF Kitchen Data'!A:A,A12)-COUNTIFS('SF Kitchen Data'!A:A,A12,'SF Kitchen Data'!F:F,"")</f>
        <v>29</v>
      </c>
      <c r="H12" s="42">
        <f>COUNTIF('SF Kitchen Data'!A:A,A12)</f>
        <v>29</v>
      </c>
      <c r="I12" s="22">
        <f t="shared" si="1"/>
        <v>0.6896551724</v>
      </c>
      <c r="J12" s="22">
        <f t="shared" si="2"/>
        <v>0.6896551724</v>
      </c>
      <c r="K12" s="10">
        <f>VLOOKUP(A12,'Price Multipliers'!B:D,3,0)</f>
        <v>1.2</v>
      </c>
      <c r="L12" s="18">
        <v>1.2</v>
      </c>
      <c r="M12" s="10">
        <f t="shared" si="3"/>
        <v>0</v>
      </c>
    </row>
    <row r="13">
      <c r="A13" s="10" t="s">
        <v>912</v>
      </c>
      <c r="B13" s="18" t="s">
        <v>4046</v>
      </c>
      <c r="C13" s="10">
        <f>COUNTIF(Salam!D:D,"Vacant")</f>
        <v>4</v>
      </c>
      <c r="D13" s="10">
        <f>COUNTIF(Salam!D:D,"Sold")</f>
        <v>0</v>
      </c>
      <c r="E13" s="10">
        <f>COUNTIF(Salam!D:D,"Occupied")</f>
        <v>18</v>
      </c>
      <c r="F13" s="10">
        <f>COUNTIF(Salam!D:D,"Churning")</f>
        <v>0</v>
      </c>
      <c r="G13" s="10">
        <f>COUNTIF('SF Kitchen Data'!A:A,A13)-COUNTIFS('SF Kitchen Data'!A:A,A13,'SF Kitchen Data'!F:F,"")</f>
        <v>22</v>
      </c>
      <c r="H13" s="42">
        <f>COUNTIF('SF Kitchen Data'!A:A,A13)</f>
        <v>22</v>
      </c>
      <c r="I13" s="22">
        <f t="shared" si="1"/>
        <v>0.8181818182</v>
      </c>
      <c r="J13" s="22">
        <f t="shared" si="2"/>
        <v>0.8181818182</v>
      </c>
      <c r="K13" s="10">
        <f>VLOOKUP(A13,'Price Multipliers'!B:D,3,0)</f>
        <v>1.25</v>
      </c>
      <c r="L13" s="18">
        <v>1.2</v>
      </c>
      <c r="M13" s="10">
        <f t="shared" si="3"/>
        <v>0.05</v>
      </c>
    </row>
    <row r="14">
      <c r="A14" s="18" t="s">
        <v>210</v>
      </c>
      <c r="B14" s="18" t="s">
        <v>4046</v>
      </c>
      <c r="C14" s="10">
        <f>COUNTIF(Sulimaniah!D:D,"Vacant")</f>
        <v>0</v>
      </c>
      <c r="D14" s="10">
        <f>COUNTIF(Sulimaniah!D:D,"Sold")</f>
        <v>0</v>
      </c>
      <c r="E14" s="10">
        <f>COUNTIF(Sulimaniah!D:D,"Occupied")</f>
        <v>24</v>
      </c>
      <c r="F14" s="10">
        <f>COUNTIF(Sulimaniah!D:D,"Churning")</f>
        <v>1</v>
      </c>
      <c r="G14" s="10">
        <f>COUNTIF('SF Kitchen Data'!A:A,A14)-COUNTIFS('SF Kitchen Data'!A:A,A14,'SF Kitchen Data'!F:F,"")</f>
        <v>25</v>
      </c>
      <c r="H14" s="42">
        <f>COUNTIF('SF Kitchen Data'!A:A,A14)</f>
        <v>25</v>
      </c>
      <c r="I14" s="22">
        <f t="shared" si="1"/>
        <v>1</v>
      </c>
      <c r="J14" s="22">
        <f t="shared" si="2"/>
        <v>1</v>
      </c>
      <c r="K14" s="10">
        <f>VLOOKUP(A14,'Price Multipliers'!B:D,3,0)</f>
        <v>1.3</v>
      </c>
      <c r="L14" s="18">
        <v>1.2</v>
      </c>
      <c r="M14" s="10">
        <f t="shared" si="3"/>
        <v>0.1</v>
      </c>
    </row>
    <row r="15">
      <c r="A15" s="10" t="s">
        <v>201</v>
      </c>
      <c r="B15" s="18" t="s">
        <v>4046</v>
      </c>
      <c r="C15" s="10">
        <f>COUNTIF('Rawda - DMM'!D:D,"Vacant")</f>
        <v>1</v>
      </c>
      <c r="D15" s="10">
        <f>COUNTIF('Rawda - DMM'!D:D,"Sold")</f>
        <v>5</v>
      </c>
      <c r="E15" s="10">
        <f>COUNTIF('Rawda - DMM'!D:D,"Occupied")</f>
        <v>14</v>
      </c>
      <c r="F15" s="10">
        <f>COUNTIF('Rawda - DMM'!D:D,"Churning")</f>
        <v>4</v>
      </c>
      <c r="G15" s="10">
        <f>COUNTIF('SF Kitchen Data'!A:A,A15)-COUNTIFS('SF Kitchen Data'!A:A,A15,'SF Kitchen Data'!F:F,"")</f>
        <v>24</v>
      </c>
      <c r="H15" s="42">
        <f>COUNTIF('SF Kitchen Data'!A:A,A15)</f>
        <v>24</v>
      </c>
      <c r="I15" s="22">
        <f t="shared" si="1"/>
        <v>0.9583333333</v>
      </c>
      <c r="J15" s="22">
        <f t="shared" si="2"/>
        <v>0.75</v>
      </c>
      <c r="K15" s="10">
        <f>VLOOKUP(A15,'Price Multipliers'!B:D,3,0)</f>
        <v>1.2</v>
      </c>
      <c r="L15" s="18">
        <v>1.25</v>
      </c>
      <c r="M15" s="10">
        <f t="shared" si="3"/>
        <v>-0.05</v>
      </c>
    </row>
    <row r="16">
      <c r="A16" s="10" t="s">
        <v>165</v>
      </c>
      <c r="B16" s="18" t="s">
        <v>4046</v>
      </c>
      <c r="C16" s="10">
        <f>COUNTIF('Zuhur - DMM'!D:D,"Vacant")</f>
        <v>6</v>
      </c>
      <c r="D16" s="10">
        <f>COUNTIF('Zuhur - DMM'!D:D,"Sold")</f>
        <v>2</v>
      </c>
      <c r="E16" s="10">
        <f>COUNTIF('Zuhur - DMM'!D:D,"Occupied")</f>
        <v>14</v>
      </c>
      <c r="F16" s="10">
        <f>COUNTIF('Zuhur - DMM'!D:D,"Churning")</f>
        <v>2</v>
      </c>
      <c r="G16" s="10">
        <f>COUNTIF('SF Kitchen Data'!A:A,A16)-COUNTIFS('SF Kitchen Data'!A:A,A16,'SF Kitchen Data'!F:F,"")</f>
        <v>24</v>
      </c>
      <c r="H16" s="42">
        <f>COUNTIF('SF Kitchen Data'!A:A,A16)</f>
        <v>24</v>
      </c>
      <c r="I16" s="22">
        <f t="shared" si="1"/>
        <v>0.75</v>
      </c>
      <c r="J16" s="22">
        <f t="shared" si="2"/>
        <v>0.6666666667</v>
      </c>
      <c r="K16" s="10">
        <f>VLOOKUP(A16,'Price Multipliers'!B:D,3,0)</f>
        <v>1.2</v>
      </c>
      <c r="L16" s="18">
        <v>1.25</v>
      </c>
      <c r="M16" s="10">
        <f t="shared" si="3"/>
        <v>-0.05</v>
      </c>
    </row>
    <row r="17">
      <c r="A17" s="10" t="s">
        <v>364</v>
      </c>
      <c r="B17" s="18" t="s">
        <v>4046</v>
      </c>
      <c r="C17" s="10">
        <f>COUNTIF(Jarir!D:D,"Vacant")</f>
        <v>4</v>
      </c>
      <c r="D17" s="10">
        <f>COUNTIF(Jarir!D:D,"Sold")</f>
        <v>5</v>
      </c>
      <c r="E17" s="10">
        <f>COUNTIF(Jarir!D:D,"Occupied")</f>
        <v>14</v>
      </c>
      <c r="F17" s="10">
        <f>COUNTIF(Jarir!D:D,"Churning")</f>
        <v>0</v>
      </c>
      <c r="G17" s="10">
        <f>COUNTIF('SF Kitchen Data'!A:A,A17)-COUNTIFS('SF Kitchen Data'!A:A,A17,'SF Kitchen Data'!F:F,"")</f>
        <v>23</v>
      </c>
      <c r="H17" s="42">
        <f>COUNTIF('SF Kitchen Data'!A:A,A17)</f>
        <v>23</v>
      </c>
      <c r="I17" s="22">
        <f t="shared" si="1"/>
        <v>0.8260869565</v>
      </c>
      <c r="J17" s="22">
        <f t="shared" si="2"/>
        <v>0.6086956522</v>
      </c>
      <c r="K17" s="10">
        <f>VLOOKUP(A17,'Price Multipliers'!B:D,3,0)</f>
        <v>1</v>
      </c>
      <c r="L17" s="18">
        <v>0.8</v>
      </c>
      <c r="M17" s="10">
        <f t="shared" si="3"/>
        <v>0.2</v>
      </c>
    </row>
    <row r="18">
      <c r="A18" s="10" t="s">
        <v>49</v>
      </c>
      <c r="B18" s="18" t="s">
        <v>4046</v>
      </c>
      <c r="C18" s="10">
        <f>COUNTIF(Narjis!D:D,"Vacant")</f>
        <v>5</v>
      </c>
      <c r="D18" s="10">
        <f>COUNTIF(Narjis!D:D,"Sold")</f>
        <v>0</v>
      </c>
      <c r="E18" s="10">
        <f>COUNTIF(Narjis!D:D,"Occupied")</f>
        <v>22</v>
      </c>
      <c r="F18" s="10">
        <f>COUNTIF(Narjis!D:D,"Churning")</f>
        <v>0</v>
      </c>
      <c r="G18" s="10">
        <f>COUNTIF('SF Kitchen Data'!A:A,A18)-COUNTIFS('SF Kitchen Data'!A:A,A18,'SF Kitchen Data'!F:F,"")</f>
        <v>27</v>
      </c>
      <c r="H18" s="42">
        <f>COUNTIF('SF Kitchen Data'!A:A,A18)</f>
        <v>28</v>
      </c>
      <c r="I18" s="22">
        <f t="shared" si="1"/>
        <v>0.8148148148</v>
      </c>
      <c r="J18" s="22">
        <f t="shared" si="2"/>
        <v>0.8148148148</v>
      </c>
      <c r="K18" s="10">
        <f>VLOOKUP(A18,'Price Multipliers'!B:D,3,0)</f>
        <v>1.15</v>
      </c>
      <c r="L18" s="18">
        <v>1.2</v>
      </c>
      <c r="M18" s="10">
        <f t="shared" si="3"/>
        <v>-0.05</v>
      </c>
    </row>
    <row r="19">
      <c r="A19" s="10" t="s">
        <v>132</v>
      </c>
      <c r="B19" s="18" t="s">
        <v>4046</v>
      </c>
      <c r="C19" s="10">
        <f>COUNTIF(Hofuf!D:D,"Vacant")</f>
        <v>7</v>
      </c>
      <c r="D19" s="10">
        <f>COUNTIF(Hofuf!D:D,"Sold")</f>
        <v>0</v>
      </c>
      <c r="E19" s="10">
        <f>COUNTIF(Hofuf!D:D,"Occupied")</f>
        <v>12</v>
      </c>
      <c r="F19" s="10">
        <f>COUNTIF(Hofuf!D:D,"Churning")</f>
        <v>1</v>
      </c>
      <c r="G19" s="10">
        <f>COUNTIF('SF Kitchen Data'!A:A,A19)-COUNTIFS('SF Kitchen Data'!A:A,A19,'SF Kitchen Data'!F:F,"")</f>
        <v>20</v>
      </c>
      <c r="H19" s="42">
        <f>COUNTIF('SF Kitchen Data'!A:A,A19)</f>
        <v>20</v>
      </c>
      <c r="I19" s="22">
        <f t="shared" si="1"/>
        <v>0.65</v>
      </c>
      <c r="J19" s="22">
        <f t="shared" si="2"/>
        <v>0.65</v>
      </c>
      <c r="K19" s="10">
        <f>VLOOKUP(A19,'Price Multipliers'!B:D,3,0)</f>
        <v>0.8</v>
      </c>
      <c r="L19" s="18">
        <v>0.8</v>
      </c>
      <c r="M19" s="10">
        <f t="shared" si="3"/>
        <v>0</v>
      </c>
    </row>
    <row r="20">
      <c r="A20" s="18" t="s">
        <v>125</v>
      </c>
      <c r="B20" s="18" t="s">
        <v>4046</v>
      </c>
      <c r="C20" s="10">
        <f>COUNTIF(Bishr!D:D,"Vacant")</f>
        <v>3</v>
      </c>
      <c r="D20" s="10">
        <f>COUNTIF(Bishr!D:D,"Sold")</f>
        <v>1</v>
      </c>
      <c r="E20" s="10">
        <f>COUNTIF(Bishr!D:D,"Occupied")</f>
        <v>6</v>
      </c>
      <c r="F20" s="10">
        <f>COUNTIF(Bishr!D:D,"Churning")</f>
        <v>1</v>
      </c>
      <c r="G20" s="10">
        <f>COUNTIF('SF Kitchen Data'!A:A,A20)-COUNTIFS('SF Kitchen Data'!A:A,A20,'SF Kitchen Data'!F:F,"")</f>
        <v>18</v>
      </c>
      <c r="H20" s="42">
        <f>COUNTIF('SF Kitchen Data'!A:A,A20)</f>
        <v>18</v>
      </c>
      <c r="I20" s="22">
        <f t="shared" si="1"/>
        <v>0.4444444444</v>
      </c>
      <c r="J20" s="22">
        <f t="shared" si="2"/>
        <v>0.3888888889</v>
      </c>
      <c r="K20" s="10">
        <f>VLOOKUP(A20,'Price Multipliers'!B:D,3,0)</f>
        <v>0.85</v>
      </c>
      <c r="L20" s="18">
        <v>0.8</v>
      </c>
      <c r="M20" s="10">
        <f t="shared" si="3"/>
        <v>0.05</v>
      </c>
    </row>
    <row r="21">
      <c r="A21" s="10" t="s">
        <v>191</v>
      </c>
      <c r="B21" s="18" t="s">
        <v>4046</v>
      </c>
      <c r="C21" s="10">
        <f>COUNTIF(Yasmin!D:D,"Vacant")</f>
        <v>1</v>
      </c>
      <c r="D21" s="10">
        <f>COUNTIF(Yasmin!D:D,"Sold")</f>
        <v>0</v>
      </c>
      <c r="E21" s="10">
        <f>COUNTIF(Yasmin!D:D,"Occupied")</f>
        <v>17</v>
      </c>
      <c r="F21" s="10">
        <f>COUNTIF(Yasmin!D:D,"Churning")</f>
        <v>2</v>
      </c>
      <c r="G21" s="10">
        <f>COUNTIF('SF Kitchen Data'!A:A,A21)-COUNTIFS('SF Kitchen Data'!A:A,A21,'SF Kitchen Data'!F:F,"")</f>
        <v>20</v>
      </c>
      <c r="H21" s="42">
        <f>COUNTIF('SF Kitchen Data'!A:A,A21)</f>
        <v>20</v>
      </c>
      <c r="I21" s="22">
        <f t="shared" si="1"/>
        <v>0.95</v>
      </c>
      <c r="J21" s="22">
        <f t="shared" si="2"/>
        <v>0.95</v>
      </c>
      <c r="K21" s="10">
        <f>VLOOKUP(A21,'Price Multipliers'!B:D,3,0)</f>
        <v>1.3</v>
      </c>
      <c r="L21" s="18">
        <v>1.3</v>
      </c>
      <c r="M21" s="10">
        <f t="shared" si="3"/>
        <v>0</v>
      </c>
    </row>
    <row r="22">
      <c r="A22" s="10" t="s">
        <v>1238</v>
      </c>
      <c r="B22" s="18" t="s">
        <v>4047</v>
      </c>
      <c r="C22" s="10">
        <f>COUNTIF('King Faisal'!D:D,"Vacant")</f>
        <v>2</v>
      </c>
      <c r="D22" s="10">
        <f>COUNTIF('King Faisal'!D:D,"Sold")</f>
        <v>6</v>
      </c>
      <c r="E22" s="10">
        <f>COUNTIF('King Faisal'!D:D,"Occupied")</f>
        <v>15</v>
      </c>
      <c r="F22" s="10">
        <f>COUNTIF('King Faisal'!D:D,"Churning")</f>
        <v>0</v>
      </c>
      <c r="G22" s="10">
        <f>COUNTIF('SF Kitchen Data'!A:A,A22)-COUNTIFS('SF Kitchen Data'!A:A,A22,'SF Kitchen Data'!F:F,"")</f>
        <v>23</v>
      </c>
      <c r="H22" s="42">
        <f>COUNTIF('SF Kitchen Data'!A:A,A22)</f>
        <v>23</v>
      </c>
      <c r="I22" s="22">
        <f t="shared" si="1"/>
        <v>0.9130434783</v>
      </c>
      <c r="J22" s="22">
        <f t="shared" si="2"/>
        <v>0.652173913</v>
      </c>
      <c r="K22" s="10">
        <f>VLOOKUP(A22,'Price Multipliers'!B:D,3,0)</f>
        <v>1.3</v>
      </c>
      <c r="L22" s="18">
        <v>1.2</v>
      </c>
      <c r="M22" s="10">
        <f t="shared" si="3"/>
        <v>0.1</v>
      </c>
    </row>
    <row r="23">
      <c r="A23" s="10" t="s">
        <v>43</v>
      </c>
      <c r="B23" s="18" t="s">
        <v>4047</v>
      </c>
      <c r="C23" s="10">
        <f>COUNTIF('Arid 2'!D:D,"Vacant")</f>
        <v>1</v>
      </c>
      <c r="D23" s="10">
        <f>COUNTIF('Arid 2'!D:D,"Sold")</f>
        <v>2</v>
      </c>
      <c r="E23" s="10">
        <f>COUNTIF('Arid 2'!D:D,"Occupied")</f>
        <v>9</v>
      </c>
      <c r="F23" s="10">
        <f>COUNTIF('Arid 2'!D:D,"Churning")</f>
        <v>1</v>
      </c>
      <c r="G23" s="10">
        <f>COUNTIF('SF Kitchen Data'!A:A,A23)-COUNTIFS('SF Kitchen Data'!A:A,A23,'SF Kitchen Data'!F:F,"")</f>
        <v>18</v>
      </c>
      <c r="H23" s="42">
        <f>COUNTIF('SF Kitchen Data'!A:A,A23)</f>
        <v>20</v>
      </c>
      <c r="I23" s="22">
        <f t="shared" si="1"/>
        <v>0.6666666667</v>
      </c>
      <c r="J23" s="22">
        <f t="shared" si="2"/>
        <v>0.5555555556</v>
      </c>
      <c r="K23" s="10">
        <f>VLOOKUP(A23,'Price Multipliers'!B:D,3,0)</f>
        <v>1.2</v>
      </c>
      <c r="L23" s="18">
        <v>1.15</v>
      </c>
      <c r="M23" s="10">
        <f t="shared" si="3"/>
        <v>0.05</v>
      </c>
    </row>
    <row r="24">
      <c r="A24" s="10" t="s">
        <v>2526</v>
      </c>
      <c r="B24" s="18" t="s">
        <v>4047</v>
      </c>
      <c r="C24" s="10">
        <f>COUNTIF('Aqiq 2'!D:D,"Vacant")</f>
        <v>13</v>
      </c>
      <c r="D24" s="10">
        <f>COUNTIF('Aqiq 2'!D:D,"Sold")</f>
        <v>0</v>
      </c>
      <c r="E24" s="10">
        <f>COUNTIF('Aqiq 2'!D:D,"Occupied")</f>
        <v>0</v>
      </c>
      <c r="F24" s="10">
        <f>COUNTIF('Aqiq 2'!D:D,"Churning")</f>
        <v>0</v>
      </c>
      <c r="G24" s="10">
        <f>COUNTIF('SF Kitchen Data'!A:A,A24)-COUNTIFS('SF Kitchen Data'!A:A,A24,'SF Kitchen Data'!F:F,"")</f>
        <v>13</v>
      </c>
      <c r="H24" s="42">
        <f>COUNTIF('SF Kitchen Data'!A:A,A24)</f>
        <v>13</v>
      </c>
      <c r="I24" s="22">
        <f t="shared" si="1"/>
        <v>0</v>
      </c>
      <c r="J24" s="22">
        <f t="shared" si="2"/>
        <v>0</v>
      </c>
      <c r="K24" s="10">
        <f>VLOOKUP(A24,'Price Multipliers'!B:D,3,0)</f>
        <v>1.1</v>
      </c>
      <c r="L24" s="18" t="s">
        <v>400</v>
      </c>
      <c r="M24" s="10" t="str">
        <f t="shared" si="3"/>
        <v>#VALUE!</v>
      </c>
    </row>
    <row r="25">
      <c r="A25" s="10" t="s">
        <v>1822</v>
      </c>
      <c r="B25" s="18" t="s">
        <v>4047</v>
      </c>
      <c r="C25" s="10">
        <f>COUNTIF('Rakah - KBR'!D:D,"Vacant")</f>
        <v>14</v>
      </c>
      <c r="D25" s="10">
        <f>COUNTIF('Rakah - KBR'!D:D,"Sold")</f>
        <v>0</v>
      </c>
      <c r="E25" s="10">
        <f>COUNTIF('Rakah - KBR'!D:D,"Occupied")</f>
        <v>3</v>
      </c>
      <c r="F25" s="10">
        <f>COUNTIF('Rakah - KBR'!D:D,"Churning")</f>
        <v>0</v>
      </c>
      <c r="G25" s="10">
        <f>COUNTIF('SF Kitchen Data'!A:A,A25)-COUNTIFS('SF Kitchen Data'!A:A,A25,'SF Kitchen Data'!F:F,"")</f>
        <v>17</v>
      </c>
      <c r="H25" s="42">
        <f>COUNTIF('SF Kitchen Data'!A:A,A25)</f>
        <v>17</v>
      </c>
      <c r="I25" s="22">
        <f t="shared" si="1"/>
        <v>0.1764705882</v>
      </c>
      <c r="J25" s="22">
        <f t="shared" si="2"/>
        <v>0.1764705882</v>
      </c>
      <c r="K25" s="10">
        <f>VLOOKUP(A25,'Price Multipliers'!B:D,3,0)</f>
        <v>1.1</v>
      </c>
      <c r="L25" s="18" t="s">
        <v>400</v>
      </c>
      <c r="M25" s="10" t="str">
        <f t="shared" si="3"/>
        <v>#VALUE!</v>
      </c>
    </row>
    <row r="26">
      <c r="A26" s="18" t="s">
        <v>4048</v>
      </c>
      <c r="C26" s="10">
        <f t="shared" ref="C26:H26" si="4">SUMIF($B$2:B25,"Live",C2:C25)</f>
        <v>108</v>
      </c>
      <c r="D26" s="10">
        <f t="shared" si="4"/>
        <v>19</v>
      </c>
      <c r="E26" s="10">
        <f t="shared" si="4"/>
        <v>388</v>
      </c>
      <c r="F26" s="10">
        <f t="shared" si="4"/>
        <v>33</v>
      </c>
      <c r="G26" s="10">
        <f t="shared" si="4"/>
        <v>555</v>
      </c>
      <c r="H26" s="10">
        <f t="shared" si="4"/>
        <v>561</v>
      </c>
      <c r="I26" s="22">
        <f t="shared" si="1"/>
        <v>0.7927927928</v>
      </c>
      <c r="J26" s="22">
        <f t="shared" si="2"/>
        <v>0.7585585586</v>
      </c>
    </row>
    <row r="27">
      <c r="A27" s="18" t="s">
        <v>4049</v>
      </c>
      <c r="C27" s="10">
        <f t="shared" ref="C27:H27" si="5">sum(C2:C25)</f>
        <v>138</v>
      </c>
      <c r="D27" s="10">
        <f t="shared" si="5"/>
        <v>27</v>
      </c>
      <c r="E27" s="10">
        <f t="shared" si="5"/>
        <v>415</v>
      </c>
      <c r="F27" s="10">
        <f t="shared" si="5"/>
        <v>34</v>
      </c>
      <c r="G27" s="10">
        <f t="shared" si="5"/>
        <v>626</v>
      </c>
      <c r="H27" s="42">
        <f t="shared" si="5"/>
        <v>634</v>
      </c>
      <c r="I27" s="22">
        <f t="shared" si="1"/>
        <v>0.7603833866</v>
      </c>
      <c r="J27" s="22">
        <f t="shared" si="2"/>
        <v>0.7172523962</v>
      </c>
    </row>
  </sheetData>
  <conditionalFormatting sqref="M2:M25">
    <cfRule type="cellIs" dxfId="0" priority="1" operator="lessThan">
      <formula>0</formula>
    </cfRule>
  </conditionalFormatting>
  <conditionalFormatting sqref="M2:M25">
    <cfRule type="cellIs" dxfId="1" priority="2" operator="greaterThanOrEqual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38"/>
    <col customWidth="1" min="2" max="2" width="15.13"/>
  </cols>
  <sheetData>
    <row r="1"/>
    <row r="2"/>
    <row r="3"/>
    <row r="4">
      <c r="E4" s="10">
        <f t="shared" ref="E4:E29" si="1">B4/C4</f>
        <v>25.39799004</v>
      </c>
    </row>
    <row r="5">
      <c r="E5" s="10">
        <f t="shared" si="1"/>
        <v>112.9319648</v>
      </c>
    </row>
    <row r="6">
      <c r="E6" s="10">
        <f t="shared" si="1"/>
        <v>186.7666404</v>
      </c>
    </row>
    <row r="7">
      <c r="E7" s="10">
        <f t="shared" si="1"/>
        <v>173.8856029</v>
      </c>
    </row>
    <row r="8">
      <c r="E8" s="10">
        <f t="shared" si="1"/>
        <v>143.638441</v>
      </c>
    </row>
    <row r="9">
      <c r="E9" s="10">
        <f t="shared" si="1"/>
        <v>173.0437916</v>
      </c>
    </row>
    <row r="10">
      <c r="E10" s="10">
        <f t="shared" si="1"/>
        <v>217.1124668</v>
      </c>
    </row>
    <row r="11">
      <c r="E11" s="10">
        <f t="shared" si="1"/>
        <v>182.9547127</v>
      </c>
    </row>
    <row r="12">
      <c r="E12" s="10">
        <f t="shared" si="1"/>
        <v>191.3467247</v>
      </c>
    </row>
    <row r="13">
      <c r="E13" s="10">
        <f t="shared" si="1"/>
        <v>263.2032204</v>
      </c>
    </row>
    <row r="14">
      <c r="E14" s="10">
        <f t="shared" si="1"/>
        <v>241.1312054</v>
      </c>
    </row>
    <row r="15">
      <c r="E15" s="10">
        <f t="shared" si="1"/>
        <v>188.9067419</v>
      </c>
    </row>
    <row r="16">
      <c r="E16" s="10">
        <f t="shared" si="1"/>
        <v>306.7192242</v>
      </c>
    </row>
    <row r="17">
      <c r="E17" s="10">
        <f t="shared" si="1"/>
        <v>194.0307004</v>
      </c>
    </row>
    <row r="18">
      <c r="E18" s="10">
        <f t="shared" si="1"/>
        <v>240.5177359</v>
      </c>
    </row>
    <row r="19">
      <c r="E19" s="10">
        <f t="shared" si="1"/>
        <v>341.7557756</v>
      </c>
    </row>
    <row r="20">
      <c r="E20" s="10">
        <f t="shared" si="1"/>
        <v>92.14578604</v>
      </c>
    </row>
    <row r="21">
      <c r="E21" s="10">
        <f t="shared" si="1"/>
        <v>179.563251</v>
      </c>
    </row>
    <row r="22">
      <c r="E22" s="10">
        <f t="shared" si="1"/>
        <v>483.3876796</v>
      </c>
    </row>
    <row r="23">
      <c r="E23" s="10">
        <f t="shared" si="1"/>
        <v>363.4264972</v>
      </c>
    </row>
    <row r="24">
      <c r="E24" s="10">
        <f t="shared" si="1"/>
        <v>341.4320722</v>
      </c>
    </row>
    <row r="25">
      <c r="E25" s="10">
        <f t="shared" si="1"/>
        <v>204.4069143</v>
      </c>
    </row>
    <row r="26">
      <c r="E26" s="10">
        <f t="shared" si="1"/>
        <v>264.1696907</v>
      </c>
    </row>
    <row r="27">
      <c r="E27" s="10">
        <f t="shared" si="1"/>
        <v>364.2633401</v>
      </c>
    </row>
    <row r="28">
      <c r="E28" s="10">
        <f t="shared" si="1"/>
        <v>321.0815378</v>
      </c>
    </row>
    <row r="29">
      <c r="E29" s="10">
        <f t="shared" si="1"/>
        <v>362.4760689</v>
      </c>
    </row>
    <row r="30"/>
    <row r="31"/>
    <row r="32"/>
    <row r="33"/>
    <row r="34"/>
    <row r="35"/>
    <row r="36"/>
    <row r="37"/>
    <row r="38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38"/>
    <col customWidth="1" min="5" max="5" width="31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6.88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autoFilter ref="$A$1:$I$53"/>
  <conditionalFormatting sqref="C2:C53">
    <cfRule type="expression" dxfId="2" priority="1">
      <formula>D2:D1000="Blocked"</formula>
    </cfRule>
  </conditionalFormatting>
  <conditionalFormatting sqref="I2:I52">
    <cfRule type="expression" dxfId="3" priority="2">
      <formula>IF(D2:D1000="Churning",I2:I1000&gt;"")</formula>
    </cfRule>
  </conditionalFormatting>
  <conditionalFormatting sqref="I2:I52">
    <cfRule type="expression" dxfId="3" priority="3">
      <formula>IF(D2:D1000="Vacant",I2:I1000&gt;"")</formula>
    </cfRule>
  </conditionalFormatting>
  <conditionalFormatting sqref="C2:C53 E2:E22">
    <cfRule type="expression" dxfId="4" priority="4">
      <formula>D2:D1000="Vacant"</formula>
    </cfRule>
  </conditionalFormatting>
  <conditionalFormatting sqref="C2:C53 E2:E22">
    <cfRule type="expression" dxfId="0" priority="5">
      <formula>D2:D1000="Sold"</formula>
    </cfRule>
  </conditionalFormatting>
  <conditionalFormatting sqref="C2:C53 E2:E22">
    <cfRule type="expression" dxfId="5" priority="6">
      <formula>D2:D1000=""</formula>
    </cfRule>
  </conditionalFormatting>
  <conditionalFormatting sqref="C2:C53 E2:E22">
    <cfRule type="expression" dxfId="0" priority="7">
      <formula>D2:D1000="Occupied"</formula>
    </cfRule>
  </conditionalFormatting>
  <conditionalFormatting sqref="C2:C53 E2:E22">
    <cfRule type="expression" dxfId="6" priority="8">
      <formula>D2:D1000="Churning"</formula>
    </cfRule>
  </conditionalFormatting>
  <conditionalFormatting sqref="C1:C53 C63:C1000">
    <cfRule type="expression" dxfId="7" priority="9">
      <formula>C2&lt;B2</formula>
    </cfRule>
  </conditionalFormatting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C2:C23">
    <cfRule type="expression" dxfId="2" priority="1">
      <formula>D2:D1000="Blocked"</formula>
    </cfRule>
  </conditionalFormatting>
  <conditionalFormatting sqref="I2:I22">
    <cfRule type="expression" dxfId="3" priority="2">
      <formula>IF(D2:D1000="Churning",I2:I1000&gt;"")</formula>
    </cfRule>
  </conditionalFormatting>
  <conditionalFormatting sqref="I2:I22">
    <cfRule type="expression" dxfId="3" priority="3">
      <formula>IF(D2:D1000="Vacant",I2:I1000&gt;"")</formula>
    </cfRule>
  </conditionalFormatting>
  <conditionalFormatting sqref="C2:C23 E2:E22">
    <cfRule type="expression" dxfId="4" priority="4">
      <formula>D2:D1000="Vacant"</formula>
    </cfRule>
  </conditionalFormatting>
  <conditionalFormatting sqref="C2:C23 E2:E22">
    <cfRule type="expression" dxfId="0" priority="5">
      <formula>D2:D1000="Sold"</formula>
    </cfRule>
  </conditionalFormatting>
  <conditionalFormatting sqref="C2:C23 E2:E22">
    <cfRule type="expression" dxfId="5" priority="6">
      <formula>D2:D1000=""</formula>
    </cfRule>
  </conditionalFormatting>
  <conditionalFormatting sqref="C2:C23 E2:E22">
    <cfRule type="expression" dxfId="0" priority="7">
      <formula>D2:D1000="Occupied"</formula>
    </cfRule>
  </conditionalFormatting>
  <conditionalFormatting sqref="C2:C23 E2:E22">
    <cfRule type="expression" dxfId="6" priority="8">
      <formula>D2:D1000="Churning"</formula>
    </cfRule>
  </conditionalFormatting>
  <conditionalFormatting sqref="C1:C23 C63:C1000">
    <cfRule type="expression" dxfId="7" priority="9">
      <formula>C2&lt;B2</formula>
    </cfRule>
  </conditionalFormatting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>
      <c r="C27" s="10"/>
    </row>
    <row r="28" ht="15.0" customHeight="1"/>
    <row r="29" ht="15.0" customHeight="1"/>
    <row r="30" ht="15.0" customHeight="1"/>
    <row r="31" ht="15.0" customHeight="1"/>
  </sheetData>
  <autoFilter ref="$A$1:$I$27"/>
  <conditionalFormatting sqref="C2:C27">
    <cfRule type="expression" dxfId="2" priority="1">
      <formula>D2:D1000="Blocked"</formula>
    </cfRule>
  </conditionalFormatting>
  <conditionalFormatting sqref="I2:I26">
    <cfRule type="expression" dxfId="3" priority="2">
      <formula>IF(D2:D1000="Churning",I2:I1000&gt;"")</formula>
    </cfRule>
  </conditionalFormatting>
  <conditionalFormatting sqref="I2:I26">
    <cfRule type="expression" dxfId="3" priority="3">
      <formula>IF(D2:D1000="Vacant",I2:I1000&gt;"")</formula>
    </cfRule>
  </conditionalFormatting>
  <conditionalFormatting sqref="C2:C27 E2:E22">
    <cfRule type="expression" dxfId="4" priority="4">
      <formula>D2:D1000="Vacant"</formula>
    </cfRule>
  </conditionalFormatting>
  <conditionalFormatting sqref="C2:C27 E2:E22">
    <cfRule type="expression" dxfId="0" priority="5">
      <formula>D2:D1000="Sold"</formula>
    </cfRule>
  </conditionalFormatting>
  <conditionalFormatting sqref="C2:C27 E2:E22">
    <cfRule type="expression" dxfId="5" priority="6">
      <formula>D2:D1000=""</formula>
    </cfRule>
  </conditionalFormatting>
  <conditionalFormatting sqref="C2:C27 E2:E22">
    <cfRule type="expression" dxfId="0" priority="7">
      <formula>D2:D1000="Occupied"</formula>
    </cfRule>
  </conditionalFormatting>
  <conditionalFormatting sqref="C2:C27 E2:E22">
    <cfRule type="expression" dxfId="6" priority="8">
      <formula>D2:D1000="Churning"</formula>
    </cfRule>
  </conditionalFormatting>
  <conditionalFormatting sqref="C1:C27 C63:C1000">
    <cfRule type="expression" dxfId="7" priority="9">
      <formula>C2&lt;B2</formula>
    </cfRule>
  </conditionalFormatting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53.38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</sheetData>
  <conditionalFormatting sqref="C2:C57">
    <cfRule type="expression" dxfId="2" priority="1">
      <formula>D2:D1000="Blocked"</formula>
    </cfRule>
  </conditionalFormatting>
  <conditionalFormatting sqref="I2:I57">
    <cfRule type="expression" dxfId="3" priority="2">
      <formula>IF(D2:D1000="Churning",I2:I1000&gt;"")</formula>
    </cfRule>
  </conditionalFormatting>
  <conditionalFormatting sqref="I2:I57">
    <cfRule type="expression" dxfId="3" priority="3">
      <formula>IF(D2:D1000="Vacant",I2:I1000&gt;"")</formula>
    </cfRule>
  </conditionalFormatting>
  <conditionalFormatting sqref="C2:C57 E2:E57">
    <cfRule type="expression" dxfId="4" priority="4">
      <formula>D2:D1000="Vacant"</formula>
    </cfRule>
  </conditionalFormatting>
  <conditionalFormatting sqref="C2:C57 E2:E57">
    <cfRule type="expression" dxfId="0" priority="5">
      <formula>D2:D1000="Sold"</formula>
    </cfRule>
  </conditionalFormatting>
  <conditionalFormatting sqref="C2:C57 E2:E57">
    <cfRule type="expression" dxfId="5" priority="6">
      <formula>D2:D1000=""</formula>
    </cfRule>
  </conditionalFormatting>
  <conditionalFormatting sqref="C2:C57 E2:E57">
    <cfRule type="expression" dxfId="0" priority="7">
      <formula>D2:D1000="Occupied"</formula>
    </cfRule>
  </conditionalFormatting>
  <conditionalFormatting sqref="C2:C57 E2:E57">
    <cfRule type="expression" dxfId="6" priority="8">
      <formula>D2:D1000="Churning"</formula>
    </cfRule>
  </conditionalFormatting>
  <conditionalFormatting sqref="C1:C1000">
    <cfRule type="expression" dxfId="7" priority="9">
      <formula>C2&lt;B2</formula>
    </cfRule>
  </conditionalFormatting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/>
    <row r="33"/>
    <row r="34"/>
    <row r="35"/>
    <row r="36"/>
    <row r="37"/>
    <row r="38"/>
    <row r="39"/>
  </sheetData>
  <autoFilter ref="$A$1:$I$39"/>
  <conditionalFormatting sqref="C2:C39">
    <cfRule type="expression" dxfId="7" priority="1">
      <formula>C3&lt;B3</formula>
    </cfRule>
  </conditionalFormatting>
  <conditionalFormatting sqref="C2:C39">
    <cfRule type="expression" dxfId="2" priority="2">
      <formula>D2:D1000="Blocked"</formula>
    </cfRule>
  </conditionalFormatting>
  <conditionalFormatting sqref="I2:I39">
    <cfRule type="expression" dxfId="3" priority="3">
      <formula>IF(D2:D1000="Churning",I2:I1000&gt;"")</formula>
    </cfRule>
  </conditionalFormatting>
  <conditionalFormatting sqref="I2:I39">
    <cfRule type="expression" dxfId="3" priority="4">
      <formula>IF(D2:D1000="Vacant",I2:I1000&gt;"")</formula>
    </cfRule>
  </conditionalFormatting>
  <conditionalFormatting sqref="C2:C39 E2:E22">
    <cfRule type="expression" dxfId="4" priority="5">
      <formula>D2:D1000="Vacant"</formula>
    </cfRule>
  </conditionalFormatting>
  <conditionalFormatting sqref="C2:C39 E2:E22">
    <cfRule type="expression" dxfId="0" priority="6">
      <formula>D2:D1000="Sold"</formula>
    </cfRule>
  </conditionalFormatting>
  <conditionalFormatting sqref="C2:C39 E2:E22">
    <cfRule type="expression" dxfId="5" priority="7">
      <formula>D2:D1000=""</formula>
    </cfRule>
  </conditionalFormatting>
  <conditionalFormatting sqref="C2:C39 E2:E22">
    <cfRule type="expression" dxfId="0" priority="8">
      <formula>D2:D1000="Occupied"</formula>
    </cfRule>
  </conditionalFormatting>
  <conditionalFormatting sqref="C2:C39 E2:E22">
    <cfRule type="expression" dxfId="6" priority="9">
      <formula>D2:D1000="Churning"</formula>
    </cfRule>
  </conditionalFormatting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C2:C25">
    <cfRule type="expression" dxfId="2" priority="1">
      <formula>D2:D1000="Blocked"</formula>
    </cfRule>
  </conditionalFormatting>
  <conditionalFormatting sqref="I2:I25">
    <cfRule type="expression" dxfId="3" priority="2">
      <formula>IF(D2:D1000="Churning",I2:I1000&gt;"")</formula>
    </cfRule>
  </conditionalFormatting>
  <conditionalFormatting sqref="I2:I25">
    <cfRule type="expression" dxfId="3" priority="3">
      <formula>IF(D2:D1000="Vacant",I2:I1000&gt;"")</formula>
    </cfRule>
  </conditionalFormatting>
  <conditionalFormatting sqref="C2:C25 E2:E22">
    <cfRule type="expression" dxfId="4" priority="4">
      <formula>D2:D1000="Vacant"</formula>
    </cfRule>
  </conditionalFormatting>
  <conditionalFormatting sqref="C2:C25 E2:E22">
    <cfRule type="expression" dxfId="0" priority="5">
      <formula>D2:D1000="Sold"</formula>
    </cfRule>
  </conditionalFormatting>
  <conditionalFormatting sqref="C2:C25 E2:E22">
    <cfRule type="expression" dxfId="5" priority="6">
      <formula>D2:D1000=""</formula>
    </cfRule>
  </conditionalFormatting>
  <conditionalFormatting sqref="C2:C25 E2:E22">
    <cfRule type="expression" dxfId="0" priority="7">
      <formula>D2:D1000="Occupied"</formula>
    </cfRule>
  </conditionalFormatting>
  <conditionalFormatting sqref="C2:C25 E2:E22">
    <cfRule type="expression" dxfId="6" priority="8">
      <formula>D2:D1000="Churning"</formula>
    </cfRule>
  </conditionalFormatting>
  <conditionalFormatting sqref="C1:C25 C63:C1000">
    <cfRule type="expression" dxfId="7" priority="9">
      <formula>C2&lt;B2</formula>
    </cfRule>
  </conditionalFormatting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7">
      <c r="B17" s="44"/>
    </row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A$1:$I$14">
    <sortState ref="A1:I14">
      <sortCondition ref="H1:H14"/>
    </sortState>
  </autoFilter>
  <conditionalFormatting sqref="C2:C14">
    <cfRule type="expression" dxfId="2" priority="1">
      <formula>D2:D1000="Blocked"</formula>
    </cfRule>
  </conditionalFormatting>
  <conditionalFormatting sqref="I2:I25">
    <cfRule type="expression" dxfId="3" priority="2">
      <formula>IF(D2:D1000="Churning",I2:I1000&gt;"")</formula>
    </cfRule>
  </conditionalFormatting>
  <conditionalFormatting sqref="I2:I25">
    <cfRule type="expression" dxfId="3" priority="3">
      <formula>IF(D2:D1000="Vacant",I2:I1000&gt;"")</formula>
    </cfRule>
  </conditionalFormatting>
  <conditionalFormatting sqref="C2:C14 E2:E14">
    <cfRule type="expression" dxfId="4" priority="4">
      <formula>D2:D1000="Vacant"</formula>
    </cfRule>
  </conditionalFormatting>
  <conditionalFormatting sqref="C2:C14 E2:E14">
    <cfRule type="expression" dxfId="0" priority="5">
      <formula>D2:D1000="Sold"</formula>
    </cfRule>
  </conditionalFormatting>
  <conditionalFormatting sqref="C2:C14 E2:E14">
    <cfRule type="expression" dxfId="5" priority="6">
      <formula>D2:D1000=""</formula>
    </cfRule>
  </conditionalFormatting>
  <conditionalFormatting sqref="C2:C14 E2:E14">
    <cfRule type="expression" dxfId="0" priority="7">
      <formula>D2:D1000="Occupied"</formula>
    </cfRule>
  </conditionalFormatting>
  <conditionalFormatting sqref="C2:C14 E2:E14">
    <cfRule type="expression" dxfId="6" priority="8">
      <formula>D2:D1000="Churning"</formula>
    </cfRule>
  </conditionalFormatting>
  <conditionalFormatting sqref="C1:C14 C63:C1000">
    <cfRule type="expression" dxfId="7" priority="9">
      <formula>C2&lt;B2</formula>
    </cfRule>
  </conditionalFormatting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C2:C22">
    <cfRule type="expression" dxfId="5" priority="1">
      <formula>D2:D1000=""</formula>
    </cfRule>
  </conditionalFormatting>
  <conditionalFormatting sqref="C2:C22">
    <cfRule type="expression" dxfId="2" priority="2">
      <formula>D2:D1000="Blocked"</formula>
    </cfRule>
  </conditionalFormatting>
  <conditionalFormatting sqref="I2:I22">
    <cfRule type="expression" dxfId="3" priority="3">
      <formula>IF(D2:D1000="Churning",I2:I1000&gt;"")</formula>
    </cfRule>
  </conditionalFormatting>
  <conditionalFormatting sqref="I2:I22">
    <cfRule type="expression" dxfId="3" priority="4">
      <formula>IF(D2:D1000="Vacant",I2:I1000&gt;"")</formula>
    </cfRule>
  </conditionalFormatting>
  <conditionalFormatting sqref="C2:C22 E2:E22">
    <cfRule type="expression" dxfId="4" priority="5">
      <formula>D2:D1000="Vacant"</formula>
    </cfRule>
  </conditionalFormatting>
  <conditionalFormatting sqref="C2:C22 E2:E22">
    <cfRule type="expression" dxfId="0" priority="6">
      <formula>D2:D1000="Sold"</formula>
    </cfRule>
  </conditionalFormatting>
  <conditionalFormatting sqref="C2:C22 E2:E22">
    <cfRule type="expression" dxfId="0" priority="7">
      <formula>D2:D1000="Occupied"</formula>
    </cfRule>
  </conditionalFormatting>
  <conditionalFormatting sqref="C2:C22 E2:E22">
    <cfRule type="expression" dxfId="6" priority="8">
      <formula>D2:D1000="Churning"</formula>
    </cfRule>
  </conditionalFormatting>
  <conditionalFormatting sqref="C1:C22 C63:C1000">
    <cfRule type="expression" dxfId="7" priority="9">
      <formula>C2&lt;B2</formula>
    </cfRule>
  </conditionalFormatting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7.63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C2:C30">
    <cfRule type="expression" dxfId="2" priority="1">
      <formula>D2:D1000="Blocked"</formula>
    </cfRule>
  </conditionalFormatting>
  <conditionalFormatting sqref="I2:I30">
    <cfRule type="expression" dxfId="3" priority="2">
      <formula>IF(D2:D1000="Churning",I2:I1000&gt;"")</formula>
    </cfRule>
  </conditionalFormatting>
  <conditionalFormatting sqref="I2:I30">
    <cfRule type="expression" dxfId="3" priority="3">
      <formula>IF(D2:D1000="Vacant",I2:I1000&gt;"")</formula>
    </cfRule>
  </conditionalFormatting>
  <conditionalFormatting sqref="C2:C30 E2:E22">
    <cfRule type="expression" dxfId="4" priority="4">
      <formula>D2:D1000="Vacant"</formula>
    </cfRule>
  </conditionalFormatting>
  <conditionalFormatting sqref="C2:C30 E2:E22">
    <cfRule type="expression" dxfId="0" priority="5">
      <formula>D2:D1000="Sold"</formula>
    </cfRule>
  </conditionalFormatting>
  <conditionalFormatting sqref="C2:C30 E2:E22">
    <cfRule type="expression" dxfId="5" priority="6">
      <formula>D2:D1000=""</formula>
    </cfRule>
  </conditionalFormatting>
  <conditionalFormatting sqref="C2:C30 E2:E22">
    <cfRule type="expression" dxfId="0" priority="7">
      <formula>D2:D1000="Occupied"</formula>
    </cfRule>
  </conditionalFormatting>
  <conditionalFormatting sqref="C2:C30 E2:E22">
    <cfRule type="expression" dxfId="6" priority="8">
      <formula>D2:D1000="Churning"</formula>
    </cfRule>
  </conditionalFormatting>
  <conditionalFormatting sqref="C1:C30 C63:C1000">
    <cfRule type="expression" dxfId="7" priority="9">
      <formula>C2&lt;B2</formula>
    </cfRule>
  </conditionalFormatting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/>
    <row r="33"/>
    <row r="34"/>
    <row r="35"/>
  </sheetData>
  <conditionalFormatting sqref="C2:C34">
    <cfRule type="expression" dxfId="2" priority="1">
      <formula>D2:D1000="Blocked"</formula>
    </cfRule>
  </conditionalFormatting>
  <conditionalFormatting sqref="I2:I36">
    <cfRule type="expression" dxfId="3" priority="2">
      <formula>IF(D2:D1000="Churning",I2:I1000&gt;"")</formula>
    </cfRule>
  </conditionalFormatting>
  <conditionalFormatting sqref="I2:I36">
    <cfRule type="expression" dxfId="3" priority="3">
      <formula>IF(D2:D1000="Vacant",I2:I1000&gt;"")</formula>
    </cfRule>
  </conditionalFormatting>
  <conditionalFormatting sqref="C2:C34 E2:E21">
    <cfRule type="expression" dxfId="4" priority="4">
      <formula>D2:D1000="Vacant"</formula>
    </cfRule>
  </conditionalFormatting>
  <conditionalFormatting sqref="C2:C34 E2:E21">
    <cfRule type="expression" dxfId="0" priority="5">
      <formula>D2:D1000="Sold"</formula>
    </cfRule>
  </conditionalFormatting>
  <conditionalFormatting sqref="C2:C34 E2:E21">
    <cfRule type="expression" dxfId="5" priority="6">
      <formula>D2:D1000=""</formula>
    </cfRule>
  </conditionalFormatting>
  <conditionalFormatting sqref="C2:C34 E2:E21">
    <cfRule type="expression" dxfId="0" priority="7">
      <formula>D2:D1000="Occupied"</formula>
    </cfRule>
  </conditionalFormatting>
  <conditionalFormatting sqref="C2:C34 E2:E21">
    <cfRule type="expression" dxfId="6" priority="8">
      <formula>D2:D1000="Churning"</formula>
    </cfRule>
  </conditionalFormatting>
  <conditionalFormatting sqref="C1:C34 C63:C1000">
    <cfRule type="expression" dxfId="7" priority="9">
      <formula>C2&lt;B2</formula>
    </cfRule>
  </conditionalFormatting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A$1:$I$23"/>
  <conditionalFormatting sqref="C2:C23">
    <cfRule type="expression" dxfId="2" priority="1">
      <formula>D2:D1000="Blocked"</formula>
    </cfRule>
  </conditionalFormatting>
  <conditionalFormatting sqref="C2:C23 E2:E21">
    <cfRule type="expression" dxfId="4" priority="2">
      <formula>D2:D1000="Vacant"</formula>
    </cfRule>
  </conditionalFormatting>
  <conditionalFormatting sqref="C2:C23 E2:E21">
    <cfRule type="expression" dxfId="0" priority="3">
      <formula>D2:D1000="Sold"</formula>
    </cfRule>
  </conditionalFormatting>
  <conditionalFormatting sqref="C2:C23 E2:E21">
    <cfRule type="expression" dxfId="5" priority="4">
      <formula>D2:D1000=""</formula>
    </cfRule>
  </conditionalFormatting>
  <conditionalFormatting sqref="C2:C23 E2:E21">
    <cfRule type="expression" dxfId="0" priority="5">
      <formula>D2:D1000="Occupied"</formula>
    </cfRule>
  </conditionalFormatting>
  <conditionalFormatting sqref="C2:C23 E2:E21">
    <cfRule type="expression" dxfId="6" priority="6">
      <formula>D2:D1000="Churning"</formula>
    </cfRule>
  </conditionalFormatting>
  <conditionalFormatting sqref="C1:C23 C63:C1000">
    <cfRule type="expression" dxfId="7" priority="7">
      <formula>C2&lt;B2</formula>
    </cfRule>
  </conditionalFormatting>
  <conditionalFormatting sqref="I2:I23">
    <cfRule type="expression" dxfId="3" priority="8">
      <formula>IF(D2:D1000="Churning",I2:I1000&gt;"")</formula>
    </cfRule>
  </conditionalFormatting>
  <conditionalFormatting sqref="I2:I23">
    <cfRule type="expression" dxfId="3" priority="9">
      <formula>IF(D2:D1000="Vacant",I2:I1000&gt;"")</formula>
    </cfRule>
  </conditionalFormatting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C2:C22">
    <cfRule type="expression" dxfId="2" priority="1">
      <formula>D2:D1000="Blocked"</formula>
    </cfRule>
  </conditionalFormatting>
  <conditionalFormatting sqref="I2:I21">
    <cfRule type="expression" dxfId="3" priority="2">
      <formula>IF(D2:D1000="Churning",I2:I1000&gt;"")</formula>
    </cfRule>
  </conditionalFormatting>
  <conditionalFormatting sqref="I2:I21">
    <cfRule type="expression" dxfId="3" priority="3">
      <formula>IF(D2:D1000="Vacant",I2:I1000&gt;"")</formula>
    </cfRule>
  </conditionalFormatting>
  <conditionalFormatting sqref="C2:C22 E2:E5 E7:E21">
    <cfRule type="expression" dxfId="4" priority="4">
      <formula>D2:D1000="Vacant"</formula>
    </cfRule>
  </conditionalFormatting>
  <conditionalFormatting sqref="C2:C22 E2:E5 E7:E21">
    <cfRule type="expression" dxfId="0" priority="5">
      <formula>D2:D1000="Sold"</formula>
    </cfRule>
  </conditionalFormatting>
  <conditionalFormatting sqref="C2:C22 E2:E5 E7:E21">
    <cfRule type="expression" dxfId="5" priority="6">
      <formula>D2:D1000=""</formula>
    </cfRule>
  </conditionalFormatting>
  <conditionalFormatting sqref="C2:C22 E2:E5 E7:E21">
    <cfRule type="expression" dxfId="0" priority="7">
      <formula>D2:D1000="Occupied"</formula>
    </cfRule>
  </conditionalFormatting>
  <conditionalFormatting sqref="C2:C22 E2:E5 E7:E21">
    <cfRule type="expression" dxfId="6" priority="8">
      <formula>D2:D1000="Churning"</formula>
    </cfRule>
  </conditionalFormatting>
  <conditionalFormatting sqref="C1:C22 C63:C1000">
    <cfRule type="expression" dxfId="7" priority="9">
      <formula>C2&lt;B2</formula>
    </cfRule>
  </conditionalFormatting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7">
      <c r="B17" s="44"/>
    </row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C2:C14">
    <cfRule type="expression" dxfId="2" priority="1">
      <formula>D2:D1000="Blocked"</formula>
    </cfRule>
  </conditionalFormatting>
  <conditionalFormatting sqref="I2:I21">
    <cfRule type="expression" dxfId="3" priority="2">
      <formula>IF(D2:D1000="Churning",I2:I1000&gt;"")</formula>
    </cfRule>
  </conditionalFormatting>
  <conditionalFormatting sqref="I2:I21">
    <cfRule type="expression" dxfId="3" priority="3">
      <formula>IF(D2:D1000="Vacant",I2:I1000&gt;"")</formula>
    </cfRule>
  </conditionalFormatting>
  <conditionalFormatting sqref="C2:C14 E2:E5 E7:E14">
    <cfRule type="expression" dxfId="4" priority="4">
      <formula>D2:D1000="Vacant"</formula>
    </cfRule>
  </conditionalFormatting>
  <conditionalFormatting sqref="C2:C14 E2:E5 E7:E14">
    <cfRule type="expression" dxfId="0" priority="5">
      <formula>D2:D1000="Sold"</formula>
    </cfRule>
  </conditionalFormatting>
  <conditionalFormatting sqref="C2:C14 E2:E5 E7:E14">
    <cfRule type="expression" dxfId="5" priority="6">
      <formula>D2:D1000=""</formula>
    </cfRule>
  </conditionalFormatting>
  <conditionalFormatting sqref="C2:C14 E2:E5 E7:E14">
    <cfRule type="expression" dxfId="0" priority="7">
      <formula>D2:D1000="Occupied"</formula>
    </cfRule>
  </conditionalFormatting>
  <conditionalFormatting sqref="C2:C14 E2:E5 E7:E14">
    <cfRule type="expression" dxfId="6" priority="8">
      <formula>D2:D1000="Churning"</formula>
    </cfRule>
  </conditionalFormatting>
  <conditionalFormatting sqref="C1:C14 C63:C1000">
    <cfRule type="expression" dxfId="7" priority="9">
      <formula>C2&lt;B2</formula>
    </cfRule>
  </conditionalFormatting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C2:C24">
    <cfRule type="expression" dxfId="2" priority="1">
      <formula>D2:D1000="Blocked"</formula>
    </cfRule>
  </conditionalFormatting>
  <conditionalFormatting sqref="I2:I23">
    <cfRule type="expression" dxfId="3" priority="2">
      <formula>IF(D2:D1000="Churning",I2:I1000&gt;"")</formula>
    </cfRule>
  </conditionalFormatting>
  <conditionalFormatting sqref="I2:I23">
    <cfRule type="expression" dxfId="3" priority="3">
      <formula>IF(D2:D1000="Vacant",I2:I1000&gt;"")</formula>
    </cfRule>
  </conditionalFormatting>
  <conditionalFormatting sqref="C2:C24 E2:E21">
    <cfRule type="expression" dxfId="4" priority="4">
      <formula>D2:D1000="Vacant"</formula>
    </cfRule>
  </conditionalFormatting>
  <conditionalFormatting sqref="C2:C24 E2:E21">
    <cfRule type="expression" dxfId="0" priority="5">
      <formula>D2:D1000="Sold"</formula>
    </cfRule>
  </conditionalFormatting>
  <conditionalFormatting sqref="C2:C24 E2:E21">
    <cfRule type="expression" dxfId="5" priority="6">
      <formula>D2:D1000=""</formula>
    </cfRule>
  </conditionalFormatting>
  <conditionalFormatting sqref="C2:C24 E2:E21">
    <cfRule type="expression" dxfId="0" priority="7">
      <formula>D2:D1000="Occupied"</formula>
    </cfRule>
  </conditionalFormatting>
  <conditionalFormatting sqref="C2:C24 E2:E21">
    <cfRule type="expression" dxfId="6" priority="8">
      <formula>D2:D1000="Churning"</formula>
    </cfRule>
  </conditionalFormatting>
  <conditionalFormatting sqref="C1:C24 C63:C1000">
    <cfRule type="expression" dxfId="7" priority="9">
      <formula>C2&lt;B2</formula>
    </cfRule>
  </conditionalFormatting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A$1:$I$30">
    <sortState ref="A1:I30">
      <sortCondition ref="C1:C30"/>
    </sortState>
  </autoFilter>
  <conditionalFormatting sqref="C2:C30">
    <cfRule type="expression" dxfId="2" priority="1">
      <formula>D2:D1000="Blocked"</formula>
    </cfRule>
  </conditionalFormatting>
  <conditionalFormatting sqref="I2:I30">
    <cfRule type="expression" dxfId="3" priority="2">
      <formula>IF(D2:D1000="Churning",I2:I1000&gt;"")</formula>
    </cfRule>
  </conditionalFormatting>
  <conditionalFormatting sqref="I2:I30">
    <cfRule type="expression" dxfId="3" priority="3">
      <formula>IF(D2:D1000="Vacant",I2:I1000&gt;"")</formula>
    </cfRule>
  </conditionalFormatting>
  <conditionalFormatting sqref="C2:C30 E2:E21">
    <cfRule type="expression" dxfId="4" priority="4">
      <formula>D2:D1000="Vacant"</formula>
    </cfRule>
  </conditionalFormatting>
  <conditionalFormatting sqref="C2:C30 E2:E21">
    <cfRule type="expression" dxfId="0" priority="5">
      <formula>D2:D1000="Sold"</formula>
    </cfRule>
  </conditionalFormatting>
  <conditionalFormatting sqref="C2:C30 E2:E21">
    <cfRule type="expression" dxfId="5" priority="6">
      <formula>D2:D1000=""</formula>
    </cfRule>
  </conditionalFormatting>
  <conditionalFormatting sqref="C2:C30 E2:E21">
    <cfRule type="expression" dxfId="0" priority="7">
      <formula>D2:D1000="Occupied"</formula>
    </cfRule>
  </conditionalFormatting>
  <conditionalFormatting sqref="C2:C30 E2:E21">
    <cfRule type="expression" dxfId="6" priority="8">
      <formula>D2:D1000="Churning"</formula>
    </cfRule>
  </conditionalFormatting>
  <conditionalFormatting sqref="C1:C30 C63:C1000">
    <cfRule type="expression" dxfId="7" priority="9">
      <formula>C2&lt;B2</formula>
    </cfRule>
  </conditionalFormatting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7.2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I2:I22">
    <cfRule type="expression" dxfId="3" priority="1">
      <formula>IF(D2:D1000="Churning",I2:I1000&gt;"")</formula>
    </cfRule>
  </conditionalFormatting>
  <conditionalFormatting sqref="I2:I22">
    <cfRule type="expression" dxfId="3" priority="2">
      <formula>IF(D2:D1000="Vacant",I2:I1000&gt;"")</formula>
    </cfRule>
  </conditionalFormatting>
  <conditionalFormatting sqref="C2:C21 E2:E21">
    <cfRule type="expression" dxfId="4" priority="3">
      <formula>D2:D1000="Vacant"</formula>
    </cfRule>
  </conditionalFormatting>
  <conditionalFormatting sqref="C2:C21 E2:E21">
    <cfRule type="expression" dxfId="0" priority="4">
      <formula>D2:D1000="Sold"</formula>
    </cfRule>
  </conditionalFormatting>
  <conditionalFormatting sqref="C2:C21 E2:E21">
    <cfRule type="expression" dxfId="5" priority="5">
      <formula>D2:D1000=""</formula>
    </cfRule>
  </conditionalFormatting>
  <conditionalFormatting sqref="C2:C21 E2:E21">
    <cfRule type="expression" dxfId="0" priority="6">
      <formula>D2:D1000="Occupied"</formula>
    </cfRule>
  </conditionalFormatting>
  <conditionalFormatting sqref="C2:C21 E2:E21">
    <cfRule type="expression" dxfId="6" priority="7">
      <formula>D2:D1000="Churning"</formula>
    </cfRule>
  </conditionalFormatting>
  <conditionalFormatting sqref="C1:C21 C63:C1000">
    <cfRule type="expression" dxfId="7" priority="8">
      <formula>C2&lt;B2</formula>
    </cfRule>
  </conditionalFormatting>
  <conditionalFormatting sqref="C2:C21">
    <cfRule type="expression" dxfId="2" priority="9">
      <formula>D2:D1000="Blocked"</formula>
    </cfRule>
  </conditionalFormatting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A$1:$I$29"/>
  <conditionalFormatting sqref="C2:C29">
    <cfRule type="expression" dxfId="2" priority="1">
      <formula>D2:D1000="Blocked"</formula>
    </cfRule>
  </conditionalFormatting>
  <conditionalFormatting sqref="I2:I28">
    <cfRule type="expression" dxfId="3" priority="2">
      <formula>IF(D2:D1000="Churning",I2:I1000&gt;"")</formula>
    </cfRule>
  </conditionalFormatting>
  <conditionalFormatting sqref="I2:I28">
    <cfRule type="expression" dxfId="3" priority="3">
      <formula>IF(D2:D1000="Vacant",I2:I1000&gt;"")</formula>
    </cfRule>
  </conditionalFormatting>
  <conditionalFormatting sqref="C2:C29 E2:E21">
    <cfRule type="expression" dxfId="4" priority="4">
      <formula>D2:D1000="Vacant"</formula>
    </cfRule>
  </conditionalFormatting>
  <conditionalFormatting sqref="C2:C29 E2:E21">
    <cfRule type="expression" dxfId="0" priority="5">
      <formula>D2:D1000="Sold"</formula>
    </cfRule>
  </conditionalFormatting>
  <conditionalFormatting sqref="C2:C29 E2:E21">
    <cfRule type="expression" dxfId="5" priority="6">
      <formula>D2:D1000=""</formula>
    </cfRule>
  </conditionalFormatting>
  <conditionalFormatting sqref="C2:C29 E2:E21">
    <cfRule type="expression" dxfId="0" priority="7">
      <formula>D2:D1000="Occupied"</formula>
    </cfRule>
  </conditionalFormatting>
  <conditionalFormatting sqref="C2:C29 E2:E21">
    <cfRule type="expression" dxfId="6" priority="8">
      <formula>D2:D1000="Churning"</formula>
    </cfRule>
  </conditionalFormatting>
  <conditionalFormatting sqref="C1:C29 C63:C1000">
    <cfRule type="expression" dxfId="7" priority="9">
      <formula>C2&lt;B2</formula>
    </cfRule>
  </conditionalFormatting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9.75"/>
    <col customWidth="1" min="4" max="4" width="11.5"/>
    <col customWidth="1" min="5" max="5" width="10.5"/>
    <col customWidth="1" min="6" max="6" width="11.88"/>
    <col customWidth="1" min="7" max="7" width="11.63"/>
    <col customWidth="1" min="8" max="8" width="11.75"/>
    <col customWidth="1" min="9" max="9" width="32.13"/>
    <col customWidth="1" min="10" max="10" width="5.75"/>
  </cols>
  <sheetData>
    <row r="1"/>
    <row r="2" ht="17.25" customHeight="1"/>
    <row r="3"/>
    <row r="4"/>
    <row r="5">
      <c r="K5" s="17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</row>
    <row r="6"/>
    <row r="7">
      <c r="K7" s="17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</row>
    <row r="8">
      <c r="K8" s="17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</row>
    <row r="9">
      <c r="K9" s="48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</row>
    <row r="10"/>
    <row r="11"/>
    <row r="12"/>
    <row r="13"/>
    <row r="14" ht="16.5" customHeight="1"/>
    <row r="15"/>
    <row r="16"/>
    <row r="17" ht="15.0" customHeight="1"/>
    <row r="18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H$1:$H$1000"/>
  <conditionalFormatting sqref="C2:C24">
    <cfRule type="expression" dxfId="2" priority="1">
      <formula>D2:D2000="Blocked"</formula>
    </cfRule>
  </conditionalFormatting>
  <conditionalFormatting sqref="I2:I24">
    <cfRule type="expression" dxfId="3" priority="2">
      <formula>IF(D2:D2000="Churning",I2:I2000&gt;"")</formula>
    </cfRule>
  </conditionalFormatting>
  <conditionalFormatting sqref="I2:I24">
    <cfRule type="expression" dxfId="3" priority="3">
      <formula>IF(D2:D2000="Vacant",I2:I2000&gt;"")</formula>
    </cfRule>
  </conditionalFormatting>
  <conditionalFormatting sqref="C2:C24 E2:E22">
    <cfRule type="expression" dxfId="4" priority="4">
      <formula>D2:D2000="Vacant"</formula>
    </cfRule>
  </conditionalFormatting>
  <conditionalFormatting sqref="C2:C24 E2:E22">
    <cfRule type="expression" dxfId="0" priority="5">
      <formula>D2:D2000="Sold"</formula>
    </cfRule>
  </conditionalFormatting>
  <conditionalFormatting sqref="C2:C24 E2:E22">
    <cfRule type="expression" dxfId="5" priority="6">
      <formula>D2:D2000=""</formula>
    </cfRule>
  </conditionalFormatting>
  <conditionalFormatting sqref="C2:C24 E2:E22">
    <cfRule type="expression" dxfId="0" priority="7">
      <formula>D2:D2000="Occupied"</formula>
    </cfRule>
  </conditionalFormatting>
  <conditionalFormatting sqref="C2:C24 E2:E22">
    <cfRule type="expression" dxfId="6" priority="8">
      <formula>D2:D2000="Churning"</formula>
    </cfRule>
  </conditionalFormatting>
  <conditionalFormatting sqref="C1:C24 C63:C2000">
    <cfRule type="expression" dxfId="7" priority="9">
      <formula>C2&lt;B2</formula>
    </cfRule>
  </conditionalFormatting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>
      <c r="C22" s="10"/>
    </row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A$1:$I$22"/>
  <conditionalFormatting sqref="C2:C22">
    <cfRule type="expression" dxfId="2" priority="1">
      <formula>D2:D1000="Blocked"</formula>
    </cfRule>
  </conditionalFormatting>
  <conditionalFormatting sqref="I2:I21">
    <cfRule type="expression" dxfId="3" priority="2">
      <formula>IF(D2:D1000="Churning",I2:I1000&gt;"")</formula>
    </cfRule>
  </conditionalFormatting>
  <conditionalFormatting sqref="I2:I21">
    <cfRule type="expression" dxfId="3" priority="3">
      <formula>IF(D2:D1000="Vacant",I2:I1000&gt;"")</formula>
    </cfRule>
  </conditionalFormatting>
  <conditionalFormatting sqref="C2:C22 E2:E21">
    <cfRule type="expression" dxfId="4" priority="4">
      <formula>D2:D1000="Vacant"</formula>
    </cfRule>
  </conditionalFormatting>
  <conditionalFormatting sqref="C2:C22 E2:E21">
    <cfRule type="expression" dxfId="0" priority="5">
      <formula>D2:D1000="Sold"</formula>
    </cfRule>
  </conditionalFormatting>
  <conditionalFormatting sqref="C2:C22 E2:E21">
    <cfRule type="expression" dxfId="5" priority="6">
      <formula>D2:D1000=""</formula>
    </cfRule>
  </conditionalFormatting>
  <conditionalFormatting sqref="C2:C22 E2:E21">
    <cfRule type="expression" dxfId="0" priority="7">
      <formula>D2:D1000="Occupied"</formula>
    </cfRule>
  </conditionalFormatting>
  <conditionalFormatting sqref="C2:C22 E2:E21">
    <cfRule type="expression" dxfId="6" priority="8">
      <formula>D2:D1000="Churning"</formula>
    </cfRule>
  </conditionalFormatting>
  <conditionalFormatting sqref="C1:C22 C63:C1000">
    <cfRule type="expression" dxfId="7" priority="9">
      <formula>C2&lt;B2</formula>
    </cfRule>
  </conditionalFormatting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A$1:$I$23"/>
  <conditionalFormatting sqref="C2:C23">
    <cfRule type="expression" dxfId="2" priority="1">
      <formula>D2:D1000="Blocked"</formula>
    </cfRule>
  </conditionalFormatting>
  <conditionalFormatting sqref="I2:I21">
    <cfRule type="expression" dxfId="3" priority="2">
      <formula>IF(D2:D1000="Churning",I2:I1000&gt;"")</formula>
    </cfRule>
  </conditionalFormatting>
  <conditionalFormatting sqref="I2:I21">
    <cfRule type="expression" dxfId="3" priority="3">
      <formula>IF(D2:D1000="Vacant",I2:I1000&gt;"")</formula>
    </cfRule>
  </conditionalFormatting>
  <conditionalFormatting sqref="C2:C23 E2:E21">
    <cfRule type="expression" dxfId="4" priority="4">
      <formula>D2:D1000="Vacant"</formula>
    </cfRule>
  </conditionalFormatting>
  <conditionalFormatting sqref="C2:C23 E2:E21">
    <cfRule type="expression" dxfId="0" priority="5">
      <formula>D2:D1000="Sold"</formula>
    </cfRule>
  </conditionalFormatting>
  <conditionalFormatting sqref="C2:C23 E2:E21">
    <cfRule type="expression" dxfId="5" priority="6">
      <formula>D2:D1000=""</formula>
    </cfRule>
  </conditionalFormatting>
  <conditionalFormatting sqref="C2:C23 E2:E21">
    <cfRule type="expression" dxfId="0" priority="7">
      <formula>D2:D1000="Occupied"</formula>
    </cfRule>
  </conditionalFormatting>
  <conditionalFormatting sqref="C2:C23 E2:E21">
    <cfRule type="expression" dxfId="6" priority="8">
      <formula>D2:D1000="Churning"</formula>
    </cfRule>
  </conditionalFormatting>
  <conditionalFormatting sqref="C1:C23 C63:C1000">
    <cfRule type="expression" dxfId="7" priority="9">
      <formula>C2&lt;B2</formula>
    </cfRule>
  </conditionalFormatting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>
      <c r="C11" s="10"/>
      <c r="E11" s="10"/>
    </row>
    <row r="12">
      <c r="C12" s="10"/>
      <c r="E12" s="10"/>
    </row>
    <row r="13">
      <c r="C13" s="10"/>
      <c r="E13" s="10"/>
    </row>
    <row r="14">
      <c r="C14" s="10"/>
      <c r="E14" s="10"/>
    </row>
    <row r="15">
      <c r="C15" s="10"/>
      <c r="E15" s="10"/>
    </row>
    <row r="16">
      <c r="C16" s="10"/>
      <c r="E16" s="10"/>
    </row>
    <row r="17">
      <c r="B17" s="44"/>
      <c r="C17" s="10"/>
      <c r="E17" s="10"/>
    </row>
    <row r="18" ht="15.0" customHeight="1">
      <c r="C18" s="10"/>
      <c r="E18" s="10"/>
    </row>
    <row r="19" ht="15.0" customHeight="1">
      <c r="C19" s="10"/>
      <c r="E19" s="10"/>
    </row>
    <row r="20" ht="15.0" customHeight="1">
      <c r="C20" s="10"/>
      <c r="E20" s="10"/>
    </row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A$1:$I$23"/>
  <conditionalFormatting sqref="C2:C20">
    <cfRule type="expression" dxfId="2" priority="1">
      <formula>D2:D1000="Blocked"</formula>
    </cfRule>
  </conditionalFormatting>
  <conditionalFormatting sqref="I2:I21">
    <cfRule type="expression" dxfId="3" priority="2">
      <formula>IF(D2:D1000="Churning",I2:I1000&gt;"")</formula>
    </cfRule>
  </conditionalFormatting>
  <conditionalFormatting sqref="I2:I21">
    <cfRule type="expression" dxfId="3" priority="3">
      <formula>IF(D2:D1000="Vacant",I2:I1000&gt;"")</formula>
    </cfRule>
  </conditionalFormatting>
  <conditionalFormatting sqref="C2:C20 E2:E20">
    <cfRule type="expression" dxfId="4" priority="4">
      <formula>D2:D1000="Vacant"</formula>
    </cfRule>
  </conditionalFormatting>
  <conditionalFormatting sqref="C2:C20 E2:E20">
    <cfRule type="expression" dxfId="0" priority="5">
      <formula>D2:D1000="Sold"</formula>
    </cfRule>
  </conditionalFormatting>
  <conditionalFormatting sqref="C2:C20 E2:E20">
    <cfRule type="expression" dxfId="5" priority="6">
      <formula>D2:D1000=""</formula>
    </cfRule>
  </conditionalFormatting>
  <conditionalFormatting sqref="C2:C20 E2:E20">
    <cfRule type="expression" dxfId="0" priority="7">
      <formula>D2:D1000="Occupied"</formula>
    </cfRule>
  </conditionalFormatting>
  <conditionalFormatting sqref="C2:C20 E2:E20">
    <cfRule type="expression" dxfId="6" priority="8">
      <formula>D2:D1000="Churning"</formula>
    </cfRule>
  </conditionalFormatting>
  <conditionalFormatting sqref="C1:C20 C63:C1000">
    <cfRule type="expression" dxfId="7" priority="9">
      <formula>C2&lt;B2</formula>
    </cfRule>
  </conditionalFormatting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10.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A$1:$I$31"/>
  <conditionalFormatting sqref="C2:C31">
    <cfRule type="expression" dxfId="2" priority="1">
      <formula>D2:D1000="Blocked"</formula>
    </cfRule>
  </conditionalFormatting>
  <conditionalFormatting sqref="I2:I31">
    <cfRule type="expression" dxfId="3" priority="2">
      <formula>IF(D2:D1000="Churning",I2:I1000&gt;"")</formula>
    </cfRule>
  </conditionalFormatting>
  <conditionalFormatting sqref="I2:I31">
    <cfRule type="expression" dxfId="3" priority="3">
      <formula>IF(D2:D1000="Vacant",I2:I1000&gt;"")</formula>
    </cfRule>
  </conditionalFormatting>
  <conditionalFormatting sqref="C2:C31 E2:E21">
    <cfRule type="expression" dxfId="4" priority="4">
      <formula>D2:D1000="Vacant"</formula>
    </cfRule>
  </conditionalFormatting>
  <conditionalFormatting sqref="C2:C31 E2:E21">
    <cfRule type="expression" dxfId="0" priority="5">
      <formula>D2:D1000="Sold"</formula>
    </cfRule>
  </conditionalFormatting>
  <conditionalFormatting sqref="C2:C31 E2:E21">
    <cfRule type="expression" dxfId="5" priority="6">
      <formula>D2:D1000=""</formula>
    </cfRule>
  </conditionalFormatting>
  <conditionalFormatting sqref="C2:C31 E2:E21">
    <cfRule type="expression" dxfId="0" priority="7">
      <formula>D2:D1000="Occupied"</formula>
    </cfRule>
  </conditionalFormatting>
  <conditionalFormatting sqref="C2:C31 E2:E21">
    <cfRule type="expression" dxfId="6" priority="8">
      <formula>D2:D1000="Churning"</formula>
    </cfRule>
  </conditionalFormatting>
  <conditionalFormatting sqref="C1:C31 C63:C1000">
    <cfRule type="expression" dxfId="7" priority="9">
      <formula>C2&lt;B2</formula>
    </cfRule>
  </conditionalFormatting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C2:C18">
    <cfRule type="expression" dxfId="2" priority="1">
      <formula>D2:D1000="Blocked"</formula>
    </cfRule>
  </conditionalFormatting>
  <conditionalFormatting sqref="I2:I25">
    <cfRule type="expression" dxfId="3" priority="2">
      <formula>IF(D2:D1000="Churning",I2:I1000&gt;"")</formula>
    </cfRule>
  </conditionalFormatting>
  <conditionalFormatting sqref="I2:I25">
    <cfRule type="expression" dxfId="3" priority="3">
      <formula>IF(D2:D1000="Vacant",I2:I1000&gt;"")</formula>
    </cfRule>
  </conditionalFormatting>
  <conditionalFormatting sqref="C2:C18 E2:E18">
    <cfRule type="expression" dxfId="4" priority="4">
      <formula>D2:D1000="Vacant"</formula>
    </cfRule>
  </conditionalFormatting>
  <conditionalFormatting sqref="C2:C18 E2:E18">
    <cfRule type="expression" dxfId="0" priority="5">
      <formula>D2:D1000="Sold"</formula>
    </cfRule>
  </conditionalFormatting>
  <conditionalFormatting sqref="C2:C18 E2:E18">
    <cfRule type="expression" dxfId="5" priority="6">
      <formula>D2:D1000=""</formula>
    </cfRule>
  </conditionalFormatting>
  <conditionalFormatting sqref="C2:C18 E2:E18">
    <cfRule type="expression" dxfId="0" priority="7">
      <formula>D2:D1000="Occupied"</formula>
    </cfRule>
  </conditionalFormatting>
  <conditionalFormatting sqref="C2:C18 E2:E18">
    <cfRule type="expression" dxfId="6" priority="8">
      <formula>D2:D1000="Churning"</formula>
    </cfRule>
  </conditionalFormatting>
  <conditionalFormatting sqref="C1:C18 C63:C1000">
    <cfRule type="expression" dxfId="7" priority="9">
      <formula>C2&lt;B2</formula>
    </cfRule>
  </conditionalFormatting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K15" s="18"/>
    </row>
    <row r="16"/>
    <row r="17"/>
    <row r="18" ht="15.0" customHeight="1">
      <c r="K18" s="18"/>
    </row>
    <row r="19" ht="15.0" customHeight="1">
      <c r="K19" s="18"/>
    </row>
    <row r="20" ht="15.0" customHeight="1">
      <c r="K20" s="18"/>
    </row>
    <row r="21" ht="15.0" customHeight="1"/>
    <row r="22" ht="15.0" customHeight="1"/>
    <row r="23" ht="15.0" customHeight="1"/>
    <row r="24" ht="15.0" customHeight="1"/>
    <row r="25" ht="15.0" customHeight="1"/>
    <row r="26" ht="15.0" customHeight="1">
      <c r="C26" s="10"/>
    </row>
    <row r="27" ht="15.0" customHeight="1"/>
    <row r="28" ht="15.0" customHeight="1"/>
    <row r="29" ht="15.0" customHeight="1"/>
    <row r="30" ht="15.0" customHeight="1"/>
    <row r="31" ht="15.0" customHeight="1"/>
  </sheetData>
  <autoFilter ref="$A$1:$I$26"/>
  <conditionalFormatting sqref="C2:C26">
    <cfRule type="expression" dxfId="2" priority="1">
      <formula>D2:D1000="Blocked"</formula>
    </cfRule>
  </conditionalFormatting>
  <conditionalFormatting sqref="I2:I25">
    <cfRule type="expression" dxfId="3" priority="2">
      <formula>IF(D2:D1000="Churning",I2:I1000&gt;"")</formula>
    </cfRule>
  </conditionalFormatting>
  <conditionalFormatting sqref="I2:I25">
    <cfRule type="expression" dxfId="3" priority="3">
      <formula>IF(D2:D1000="Vacant",I2:I1000&gt;"")</formula>
    </cfRule>
  </conditionalFormatting>
  <conditionalFormatting sqref="C2:C26 E2:E21">
    <cfRule type="expression" dxfId="4" priority="4">
      <formula>D2:D1000="Vacant"</formula>
    </cfRule>
  </conditionalFormatting>
  <conditionalFormatting sqref="C2:C26 E2:E21">
    <cfRule type="expression" dxfId="0" priority="5">
      <formula>D2:D1000="Sold"</formula>
    </cfRule>
  </conditionalFormatting>
  <conditionalFormatting sqref="C2:C26 E2:E21">
    <cfRule type="expression" dxfId="5" priority="6">
      <formula>D2:D1000=""</formula>
    </cfRule>
  </conditionalFormatting>
  <conditionalFormatting sqref="C2:C26 E2:E21">
    <cfRule type="expression" dxfId="0" priority="7">
      <formula>D2:D1000="Occupied"</formula>
    </cfRule>
  </conditionalFormatting>
  <conditionalFormatting sqref="C2:C26 E2:E21">
    <cfRule type="expression" dxfId="6" priority="8">
      <formula>D2:D1000="Churning"</formula>
    </cfRule>
  </conditionalFormatting>
  <conditionalFormatting sqref="C1:C26 C63:C1000">
    <cfRule type="expression" dxfId="7" priority="9">
      <formula>C2&lt;B2</formula>
    </cfRule>
  </conditionalFormatting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C2:C25">
    <cfRule type="expression" dxfId="2" priority="1">
      <formula>D2:D1000="Blocked"</formula>
    </cfRule>
  </conditionalFormatting>
  <conditionalFormatting sqref="I2:I25">
    <cfRule type="expression" dxfId="3" priority="2">
      <formula>IF(D2:D1000="Churning",I2:I1000&gt;"")</formula>
    </cfRule>
  </conditionalFormatting>
  <conditionalFormatting sqref="I2:I25">
    <cfRule type="expression" dxfId="3" priority="3">
      <formula>IF(D2:D1000="Vacant",I2:I1000&gt;"")</formula>
    </cfRule>
  </conditionalFormatting>
  <conditionalFormatting sqref="C2:C25 E2:E21">
    <cfRule type="expression" dxfId="4" priority="4">
      <formula>D2:D1000="Vacant"</formula>
    </cfRule>
  </conditionalFormatting>
  <conditionalFormatting sqref="C2:C25 E2:E21">
    <cfRule type="expression" dxfId="0" priority="5">
      <formula>D2:D1000="Sold"</formula>
    </cfRule>
  </conditionalFormatting>
  <conditionalFormatting sqref="C2:C25 E2:E21">
    <cfRule type="expression" dxfId="5" priority="6">
      <formula>D2:D1000=""</formula>
    </cfRule>
  </conditionalFormatting>
  <conditionalFormatting sqref="C2:C25 E2:E21">
    <cfRule type="expression" dxfId="0" priority="7">
      <formula>D2:D1000="Occupied"</formula>
    </cfRule>
  </conditionalFormatting>
  <conditionalFormatting sqref="C2:C25 E2:E21">
    <cfRule type="expression" dxfId="6" priority="8">
      <formula>D2:D1000="Churning"</formula>
    </cfRule>
  </conditionalFormatting>
  <conditionalFormatting sqref="C1:C25 C63:C1000">
    <cfRule type="expression" dxfId="7" priority="9">
      <formula>C2&lt;B2</formula>
    </cfRule>
  </conditionalFormatting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A$1:$I$21"/>
  <conditionalFormatting sqref="C2:C21">
    <cfRule type="expression" dxfId="2" priority="1">
      <formula>D2:D1000="Blocked"</formula>
    </cfRule>
  </conditionalFormatting>
  <conditionalFormatting sqref="I2:I21">
    <cfRule type="expression" dxfId="3" priority="2">
      <formula>IF(D2:D1000="Churning",I2:I1000&gt;"")</formula>
    </cfRule>
  </conditionalFormatting>
  <conditionalFormatting sqref="I2:I21">
    <cfRule type="expression" dxfId="3" priority="3">
      <formula>IF(D2:D1000="Vacant",I2:I1000&gt;"")</formula>
    </cfRule>
  </conditionalFormatting>
  <conditionalFormatting sqref="C2:C21 E2:E21">
    <cfRule type="expression" dxfId="4" priority="4">
      <formula>D2:D1000="Vacant"</formula>
    </cfRule>
  </conditionalFormatting>
  <conditionalFormatting sqref="C2:C21 E2:E21">
    <cfRule type="expression" dxfId="0" priority="5">
      <formula>D2:D1000="Sold"</formula>
    </cfRule>
  </conditionalFormatting>
  <conditionalFormatting sqref="C2:C21 E2:E21">
    <cfRule type="expression" dxfId="5" priority="6">
      <formula>D2:D1000=""</formula>
    </cfRule>
  </conditionalFormatting>
  <conditionalFormatting sqref="C2:C21 E2:E21">
    <cfRule type="expression" dxfId="0" priority="7">
      <formula>D2:D1000="Occupied"</formula>
    </cfRule>
  </conditionalFormatting>
  <conditionalFormatting sqref="C2:C21 E2:E21">
    <cfRule type="expression" dxfId="6" priority="8">
      <formula>D2:D1000="Churning"</formula>
    </cfRule>
  </conditionalFormatting>
  <conditionalFormatting sqref="C1:C21 C63:C1000">
    <cfRule type="expression" dxfId="7" priority="9">
      <formula>C2&lt;B2</formula>
    </cfRule>
  </conditionalFormatting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autoFilter ref="$A$1:$I$19"/>
  <conditionalFormatting sqref="C2:C19">
    <cfRule type="expression" dxfId="2" priority="1">
      <formula>D2:D1000="Blocked"</formula>
    </cfRule>
  </conditionalFormatting>
  <conditionalFormatting sqref="I2:I19">
    <cfRule type="expression" dxfId="3" priority="2">
      <formula>IF(D2:D1000="Churning",I2:I1000&gt;"")</formula>
    </cfRule>
  </conditionalFormatting>
  <conditionalFormatting sqref="I2:I19">
    <cfRule type="expression" dxfId="3" priority="3">
      <formula>IF(D2:D1000="Vacant",I2:I1000&gt;"")</formula>
    </cfRule>
  </conditionalFormatting>
  <conditionalFormatting sqref="C2:C19 E2:E19">
    <cfRule type="expression" dxfId="4" priority="4">
      <formula>D2:D1000="Vacant"</formula>
    </cfRule>
  </conditionalFormatting>
  <conditionalFormatting sqref="C2:C19 E2:E19">
    <cfRule type="expression" dxfId="0" priority="5">
      <formula>D2:D1000="Sold"</formula>
    </cfRule>
  </conditionalFormatting>
  <conditionalFormatting sqref="C2:C19 E2:E19">
    <cfRule type="expression" dxfId="5" priority="6">
      <formula>D2:D1000=""</formula>
    </cfRule>
  </conditionalFormatting>
  <conditionalFormatting sqref="C2:C19 E2:E19">
    <cfRule type="expression" dxfId="0" priority="7">
      <formula>D2:D1000="Occupied"</formula>
    </cfRule>
  </conditionalFormatting>
  <conditionalFormatting sqref="C2:C19 E2:E19">
    <cfRule type="expression" dxfId="6" priority="8">
      <formula>D2:D1000="Churning"</formula>
    </cfRule>
  </conditionalFormatting>
  <conditionalFormatting sqref="C1:C19 C63:C1000">
    <cfRule type="expression" dxfId="7" priority="9">
      <formula>C2&lt;B2</formula>
    </cfRule>
  </conditionalFormatting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8.0"/>
    <col customWidth="1" hidden="1" min="4" max="4" width="11.5"/>
    <col customWidth="1" min="5" max="5" width="12.0"/>
    <col customWidth="1" min="6" max="6" width="10.5"/>
    <col customWidth="1" min="7" max="7" width="11.63"/>
    <col customWidth="1" min="8" max="8" width="8.75"/>
    <col customWidth="1" min="9" max="9" width="5.75"/>
    <col customWidth="1" min="10" max="10" width="36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conditionalFormatting sqref="E2:E22">
    <cfRule type="expression" dxfId="4" priority="1">
      <formula>F2:F1000="Vacant"</formula>
    </cfRule>
  </conditionalFormatting>
  <conditionalFormatting sqref="E2:E22">
    <cfRule type="expression" dxfId="0" priority="2">
      <formula>F2:F1000="Sold"</formula>
    </cfRule>
  </conditionalFormatting>
  <conditionalFormatting sqref="E2:E22">
    <cfRule type="expression" dxfId="5" priority="3">
      <formula>F2:F1000=""</formula>
    </cfRule>
  </conditionalFormatting>
  <conditionalFormatting sqref="E2:E22">
    <cfRule type="expression" dxfId="0" priority="4">
      <formula>F2:F1000="Occupied"</formula>
    </cfRule>
  </conditionalFormatting>
  <conditionalFormatting sqref="E2:E22">
    <cfRule type="expression" dxfId="6" priority="5">
      <formula>F2:F1000="Churning"</formula>
    </cfRule>
  </conditionalFormatting>
  <conditionalFormatting sqref="C1:C1000">
    <cfRule type="expression" dxfId="7" priority="6">
      <formula>C2&lt;B2</formula>
    </cfRule>
  </conditionalFormatting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hidden="1" min="2" max="2" width="8.25"/>
    <col customWidth="1" min="3" max="3" width="7.25"/>
    <col customWidth="1" hidden="1" min="4" max="4" width="11.5"/>
    <col customWidth="1" min="5" max="5" width="12.13"/>
    <col customWidth="1" min="6" max="6" width="10.5"/>
    <col customWidth="1" min="7" max="7" width="11.88"/>
    <col customWidth="1" min="8" max="8" width="7.63"/>
    <col customWidth="1" min="9" max="9" width="8.75"/>
    <col customWidth="1" min="10" max="10" width="6.25"/>
    <col customWidth="1" min="11" max="11" width="86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conditionalFormatting sqref="E2:E26">
    <cfRule type="expression" dxfId="4" priority="1">
      <formula>F2:F1000="Vacant"</formula>
    </cfRule>
  </conditionalFormatting>
  <conditionalFormatting sqref="E2:E26">
    <cfRule type="expression" dxfId="0" priority="2">
      <formula>F2:F1000="Sold"</formula>
    </cfRule>
  </conditionalFormatting>
  <conditionalFormatting sqref="E2:E26">
    <cfRule type="expression" dxfId="5" priority="3">
      <formula>F2:F1000=""</formula>
    </cfRule>
  </conditionalFormatting>
  <conditionalFormatting sqref="E2:E26">
    <cfRule type="expression" dxfId="0" priority="4">
      <formula>F2:F1000="Occupied"</formula>
    </cfRule>
  </conditionalFormatting>
  <conditionalFormatting sqref="E2:E26">
    <cfRule type="expression" dxfId="6" priority="5">
      <formula>F2:F1000="Churning"</formula>
    </cfRule>
  </conditionalFormatting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hidden="1" min="2" max="2" width="12.25"/>
    <col customWidth="1" min="3" max="3" width="8.25"/>
    <col customWidth="1" hidden="1" min="4" max="4" width="14.88"/>
    <col customWidth="1" min="5" max="5" width="15.63"/>
    <col customWidth="1" min="6" max="6" width="10.5"/>
    <col customWidth="1" min="7" max="7" width="12.0"/>
    <col customWidth="1" min="8" max="10" width="7.63"/>
    <col customWidth="1" min="11" max="11" width="50.5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K14" s="49"/>
      <c r="L14" s="49"/>
      <c r="M14" s="50" t="s">
        <v>4058</v>
      </c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>
      <c r="K29" s="49"/>
      <c r="L29" s="49"/>
      <c r="M29" s="50" t="s">
        <v>4059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autoFilter ref="$A$1:$BM$987">
    <sortState ref="A1:BM987">
      <sortCondition ref="I1:I987"/>
      <sortCondition ref="G1:G987"/>
    </sortState>
  </autoFilter>
  <conditionalFormatting sqref="C1:C987">
    <cfRule type="expression" dxfId="7" priority="1">
      <formula>C2&lt;B2</formula>
    </cfRule>
  </conditionalFormatting>
  <conditionalFormatting sqref="C2:C41 E10">
    <cfRule type="cellIs" dxfId="4" priority="2" operator="equal">
      <formula>"Vacant"</formula>
    </cfRule>
  </conditionalFormatting>
  <conditionalFormatting sqref="C2:C41 E10">
    <cfRule type="cellIs" dxfId="0" priority="3" operator="equal">
      <formula>"Sold"</formula>
    </cfRule>
  </conditionalFormatting>
  <conditionalFormatting sqref="C2:C41 E10">
    <cfRule type="cellIs" dxfId="0" priority="4" operator="equal">
      <formula>"Occupied"</formula>
    </cfRule>
  </conditionalFormatting>
  <conditionalFormatting sqref="E2:E53">
    <cfRule type="expression" dxfId="4" priority="5">
      <formula>F2:F987="Vacant"</formula>
    </cfRule>
  </conditionalFormatting>
  <conditionalFormatting sqref="E2:E53">
    <cfRule type="expression" dxfId="0" priority="6">
      <formula>F2:F987="Sold"</formula>
    </cfRule>
  </conditionalFormatting>
  <conditionalFormatting sqref="E2:E53">
    <cfRule type="expression" dxfId="5" priority="7">
      <formula>F2:F987=""</formula>
    </cfRule>
  </conditionalFormatting>
  <conditionalFormatting sqref="E2:E53">
    <cfRule type="expression" dxfId="0" priority="8">
      <formula>F2:F987="Occupied"</formula>
    </cfRule>
  </conditionalFormatting>
  <conditionalFormatting sqref="E2:E53">
    <cfRule type="expression" dxfId="6" priority="9">
      <formula>F2:F987="Churning"</formula>
    </cfRule>
  </conditionalFormatting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8.25"/>
    <col customWidth="1" hidden="1" min="4" max="4" width="11.5"/>
    <col customWidth="1" min="5" max="5" width="13.0"/>
    <col customWidth="1" min="6" max="6" width="11.88"/>
    <col customWidth="1" min="7" max="7" width="14.38"/>
    <col customWidth="1" min="8" max="8" width="8.75"/>
    <col customWidth="1" min="9" max="9" width="6.63"/>
    <col customWidth="1" min="10" max="10" width="44.38"/>
  </cols>
  <sheetData>
    <row r="1"/>
    <row r="2"/>
    <row r="3"/>
    <row r="4" ht="15.0" customHeight="1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conditionalFormatting sqref="E2:E39">
    <cfRule type="expression" dxfId="4" priority="1">
      <formula>F2:F1007="Vacant"</formula>
    </cfRule>
  </conditionalFormatting>
  <conditionalFormatting sqref="E2:E39">
    <cfRule type="expression" dxfId="0" priority="2">
      <formula>F2:F1007="Sold"</formula>
    </cfRule>
  </conditionalFormatting>
  <conditionalFormatting sqref="E2:E39">
    <cfRule type="expression" dxfId="5" priority="3">
      <formula>F2:F1007=""</formula>
    </cfRule>
  </conditionalFormatting>
  <conditionalFormatting sqref="E2:E39">
    <cfRule type="expression" dxfId="0" priority="4">
      <formula>F2:F1007="Occupied"</formula>
    </cfRule>
  </conditionalFormatting>
  <conditionalFormatting sqref="E2:E39">
    <cfRule type="expression" dxfId="6" priority="5">
      <formula>F2:F1007="Churning"</formula>
    </cfRule>
  </conditionalFormatting>
  <drawing r:id="rId5"/>
  <legacyDrawing r:id="rId6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hidden="1" min="2" max="2" width="8.0"/>
    <col customWidth="1" min="3" max="3" width="7.25"/>
    <col customWidth="1" hidden="1" min="4" max="4" width="11.5"/>
    <col customWidth="1" min="5" max="5" width="12.5"/>
    <col customWidth="1" min="6" max="6" width="9.5"/>
    <col customWidth="1" min="7" max="7" width="12.5"/>
    <col customWidth="1" min="8" max="8" width="8.75"/>
    <col customWidth="1" min="9" max="9" width="6.63"/>
    <col customWidth="1" min="10" max="10" width="38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 ht="17.25" customHeight="1"/>
    <row r="25"/>
  </sheetData>
  <conditionalFormatting sqref="E2:E25">
    <cfRule type="expression" dxfId="4" priority="1">
      <formula>F2:F1000="Vacant"</formula>
    </cfRule>
  </conditionalFormatting>
  <conditionalFormatting sqref="E2:E25">
    <cfRule type="expression" dxfId="0" priority="2">
      <formula>F2:F1000="Sold"</formula>
    </cfRule>
  </conditionalFormatting>
  <conditionalFormatting sqref="E2:E25">
    <cfRule type="expression" dxfId="5" priority="3">
      <formula>F2:F1000=""</formula>
    </cfRule>
  </conditionalFormatting>
  <conditionalFormatting sqref="E2:E25">
    <cfRule type="expression" dxfId="0" priority="4">
      <formula>F2:F1000="Occupied"</formula>
    </cfRule>
  </conditionalFormatting>
  <conditionalFormatting sqref="E2:E25">
    <cfRule type="expression" dxfId="6" priority="5">
      <formula>F2:F1000="Churning"</formula>
    </cfRule>
  </conditionalFormatting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7.25"/>
    <col customWidth="1" hidden="1" min="4" max="4" width="11.5"/>
    <col customWidth="1" min="5" max="5" width="13.0"/>
    <col customWidth="1" min="6" max="6" width="10.5"/>
    <col customWidth="1" min="7" max="7" width="9.5"/>
    <col customWidth="1" min="8" max="8" width="6.75"/>
    <col customWidth="1" min="9" max="9" width="8.75"/>
    <col customWidth="1" min="10" max="10" width="10.5"/>
    <col customWidth="1" min="11" max="11" width="36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conditionalFormatting sqref="E2:E22">
    <cfRule type="expression" dxfId="4" priority="1">
      <formula>F2:F1000="Vacant"</formula>
    </cfRule>
  </conditionalFormatting>
  <conditionalFormatting sqref="E2:E22">
    <cfRule type="expression" dxfId="0" priority="2">
      <formula>F2:F1000="Sold"</formula>
    </cfRule>
  </conditionalFormatting>
  <conditionalFormatting sqref="E2:E22">
    <cfRule type="expression" dxfId="5" priority="3">
      <formula>F2:F1000=""</formula>
    </cfRule>
  </conditionalFormatting>
  <conditionalFormatting sqref="E2:E22">
    <cfRule type="expression" dxfId="0" priority="4">
      <formula>F2:F1000="Occupied"</formula>
    </cfRule>
  </conditionalFormatting>
  <conditionalFormatting sqref="E2:E22">
    <cfRule type="expression" dxfId="6" priority="5">
      <formula>F2:F1000="Churning"</formula>
    </cfRule>
  </conditionalFormatting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11.5"/>
    <col customWidth="1" hidden="1" min="4" max="4" width="11.5"/>
    <col customWidth="1" min="5" max="5" width="12.63"/>
    <col customWidth="1" min="6" max="6" width="11.88"/>
    <col customWidth="1" min="7" max="7" width="14.5"/>
    <col customWidth="1" min="8" max="9" width="8.75"/>
    <col customWidth="1" min="10" max="10" width="25.38"/>
  </cols>
  <sheetData>
    <row r="1"/>
    <row r="2"/>
    <row r="3"/>
    <row r="4"/>
    <row r="5"/>
    <row r="6"/>
    <row r="7"/>
    <row r="8"/>
    <row r="9"/>
    <row r="10"/>
    <row r="11"/>
    <row r="12"/>
    <row r="13" ht="16.5" customHeight="1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conditionalFormatting sqref="E2:E30">
    <cfRule type="expression" dxfId="4" priority="1">
      <formula>F2:F1000="Vacant"</formula>
    </cfRule>
  </conditionalFormatting>
  <conditionalFormatting sqref="E2:E30">
    <cfRule type="expression" dxfId="0" priority="2">
      <formula>F2:F1000="Sold"</formula>
    </cfRule>
  </conditionalFormatting>
  <conditionalFormatting sqref="E2:E30">
    <cfRule type="expression" dxfId="5" priority="3">
      <formula>F2:F1000=""</formula>
    </cfRule>
  </conditionalFormatting>
  <conditionalFormatting sqref="E2:E30">
    <cfRule type="expression" dxfId="0" priority="4">
      <formula>F2:F1000="Occupied"</formula>
    </cfRule>
  </conditionalFormatting>
  <conditionalFormatting sqref="E2:E30">
    <cfRule type="expression" dxfId="6" priority="5">
      <formula>F2:F1000="Churning"</formula>
    </cfRule>
  </conditionalFormatting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hidden="1" min="2" max="2" width="8.0"/>
    <col customWidth="1" min="3" max="3" width="7.25"/>
    <col customWidth="1" hidden="1" min="4" max="4" width="11.5"/>
    <col customWidth="1" min="5" max="5" width="10.5"/>
    <col customWidth="1" min="6" max="6" width="11.88"/>
    <col customWidth="1" min="7" max="7" width="11.75"/>
    <col customWidth="1" min="8" max="9" width="8.75"/>
    <col customWidth="1" min="10" max="10" width="6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conditionalFormatting sqref="E2:E22">
    <cfRule type="expression" dxfId="4" priority="1">
      <formula>F2:F1000="Vacant"</formula>
    </cfRule>
  </conditionalFormatting>
  <conditionalFormatting sqref="E2:E22">
    <cfRule type="expression" dxfId="0" priority="2">
      <formula>F2:F1000="Sold"</formula>
    </cfRule>
  </conditionalFormatting>
  <conditionalFormatting sqref="E2:E22">
    <cfRule type="expression" dxfId="5" priority="3">
      <formula>F2:F1000=""</formula>
    </cfRule>
  </conditionalFormatting>
  <conditionalFormatting sqref="E2:E22">
    <cfRule type="expression" dxfId="0" priority="4">
      <formula>F2:F1000="Occupied"</formula>
    </cfRule>
  </conditionalFormatting>
  <conditionalFormatting sqref="E2:E22">
    <cfRule type="expression" dxfId="6" priority="5">
      <formula>F2:F1000="Churning"</formula>
    </cfRule>
  </conditionalFormatting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7.25"/>
    <col customWidth="1" hidden="1" min="4" max="4" width="11.5"/>
    <col customWidth="1" min="5" max="5" width="12.5"/>
    <col customWidth="1" min="6" max="6" width="10.5"/>
    <col customWidth="1" min="7" max="7" width="11.88"/>
    <col customWidth="1" min="8" max="8" width="7.63"/>
    <col customWidth="1" min="9" max="9" width="8.75"/>
    <col customWidth="1" min="10" max="10" width="10.0"/>
    <col customWidth="1" min="11" max="11" width="33.63"/>
    <col customWidth="1" min="13" max="13" width="8.13"/>
    <col customWidth="1" min="14" max="14" width="13.38"/>
    <col hidden="1" min="15" max="15" width="12.63"/>
  </cols>
  <sheetData>
    <row r="1">
      <c r="L1" s="51"/>
      <c r="M1" s="51" t="s">
        <v>4060</v>
      </c>
      <c r="N1" s="18" t="s">
        <v>4061</v>
      </c>
    </row>
    <row r="2">
      <c r="L2" s="52"/>
      <c r="M2" s="52">
        <f t="shared" ref="M2:M24" si="1">CEILING(B2*0.85,50)</f>
        <v>1700</v>
      </c>
      <c r="N2" s="10" t="str">
        <f>VLOOKUP(O2,Occupancy!A:L,10,FALSE)</f>
        <v>#REF!</v>
      </c>
      <c r="O2" s="53" t="s">
        <v>364</v>
      </c>
    </row>
    <row r="3">
      <c r="L3" s="52"/>
      <c r="M3" s="52">
        <f t="shared" si="1"/>
        <v>1700</v>
      </c>
      <c r="N3" s="51"/>
    </row>
    <row r="4">
      <c r="L4" s="52"/>
      <c r="M4" s="52">
        <f t="shared" si="1"/>
        <v>1800</v>
      </c>
      <c r="N4" s="51"/>
    </row>
    <row r="5">
      <c r="L5" s="52"/>
      <c r="M5" s="52">
        <f t="shared" si="1"/>
        <v>1700</v>
      </c>
      <c r="N5" s="51"/>
    </row>
    <row r="6">
      <c r="L6" s="52"/>
      <c r="M6" s="52">
        <f t="shared" si="1"/>
        <v>3200</v>
      </c>
      <c r="N6" s="51"/>
    </row>
    <row r="7">
      <c r="L7" s="52"/>
      <c r="M7" s="52">
        <f t="shared" si="1"/>
        <v>3200</v>
      </c>
      <c r="N7" s="51"/>
    </row>
    <row r="8">
      <c r="L8" s="52"/>
      <c r="M8" s="52">
        <f t="shared" si="1"/>
        <v>3350</v>
      </c>
      <c r="N8" s="51"/>
    </row>
    <row r="9">
      <c r="L9" s="52"/>
      <c r="M9" s="52">
        <f t="shared" si="1"/>
        <v>3350</v>
      </c>
      <c r="N9" s="51"/>
    </row>
    <row r="10">
      <c r="L10" s="52"/>
      <c r="M10" s="52">
        <f t="shared" si="1"/>
        <v>3550</v>
      </c>
      <c r="N10" s="51"/>
    </row>
    <row r="11">
      <c r="L11" s="52"/>
      <c r="M11" s="52">
        <f t="shared" si="1"/>
        <v>3650</v>
      </c>
      <c r="N11" s="51"/>
    </row>
    <row r="12">
      <c r="L12" s="52"/>
      <c r="M12" s="52">
        <f t="shared" si="1"/>
        <v>3850</v>
      </c>
      <c r="N12" s="51"/>
    </row>
    <row r="13">
      <c r="L13" s="52"/>
      <c r="M13" s="52">
        <f t="shared" si="1"/>
        <v>3850</v>
      </c>
      <c r="N13" s="51"/>
    </row>
    <row r="14">
      <c r="L14" s="52"/>
      <c r="M14" s="52">
        <f t="shared" si="1"/>
        <v>4000</v>
      </c>
      <c r="N14" s="51"/>
    </row>
    <row r="15">
      <c r="L15" s="52"/>
      <c r="M15" s="52">
        <f t="shared" si="1"/>
        <v>4000</v>
      </c>
      <c r="N15" s="51"/>
    </row>
    <row r="16">
      <c r="L16" s="52"/>
      <c r="M16" s="52">
        <f t="shared" si="1"/>
        <v>4350</v>
      </c>
      <c r="N16" s="51"/>
    </row>
    <row r="17">
      <c r="L17" s="52"/>
      <c r="M17" s="52">
        <f t="shared" si="1"/>
        <v>4350</v>
      </c>
      <c r="N17" s="51"/>
    </row>
    <row r="18">
      <c r="L18" s="52"/>
      <c r="M18" s="52">
        <f t="shared" si="1"/>
        <v>4800</v>
      </c>
      <c r="N18" s="51"/>
    </row>
    <row r="19">
      <c r="L19" s="52"/>
      <c r="M19" s="52">
        <f t="shared" si="1"/>
        <v>4800</v>
      </c>
      <c r="N19" s="51"/>
    </row>
    <row r="20">
      <c r="L20" s="52"/>
      <c r="M20" s="52">
        <f t="shared" si="1"/>
        <v>4800</v>
      </c>
      <c r="N20" s="51"/>
    </row>
    <row r="21">
      <c r="L21" s="52"/>
      <c r="M21" s="52">
        <f t="shared" si="1"/>
        <v>4800</v>
      </c>
      <c r="N21" s="51"/>
    </row>
    <row r="22">
      <c r="L22" s="52"/>
      <c r="M22" s="52">
        <f t="shared" si="1"/>
        <v>5000</v>
      </c>
      <c r="N22" s="51"/>
    </row>
    <row r="23">
      <c r="L23" s="52"/>
      <c r="M23" s="52">
        <f t="shared" si="1"/>
        <v>5150</v>
      </c>
      <c r="N23" s="51"/>
    </row>
    <row r="24">
      <c r="L24" s="52"/>
      <c r="M24" s="52">
        <f t="shared" si="1"/>
        <v>5150</v>
      </c>
      <c r="N24" s="51"/>
    </row>
    <row r="25">
      <c r="L25" s="51"/>
      <c r="M25" s="51"/>
      <c r="N25" s="51"/>
    </row>
    <row r="26">
      <c r="L26" s="51"/>
      <c r="M26" s="51"/>
      <c r="N26" s="51"/>
    </row>
    <row r="27">
      <c r="L27" s="51"/>
      <c r="M27" s="51"/>
      <c r="N27" s="51"/>
    </row>
    <row r="28">
      <c r="L28" s="51"/>
      <c r="M28" s="51"/>
      <c r="N28" s="51"/>
    </row>
    <row r="29">
      <c r="L29" s="51"/>
      <c r="M29" s="51"/>
      <c r="N29" s="51"/>
    </row>
    <row r="30">
      <c r="L30" s="51"/>
      <c r="M30" s="51"/>
      <c r="N30" s="51"/>
    </row>
    <row r="31">
      <c r="L31" s="51"/>
      <c r="M31" s="51"/>
      <c r="N31" s="51"/>
    </row>
    <row r="32">
      <c r="L32" s="51"/>
      <c r="M32" s="51"/>
      <c r="N32" s="51"/>
    </row>
    <row r="33">
      <c r="L33" s="51"/>
      <c r="M33" s="51"/>
      <c r="N33" s="51"/>
    </row>
    <row r="34">
      <c r="L34" s="51"/>
      <c r="M34" s="51"/>
      <c r="N34" s="51"/>
    </row>
    <row r="35">
      <c r="L35" s="51"/>
      <c r="M35" s="51"/>
      <c r="N35" s="51"/>
    </row>
    <row r="36">
      <c r="L36" s="51"/>
      <c r="M36" s="51"/>
      <c r="N36" s="51"/>
    </row>
    <row r="37">
      <c r="L37" s="51"/>
      <c r="M37" s="51"/>
      <c r="N37" s="51"/>
    </row>
    <row r="38">
      <c r="L38" s="51"/>
      <c r="M38" s="51"/>
      <c r="N38" s="51"/>
    </row>
    <row r="39">
      <c r="L39" s="51"/>
      <c r="M39" s="51"/>
      <c r="N39" s="51"/>
    </row>
    <row r="40">
      <c r="L40" s="51"/>
      <c r="M40" s="51"/>
      <c r="N40" s="51"/>
    </row>
    <row r="41">
      <c r="L41" s="51"/>
      <c r="M41" s="51"/>
      <c r="N41" s="51"/>
    </row>
    <row r="42">
      <c r="L42" s="51"/>
      <c r="M42" s="51"/>
      <c r="N42" s="51"/>
    </row>
    <row r="43">
      <c r="L43" s="51"/>
      <c r="M43" s="51"/>
      <c r="N43" s="51"/>
    </row>
    <row r="44">
      <c r="L44" s="51"/>
      <c r="M44" s="51"/>
      <c r="N44" s="51"/>
    </row>
    <row r="45">
      <c r="L45" s="51"/>
      <c r="M45" s="51"/>
      <c r="N45" s="51"/>
    </row>
    <row r="46">
      <c r="L46" s="51"/>
      <c r="M46" s="51"/>
      <c r="N46" s="51"/>
    </row>
    <row r="47">
      <c r="L47" s="51"/>
      <c r="M47" s="51"/>
      <c r="N47" s="51"/>
    </row>
    <row r="48">
      <c r="L48" s="51"/>
      <c r="M48" s="51"/>
      <c r="N48" s="51"/>
    </row>
    <row r="49">
      <c r="L49" s="51"/>
      <c r="M49" s="51"/>
      <c r="N49" s="51"/>
    </row>
    <row r="50">
      <c r="L50" s="51"/>
      <c r="M50" s="51"/>
      <c r="N50" s="51"/>
    </row>
    <row r="51">
      <c r="L51" s="51"/>
      <c r="M51" s="51"/>
      <c r="N51" s="51"/>
    </row>
    <row r="52">
      <c r="L52" s="51"/>
      <c r="M52" s="51"/>
      <c r="N52" s="51"/>
    </row>
    <row r="53">
      <c r="L53" s="51"/>
      <c r="M53" s="51"/>
      <c r="N53" s="51"/>
    </row>
    <row r="54">
      <c r="L54" s="51"/>
      <c r="M54" s="51"/>
      <c r="N54" s="51"/>
    </row>
    <row r="55">
      <c r="L55" s="51"/>
      <c r="M55" s="51"/>
      <c r="N55" s="51"/>
    </row>
    <row r="56">
      <c r="L56" s="51"/>
      <c r="M56" s="51"/>
      <c r="N56" s="51"/>
    </row>
    <row r="57">
      <c r="L57" s="51"/>
      <c r="M57" s="51"/>
      <c r="N57" s="51"/>
    </row>
    <row r="58">
      <c r="L58" s="51"/>
      <c r="M58" s="51"/>
      <c r="N58" s="51"/>
    </row>
    <row r="59">
      <c r="L59" s="51"/>
      <c r="M59" s="51"/>
      <c r="N59" s="51"/>
    </row>
    <row r="60">
      <c r="L60" s="51"/>
      <c r="M60" s="51"/>
      <c r="N60" s="51"/>
    </row>
    <row r="61">
      <c r="L61" s="51"/>
      <c r="M61" s="51"/>
      <c r="N61" s="51"/>
    </row>
    <row r="62">
      <c r="L62" s="51"/>
      <c r="M62" s="51"/>
      <c r="N62" s="51"/>
    </row>
    <row r="63">
      <c r="L63" s="51"/>
      <c r="M63" s="51"/>
      <c r="N63" s="51"/>
    </row>
    <row r="64">
      <c r="L64" s="51"/>
      <c r="M64" s="51"/>
      <c r="N64" s="51"/>
    </row>
    <row r="65">
      <c r="L65" s="51"/>
      <c r="M65" s="51"/>
      <c r="N65" s="51"/>
    </row>
    <row r="66">
      <c r="L66" s="51"/>
      <c r="M66" s="51"/>
      <c r="N66" s="51"/>
    </row>
    <row r="67">
      <c r="L67" s="51"/>
      <c r="M67" s="51"/>
      <c r="N67" s="51"/>
    </row>
    <row r="68">
      <c r="L68" s="51"/>
      <c r="M68" s="51"/>
      <c r="N68" s="51"/>
    </row>
    <row r="69">
      <c r="L69" s="51"/>
      <c r="M69" s="51"/>
      <c r="N69" s="51"/>
    </row>
    <row r="70">
      <c r="L70" s="51"/>
      <c r="M70" s="51"/>
      <c r="N70" s="51"/>
    </row>
    <row r="71">
      <c r="L71" s="51"/>
      <c r="M71" s="51"/>
      <c r="N71" s="51"/>
    </row>
    <row r="72">
      <c r="L72" s="51"/>
      <c r="M72" s="51"/>
      <c r="N72" s="51"/>
    </row>
    <row r="73">
      <c r="L73" s="51"/>
      <c r="M73" s="51"/>
      <c r="N73" s="51"/>
    </row>
    <row r="74">
      <c r="L74" s="51"/>
      <c r="M74" s="51"/>
      <c r="N74" s="51"/>
    </row>
    <row r="75">
      <c r="L75" s="51"/>
      <c r="M75" s="51"/>
      <c r="N75" s="51"/>
    </row>
    <row r="76">
      <c r="L76" s="51"/>
      <c r="M76" s="51"/>
      <c r="N76" s="51"/>
    </row>
    <row r="77">
      <c r="L77" s="51"/>
      <c r="M77" s="51"/>
      <c r="N77" s="51"/>
    </row>
    <row r="78">
      <c r="L78" s="51"/>
      <c r="M78" s="51"/>
      <c r="N78" s="51"/>
    </row>
    <row r="79">
      <c r="L79" s="51"/>
      <c r="M79" s="51"/>
      <c r="N79" s="51"/>
    </row>
    <row r="80">
      <c r="L80" s="51"/>
      <c r="M80" s="51"/>
      <c r="N80" s="51"/>
    </row>
    <row r="81">
      <c r="L81" s="51"/>
      <c r="M81" s="51"/>
      <c r="N81" s="51"/>
    </row>
    <row r="82">
      <c r="L82" s="51"/>
      <c r="M82" s="51"/>
      <c r="N82" s="51"/>
    </row>
    <row r="83">
      <c r="L83" s="51"/>
      <c r="M83" s="51"/>
      <c r="N83" s="51"/>
    </row>
    <row r="84">
      <c r="L84" s="51"/>
      <c r="M84" s="51"/>
      <c r="N84" s="51"/>
    </row>
    <row r="85">
      <c r="L85" s="51"/>
      <c r="M85" s="51"/>
      <c r="N85" s="51"/>
    </row>
    <row r="86">
      <c r="L86" s="51"/>
      <c r="M86" s="51"/>
      <c r="N86" s="51"/>
    </row>
    <row r="87">
      <c r="L87" s="51"/>
      <c r="M87" s="51"/>
      <c r="N87" s="51"/>
    </row>
    <row r="88">
      <c r="L88" s="51"/>
      <c r="M88" s="51"/>
      <c r="N88" s="51"/>
    </row>
    <row r="89">
      <c r="L89" s="51"/>
      <c r="M89" s="51"/>
      <c r="N89" s="51"/>
    </row>
    <row r="90">
      <c r="L90" s="51"/>
      <c r="M90" s="51"/>
      <c r="N90" s="51"/>
    </row>
    <row r="91">
      <c r="L91" s="51"/>
      <c r="M91" s="51"/>
      <c r="N91" s="51"/>
    </row>
    <row r="92">
      <c r="L92" s="51"/>
      <c r="M92" s="51"/>
      <c r="N92" s="51"/>
    </row>
    <row r="93">
      <c r="L93" s="51"/>
      <c r="M93" s="51"/>
      <c r="N93" s="51"/>
    </row>
    <row r="94">
      <c r="L94" s="51"/>
      <c r="M94" s="51"/>
      <c r="N94" s="51"/>
    </row>
    <row r="95">
      <c r="L95" s="51"/>
      <c r="M95" s="51"/>
      <c r="N95" s="51"/>
    </row>
    <row r="96">
      <c r="L96" s="51"/>
      <c r="M96" s="51"/>
      <c r="N96" s="51"/>
    </row>
    <row r="97">
      <c r="L97" s="51"/>
      <c r="M97" s="51"/>
      <c r="N97" s="51"/>
    </row>
    <row r="98">
      <c r="L98" s="51"/>
      <c r="M98" s="51"/>
      <c r="N98" s="51"/>
    </row>
    <row r="99">
      <c r="L99" s="51"/>
      <c r="M99" s="51"/>
      <c r="N99" s="51"/>
    </row>
    <row r="100">
      <c r="L100" s="51"/>
      <c r="M100" s="51"/>
      <c r="N100" s="51"/>
    </row>
    <row r="101">
      <c r="L101" s="51"/>
      <c r="M101" s="51"/>
      <c r="N101" s="51"/>
    </row>
    <row r="102">
      <c r="L102" s="51"/>
      <c r="M102" s="51"/>
      <c r="N102" s="51"/>
    </row>
    <row r="103">
      <c r="L103" s="51"/>
      <c r="M103" s="51"/>
      <c r="N103" s="51"/>
    </row>
    <row r="104">
      <c r="L104" s="51"/>
      <c r="M104" s="51"/>
      <c r="N104" s="51"/>
    </row>
    <row r="105">
      <c r="L105" s="51"/>
      <c r="M105" s="51"/>
      <c r="N105" s="51"/>
    </row>
    <row r="106">
      <c r="L106" s="51"/>
      <c r="M106" s="51"/>
      <c r="N106" s="51"/>
    </row>
    <row r="107">
      <c r="L107" s="51"/>
      <c r="M107" s="51"/>
      <c r="N107" s="51"/>
    </row>
    <row r="108">
      <c r="L108" s="51"/>
      <c r="M108" s="51"/>
      <c r="N108" s="51"/>
    </row>
    <row r="109">
      <c r="L109" s="51"/>
      <c r="M109" s="51"/>
      <c r="N109" s="51"/>
    </row>
    <row r="110">
      <c r="L110" s="51"/>
      <c r="M110" s="51"/>
      <c r="N110" s="51"/>
    </row>
    <row r="111">
      <c r="L111" s="51"/>
      <c r="M111" s="51"/>
      <c r="N111" s="51"/>
    </row>
    <row r="112">
      <c r="L112" s="51"/>
      <c r="M112" s="51"/>
      <c r="N112" s="51"/>
    </row>
    <row r="113">
      <c r="L113" s="51"/>
      <c r="M113" s="51"/>
      <c r="N113" s="51"/>
    </row>
    <row r="114">
      <c r="L114" s="51"/>
      <c r="M114" s="51"/>
      <c r="N114" s="51"/>
    </row>
    <row r="115">
      <c r="L115" s="51"/>
      <c r="M115" s="51"/>
      <c r="N115" s="51"/>
    </row>
    <row r="116">
      <c r="L116" s="51"/>
      <c r="M116" s="51"/>
      <c r="N116" s="51"/>
    </row>
    <row r="117">
      <c r="L117" s="51"/>
      <c r="M117" s="51"/>
      <c r="N117" s="51"/>
    </row>
    <row r="118">
      <c r="L118" s="51"/>
      <c r="M118" s="51"/>
      <c r="N118" s="51"/>
    </row>
    <row r="119">
      <c r="L119" s="51"/>
      <c r="M119" s="51"/>
      <c r="N119" s="51"/>
    </row>
    <row r="120">
      <c r="L120" s="51"/>
      <c r="M120" s="51"/>
      <c r="N120" s="51"/>
    </row>
    <row r="121">
      <c r="L121" s="51"/>
      <c r="M121" s="51"/>
      <c r="N121" s="51"/>
    </row>
    <row r="122">
      <c r="L122" s="51"/>
      <c r="M122" s="51"/>
      <c r="N122" s="51"/>
    </row>
    <row r="123">
      <c r="L123" s="51"/>
      <c r="M123" s="51"/>
      <c r="N123" s="51"/>
    </row>
    <row r="124">
      <c r="L124" s="51"/>
      <c r="M124" s="51"/>
      <c r="N124" s="51"/>
    </row>
    <row r="125">
      <c r="L125" s="51"/>
      <c r="M125" s="51"/>
      <c r="N125" s="51"/>
    </row>
    <row r="126">
      <c r="L126" s="51"/>
      <c r="M126" s="51"/>
      <c r="N126" s="51"/>
    </row>
    <row r="127">
      <c r="L127" s="51"/>
      <c r="M127" s="51"/>
      <c r="N127" s="51"/>
    </row>
    <row r="128">
      <c r="L128" s="51"/>
      <c r="M128" s="51"/>
      <c r="N128" s="51"/>
    </row>
    <row r="129">
      <c r="L129" s="51"/>
      <c r="M129" s="51"/>
      <c r="N129" s="51"/>
    </row>
    <row r="130">
      <c r="L130" s="51"/>
      <c r="M130" s="51"/>
      <c r="N130" s="51"/>
    </row>
    <row r="131">
      <c r="L131" s="51"/>
      <c r="M131" s="51"/>
      <c r="N131" s="51"/>
    </row>
    <row r="132">
      <c r="L132" s="51"/>
      <c r="M132" s="51"/>
      <c r="N132" s="51"/>
    </row>
    <row r="133">
      <c r="L133" s="51"/>
      <c r="M133" s="51"/>
      <c r="N133" s="51"/>
    </row>
    <row r="134">
      <c r="L134" s="51"/>
      <c r="M134" s="51"/>
      <c r="N134" s="51"/>
    </row>
    <row r="135">
      <c r="L135" s="51"/>
      <c r="M135" s="51"/>
      <c r="N135" s="51"/>
    </row>
    <row r="136">
      <c r="L136" s="51"/>
      <c r="M136" s="51"/>
      <c r="N136" s="51"/>
    </row>
    <row r="137">
      <c r="L137" s="51"/>
      <c r="M137" s="51"/>
      <c r="N137" s="51"/>
    </row>
    <row r="138">
      <c r="L138" s="51"/>
      <c r="M138" s="51"/>
      <c r="N138" s="51"/>
    </row>
    <row r="139">
      <c r="L139" s="51"/>
      <c r="M139" s="51"/>
      <c r="N139" s="51"/>
    </row>
    <row r="140">
      <c r="L140" s="51"/>
      <c r="M140" s="51"/>
      <c r="N140" s="51"/>
    </row>
    <row r="141">
      <c r="L141" s="51"/>
      <c r="M141" s="51"/>
      <c r="N141" s="51"/>
    </row>
    <row r="142">
      <c r="L142" s="51"/>
      <c r="M142" s="51"/>
      <c r="N142" s="51"/>
    </row>
    <row r="143">
      <c r="L143" s="51"/>
      <c r="M143" s="51"/>
      <c r="N143" s="51"/>
    </row>
    <row r="144">
      <c r="L144" s="51"/>
      <c r="M144" s="51"/>
      <c r="N144" s="51"/>
    </row>
    <row r="145">
      <c r="L145" s="51"/>
      <c r="M145" s="51"/>
      <c r="N145" s="51"/>
    </row>
    <row r="146">
      <c r="L146" s="51"/>
      <c r="M146" s="51"/>
      <c r="N146" s="51"/>
    </row>
    <row r="147">
      <c r="L147" s="51"/>
      <c r="M147" s="51"/>
      <c r="N147" s="51"/>
    </row>
    <row r="148">
      <c r="L148" s="51"/>
      <c r="M148" s="51"/>
      <c r="N148" s="51"/>
    </row>
    <row r="149">
      <c r="L149" s="51"/>
      <c r="M149" s="51"/>
      <c r="N149" s="51"/>
    </row>
    <row r="150">
      <c r="L150" s="51"/>
      <c r="M150" s="51"/>
      <c r="N150" s="51"/>
    </row>
    <row r="151">
      <c r="L151" s="51"/>
      <c r="M151" s="51"/>
      <c r="N151" s="51"/>
    </row>
    <row r="152">
      <c r="L152" s="51"/>
      <c r="M152" s="51"/>
      <c r="N152" s="51"/>
    </row>
    <row r="153">
      <c r="L153" s="51"/>
      <c r="M153" s="51"/>
      <c r="N153" s="51"/>
    </row>
    <row r="154">
      <c r="L154" s="51"/>
      <c r="M154" s="51"/>
      <c r="N154" s="51"/>
    </row>
    <row r="155">
      <c r="L155" s="51"/>
      <c r="M155" s="51"/>
      <c r="N155" s="51"/>
    </row>
    <row r="156">
      <c r="L156" s="51"/>
      <c r="M156" s="51"/>
      <c r="N156" s="51"/>
    </row>
    <row r="157">
      <c r="L157" s="51"/>
      <c r="M157" s="51"/>
      <c r="N157" s="51"/>
    </row>
    <row r="158">
      <c r="L158" s="51"/>
      <c r="M158" s="51"/>
      <c r="N158" s="51"/>
    </row>
    <row r="159">
      <c r="L159" s="51"/>
      <c r="M159" s="51"/>
      <c r="N159" s="51"/>
    </row>
    <row r="160">
      <c r="L160" s="51"/>
      <c r="M160" s="51"/>
      <c r="N160" s="51"/>
    </row>
    <row r="161">
      <c r="L161" s="51"/>
      <c r="M161" s="51"/>
      <c r="N161" s="51"/>
    </row>
    <row r="162">
      <c r="L162" s="51"/>
      <c r="M162" s="51"/>
      <c r="N162" s="51"/>
    </row>
    <row r="163">
      <c r="L163" s="51"/>
      <c r="M163" s="51"/>
      <c r="N163" s="51"/>
    </row>
    <row r="164">
      <c r="L164" s="51"/>
      <c r="M164" s="51"/>
      <c r="N164" s="51"/>
    </row>
    <row r="165">
      <c r="L165" s="51"/>
      <c r="M165" s="51"/>
      <c r="N165" s="51"/>
    </row>
    <row r="166">
      <c r="L166" s="51"/>
      <c r="M166" s="51"/>
      <c r="N166" s="51"/>
    </row>
    <row r="167">
      <c r="L167" s="51"/>
      <c r="M167" s="51"/>
      <c r="N167" s="51"/>
    </row>
    <row r="168">
      <c r="L168" s="51"/>
      <c r="M168" s="51"/>
      <c r="N168" s="51"/>
    </row>
    <row r="169">
      <c r="L169" s="51"/>
      <c r="M169" s="51"/>
      <c r="N169" s="51"/>
    </row>
    <row r="170">
      <c r="L170" s="51"/>
      <c r="M170" s="51"/>
      <c r="N170" s="51"/>
    </row>
    <row r="171">
      <c r="L171" s="51"/>
      <c r="M171" s="51"/>
      <c r="N171" s="51"/>
    </row>
    <row r="172">
      <c r="L172" s="51"/>
      <c r="M172" s="51"/>
      <c r="N172" s="51"/>
    </row>
    <row r="173">
      <c r="L173" s="51"/>
      <c r="M173" s="51"/>
      <c r="N173" s="51"/>
    </row>
    <row r="174">
      <c r="L174" s="51"/>
      <c r="M174" s="51"/>
      <c r="N174" s="51"/>
    </row>
    <row r="175">
      <c r="L175" s="51"/>
      <c r="M175" s="51"/>
      <c r="N175" s="51"/>
    </row>
    <row r="176">
      <c r="L176" s="51"/>
      <c r="M176" s="51"/>
      <c r="N176" s="51"/>
    </row>
    <row r="177">
      <c r="L177" s="51"/>
      <c r="M177" s="51"/>
      <c r="N177" s="51"/>
    </row>
    <row r="178">
      <c r="L178" s="51"/>
      <c r="M178" s="51"/>
      <c r="N178" s="51"/>
    </row>
    <row r="179">
      <c r="L179" s="51"/>
      <c r="M179" s="51"/>
      <c r="N179" s="51"/>
    </row>
    <row r="180">
      <c r="L180" s="51"/>
      <c r="M180" s="51"/>
      <c r="N180" s="51"/>
    </row>
    <row r="181">
      <c r="L181" s="51"/>
      <c r="M181" s="51"/>
      <c r="N181" s="51"/>
    </row>
    <row r="182">
      <c r="L182" s="51"/>
      <c r="M182" s="51"/>
      <c r="N182" s="51"/>
    </row>
    <row r="183">
      <c r="L183" s="51"/>
      <c r="M183" s="51"/>
      <c r="N183" s="51"/>
    </row>
    <row r="184">
      <c r="L184" s="51"/>
      <c r="M184" s="51"/>
      <c r="N184" s="51"/>
    </row>
    <row r="185">
      <c r="L185" s="51"/>
      <c r="M185" s="51"/>
      <c r="N185" s="51"/>
    </row>
    <row r="186">
      <c r="L186" s="51"/>
      <c r="M186" s="51"/>
      <c r="N186" s="51"/>
    </row>
    <row r="187">
      <c r="L187" s="51"/>
      <c r="M187" s="51"/>
      <c r="N187" s="51"/>
    </row>
    <row r="188">
      <c r="L188" s="51"/>
      <c r="M188" s="51"/>
      <c r="N188" s="51"/>
    </row>
    <row r="189">
      <c r="L189" s="51"/>
      <c r="M189" s="51"/>
      <c r="N189" s="51"/>
    </row>
    <row r="190">
      <c r="L190" s="51"/>
      <c r="M190" s="51"/>
      <c r="N190" s="51"/>
    </row>
    <row r="191">
      <c r="L191" s="51"/>
      <c r="M191" s="51"/>
      <c r="N191" s="51"/>
    </row>
    <row r="192">
      <c r="L192" s="51"/>
      <c r="M192" s="51"/>
      <c r="N192" s="51"/>
    </row>
    <row r="193">
      <c r="L193" s="51"/>
      <c r="M193" s="51"/>
      <c r="N193" s="51"/>
    </row>
    <row r="194">
      <c r="L194" s="51"/>
      <c r="M194" s="51"/>
      <c r="N194" s="51"/>
    </row>
    <row r="195">
      <c r="L195" s="51"/>
      <c r="M195" s="51"/>
      <c r="N195" s="51"/>
    </row>
    <row r="196">
      <c r="L196" s="51"/>
      <c r="M196" s="51"/>
      <c r="N196" s="51"/>
    </row>
    <row r="197">
      <c r="L197" s="51"/>
      <c r="M197" s="51"/>
      <c r="N197" s="51"/>
    </row>
    <row r="198">
      <c r="L198" s="51"/>
      <c r="M198" s="51"/>
      <c r="N198" s="51"/>
    </row>
    <row r="199">
      <c r="L199" s="51"/>
      <c r="M199" s="51"/>
      <c r="N199" s="51"/>
    </row>
    <row r="200">
      <c r="L200" s="51"/>
      <c r="M200" s="51"/>
      <c r="N200" s="51"/>
    </row>
    <row r="201">
      <c r="L201" s="51"/>
      <c r="M201" s="51"/>
      <c r="N201" s="51"/>
    </row>
    <row r="202">
      <c r="L202" s="51"/>
      <c r="M202" s="51"/>
      <c r="N202" s="51"/>
    </row>
    <row r="203">
      <c r="L203" s="51"/>
      <c r="M203" s="51"/>
      <c r="N203" s="51"/>
    </row>
    <row r="204">
      <c r="L204" s="51"/>
      <c r="M204" s="51"/>
      <c r="N204" s="51"/>
    </row>
    <row r="205">
      <c r="L205" s="51"/>
      <c r="M205" s="51"/>
      <c r="N205" s="51"/>
    </row>
    <row r="206">
      <c r="L206" s="51"/>
      <c r="M206" s="51"/>
      <c r="N206" s="51"/>
    </row>
    <row r="207">
      <c r="L207" s="51"/>
      <c r="M207" s="51"/>
      <c r="N207" s="51"/>
    </row>
    <row r="208">
      <c r="L208" s="51"/>
      <c r="M208" s="51"/>
      <c r="N208" s="51"/>
    </row>
    <row r="209">
      <c r="L209" s="51"/>
      <c r="M209" s="51"/>
      <c r="N209" s="51"/>
    </row>
    <row r="210">
      <c r="L210" s="51"/>
      <c r="M210" s="51"/>
      <c r="N210" s="51"/>
    </row>
    <row r="211">
      <c r="L211" s="51"/>
      <c r="M211" s="51"/>
      <c r="N211" s="51"/>
    </row>
    <row r="212">
      <c r="L212" s="51"/>
      <c r="M212" s="51"/>
      <c r="N212" s="51"/>
    </row>
    <row r="213">
      <c r="L213" s="51"/>
      <c r="M213" s="51"/>
      <c r="N213" s="51"/>
    </row>
    <row r="214">
      <c r="L214" s="51"/>
      <c r="M214" s="51"/>
      <c r="N214" s="51"/>
    </row>
    <row r="215">
      <c r="L215" s="51"/>
      <c r="M215" s="51"/>
      <c r="N215" s="51"/>
    </row>
    <row r="216">
      <c r="L216" s="51"/>
      <c r="M216" s="51"/>
      <c r="N216" s="51"/>
    </row>
    <row r="217">
      <c r="L217" s="51"/>
      <c r="M217" s="51"/>
      <c r="N217" s="51"/>
    </row>
    <row r="218">
      <c r="L218" s="51"/>
      <c r="M218" s="51"/>
      <c r="N218" s="51"/>
    </row>
    <row r="219">
      <c r="L219" s="51"/>
      <c r="M219" s="51"/>
      <c r="N219" s="51"/>
    </row>
    <row r="220">
      <c r="L220" s="51"/>
      <c r="M220" s="51"/>
      <c r="N220" s="51"/>
    </row>
    <row r="221">
      <c r="L221" s="51"/>
      <c r="M221" s="51"/>
      <c r="N221" s="51"/>
    </row>
    <row r="222">
      <c r="L222" s="51"/>
      <c r="M222" s="51"/>
      <c r="N222" s="51"/>
    </row>
    <row r="223">
      <c r="L223" s="51"/>
      <c r="M223" s="51"/>
      <c r="N223" s="51"/>
    </row>
    <row r="224">
      <c r="L224" s="51"/>
      <c r="M224" s="51"/>
      <c r="N224" s="51"/>
    </row>
    <row r="225">
      <c r="L225" s="51"/>
      <c r="M225" s="51"/>
      <c r="N225" s="51"/>
    </row>
    <row r="226">
      <c r="L226" s="51"/>
      <c r="M226" s="51"/>
      <c r="N226" s="51"/>
    </row>
    <row r="227">
      <c r="L227" s="51"/>
      <c r="M227" s="51"/>
      <c r="N227" s="51"/>
    </row>
    <row r="228">
      <c r="L228" s="51"/>
      <c r="M228" s="51"/>
      <c r="N228" s="51"/>
    </row>
    <row r="229">
      <c r="L229" s="51"/>
      <c r="M229" s="51"/>
      <c r="N229" s="51"/>
    </row>
    <row r="230">
      <c r="L230" s="51"/>
      <c r="M230" s="51"/>
      <c r="N230" s="51"/>
    </row>
    <row r="231">
      <c r="L231" s="51"/>
      <c r="M231" s="51"/>
      <c r="N231" s="51"/>
    </row>
    <row r="232">
      <c r="L232" s="51"/>
      <c r="M232" s="51"/>
      <c r="N232" s="51"/>
    </row>
    <row r="233">
      <c r="L233" s="51"/>
      <c r="M233" s="51"/>
      <c r="N233" s="51"/>
    </row>
    <row r="234">
      <c r="L234" s="51"/>
      <c r="M234" s="51"/>
      <c r="N234" s="51"/>
    </row>
    <row r="235">
      <c r="L235" s="51"/>
      <c r="M235" s="51"/>
      <c r="N235" s="51"/>
    </row>
    <row r="236">
      <c r="L236" s="51"/>
      <c r="M236" s="51"/>
      <c r="N236" s="51"/>
    </row>
    <row r="237">
      <c r="L237" s="51"/>
      <c r="M237" s="51"/>
      <c r="N237" s="51"/>
    </row>
    <row r="238">
      <c r="L238" s="51"/>
      <c r="M238" s="51"/>
      <c r="N238" s="51"/>
    </row>
    <row r="239">
      <c r="L239" s="51"/>
      <c r="M239" s="51"/>
      <c r="N239" s="51"/>
    </row>
    <row r="240">
      <c r="L240" s="51"/>
      <c r="M240" s="51"/>
      <c r="N240" s="51"/>
    </row>
    <row r="241">
      <c r="L241" s="51"/>
      <c r="M241" s="51"/>
      <c r="N241" s="51"/>
    </row>
    <row r="242">
      <c r="L242" s="51"/>
      <c r="M242" s="51"/>
      <c r="N242" s="51"/>
    </row>
    <row r="243">
      <c r="L243" s="51"/>
      <c r="M243" s="51"/>
      <c r="N243" s="51"/>
    </row>
    <row r="244">
      <c r="L244" s="51"/>
      <c r="M244" s="51"/>
      <c r="N244" s="51"/>
    </row>
    <row r="245">
      <c r="L245" s="51"/>
      <c r="M245" s="51"/>
      <c r="N245" s="51"/>
    </row>
    <row r="246">
      <c r="L246" s="51"/>
      <c r="M246" s="51"/>
      <c r="N246" s="51"/>
    </row>
    <row r="247">
      <c r="L247" s="51"/>
      <c r="M247" s="51"/>
      <c r="N247" s="51"/>
    </row>
    <row r="248">
      <c r="L248" s="51"/>
      <c r="M248" s="51"/>
      <c r="N248" s="51"/>
    </row>
    <row r="249">
      <c r="L249" s="51"/>
      <c r="M249" s="51"/>
      <c r="N249" s="51"/>
    </row>
    <row r="250">
      <c r="L250" s="51"/>
      <c r="M250" s="51"/>
      <c r="N250" s="51"/>
    </row>
    <row r="251">
      <c r="L251" s="51"/>
      <c r="M251" s="51"/>
      <c r="N251" s="51"/>
    </row>
    <row r="252">
      <c r="L252" s="51"/>
      <c r="M252" s="51"/>
      <c r="N252" s="51"/>
    </row>
    <row r="253">
      <c r="L253" s="51"/>
      <c r="M253" s="51"/>
      <c r="N253" s="51"/>
    </row>
    <row r="254">
      <c r="L254" s="51"/>
      <c r="M254" s="51"/>
      <c r="N254" s="51"/>
    </row>
    <row r="255">
      <c r="L255" s="51"/>
      <c r="M255" s="51"/>
      <c r="N255" s="51"/>
    </row>
    <row r="256">
      <c r="L256" s="51"/>
      <c r="M256" s="51"/>
      <c r="N256" s="51"/>
    </row>
    <row r="257">
      <c r="L257" s="51"/>
      <c r="M257" s="51"/>
      <c r="N257" s="51"/>
    </row>
    <row r="258">
      <c r="L258" s="51"/>
      <c r="M258" s="51"/>
      <c r="N258" s="51"/>
    </row>
    <row r="259">
      <c r="L259" s="51"/>
      <c r="M259" s="51"/>
      <c r="N259" s="51"/>
    </row>
    <row r="260">
      <c r="L260" s="51"/>
      <c r="M260" s="51"/>
      <c r="N260" s="51"/>
    </row>
    <row r="261">
      <c r="L261" s="51"/>
      <c r="M261" s="51"/>
      <c r="N261" s="51"/>
    </row>
    <row r="262">
      <c r="L262" s="51"/>
      <c r="M262" s="51"/>
      <c r="N262" s="51"/>
    </row>
    <row r="263">
      <c r="L263" s="51"/>
      <c r="M263" s="51"/>
      <c r="N263" s="51"/>
    </row>
    <row r="264">
      <c r="L264" s="51"/>
      <c r="M264" s="51"/>
      <c r="N264" s="51"/>
    </row>
    <row r="265">
      <c r="L265" s="51"/>
      <c r="M265" s="51"/>
      <c r="N265" s="51"/>
    </row>
    <row r="266">
      <c r="L266" s="51"/>
      <c r="M266" s="51"/>
      <c r="N266" s="51"/>
    </row>
    <row r="267">
      <c r="L267" s="51"/>
      <c r="M267" s="51"/>
      <c r="N267" s="51"/>
    </row>
    <row r="268">
      <c r="L268" s="51"/>
      <c r="M268" s="51"/>
      <c r="N268" s="51"/>
    </row>
    <row r="269">
      <c r="L269" s="51"/>
      <c r="M269" s="51"/>
      <c r="N269" s="51"/>
    </row>
    <row r="270">
      <c r="L270" s="51"/>
      <c r="M270" s="51"/>
      <c r="N270" s="51"/>
    </row>
    <row r="271">
      <c r="L271" s="51"/>
      <c r="M271" s="51"/>
      <c r="N271" s="51"/>
    </row>
    <row r="272">
      <c r="L272" s="51"/>
      <c r="M272" s="51"/>
      <c r="N272" s="51"/>
    </row>
    <row r="273">
      <c r="L273" s="51"/>
      <c r="M273" s="51"/>
      <c r="N273" s="51"/>
    </row>
    <row r="274">
      <c r="L274" s="51"/>
      <c r="M274" s="51"/>
      <c r="N274" s="51"/>
    </row>
    <row r="275">
      <c r="L275" s="51"/>
      <c r="M275" s="51"/>
      <c r="N275" s="51"/>
    </row>
    <row r="276">
      <c r="L276" s="51"/>
      <c r="M276" s="51"/>
      <c r="N276" s="51"/>
    </row>
    <row r="277">
      <c r="L277" s="51"/>
      <c r="M277" s="51"/>
      <c r="N277" s="51"/>
    </row>
    <row r="278">
      <c r="L278" s="51"/>
      <c r="M278" s="51"/>
      <c r="N278" s="51"/>
    </row>
    <row r="279">
      <c r="L279" s="51"/>
      <c r="M279" s="51"/>
      <c r="N279" s="51"/>
    </row>
    <row r="280">
      <c r="L280" s="51"/>
      <c r="M280" s="51"/>
      <c r="N280" s="51"/>
    </row>
    <row r="281">
      <c r="L281" s="51"/>
      <c r="M281" s="51"/>
      <c r="N281" s="51"/>
    </row>
    <row r="282">
      <c r="L282" s="51"/>
      <c r="M282" s="51"/>
      <c r="N282" s="51"/>
    </row>
    <row r="283">
      <c r="L283" s="51"/>
      <c r="M283" s="51"/>
      <c r="N283" s="51"/>
    </row>
    <row r="284">
      <c r="L284" s="51"/>
      <c r="M284" s="51"/>
      <c r="N284" s="51"/>
    </row>
    <row r="285">
      <c r="L285" s="51"/>
      <c r="M285" s="51"/>
      <c r="N285" s="51"/>
    </row>
    <row r="286">
      <c r="L286" s="51"/>
      <c r="M286" s="51"/>
      <c r="N286" s="51"/>
    </row>
    <row r="287">
      <c r="L287" s="51"/>
      <c r="M287" s="51"/>
      <c r="N287" s="51"/>
    </row>
    <row r="288">
      <c r="L288" s="51"/>
      <c r="M288" s="51"/>
      <c r="N288" s="51"/>
    </row>
    <row r="289">
      <c r="L289" s="51"/>
      <c r="M289" s="51"/>
      <c r="N289" s="51"/>
    </row>
    <row r="290">
      <c r="L290" s="51"/>
      <c r="M290" s="51"/>
      <c r="N290" s="51"/>
    </row>
    <row r="291">
      <c r="L291" s="51"/>
      <c r="M291" s="51"/>
      <c r="N291" s="51"/>
    </row>
    <row r="292">
      <c r="L292" s="51"/>
      <c r="M292" s="51"/>
      <c r="N292" s="51"/>
    </row>
    <row r="293">
      <c r="L293" s="51"/>
      <c r="M293" s="51"/>
      <c r="N293" s="51"/>
    </row>
    <row r="294">
      <c r="L294" s="51"/>
      <c r="M294" s="51"/>
      <c r="N294" s="51"/>
    </row>
    <row r="295">
      <c r="L295" s="51"/>
      <c r="M295" s="51"/>
      <c r="N295" s="51"/>
    </row>
    <row r="296">
      <c r="L296" s="51"/>
      <c r="M296" s="51"/>
      <c r="N296" s="51"/>
    </row>
    <row r="297">
      <c r="L297" s="51"/>
      <c r="M297" s="51"/>
      <c r="N297" s="51"/>
    </row>
    <row r="298">
      <c r="L298" s="51"/>
      <c r="M298" s="51"/>
      <c r="N298" s="51"/>
    </row>
    <row r="299">
      <c r="L299" s="51"/>
      <c r="M299" s="51"/>
      <c r="N299" s="51"/>
    </row>
    <row r="300">
      <c r="L300" s="51"/>
      <c r="M300" s="51"/>
      <c r="N300" s="51"/>
    </row>
    <row r="301">
      <c r="L301" s="51"/>
      <c r="M301" s="51"/>
      <c r="N301" s="51"/>
    </row>
    <row r="302">
      <c r="L302" s="51"/>
      <c r="M302" s="51"/>
      <c r="N302" s="51"/>
    </row>
    <row r="303">
      <c r="L303" s="51"/>
      <c r="M303" s="51"/>
      <c r="N303" s="51"/>
    </row>
    <row r="304">
      <c r="L304" s="51"/>
      <c r="M304" s="51"/>
      <c r="N304" s="51"/>
    </row>
    <row r="305">
      <c r="L305" s="51"/>
      <c r="M305" s="51"/>
      <c r="N305" s="51"/>
    </row>
    <row r="306">
      <c r="L306" s="51"/>
      <c r="M306" s="51"/>
      <c r="N306" s="51"/>
    </row>
    <row r="307">
      <c r="L307" s="51"/>
      <c r="M307" s="51"/>
      <c r="N307" s="51"/>
    </row>
    <row r="308">
      <c r="L308" s="51"/>
      <c r="M308" s="51"/>
      <c r="N308" s="51"/>
    </row>
    <row r="309">
      <c r="L309" s="51"/>
      <c r="M309" s="51"/>
      <c r="N309" s="51"/>
    </row>
    <row r="310">
      <c r="L310" s="51"/>
      <c r="M310" s="51"/>
      <c r="N310" s="51"/>
    </row>
    <row r="311">
      <c r="L311" s="51"/>
      <c r="M311" s="51"/>
      <c r="N311" s="51"/>
    </row>
    <row r="312">
      <c r="L312" s="51"/>
      <c r="M312" s="51"/>
      <c r="N312" s="51"/>
    </row>
    <row r="313">
      <c r="L313" s="51"/>
      <c r="M313" s="51"/>
      <c r="N313" s="51"/>
    </row>
    <row r="314">
      <c r="L314" s="51"/>
      <c r="M314" s="51"/>
      <c r="N314" s="51"/>
    </row>
    <row r="315">
      <c r="L315" s="51"/>
      <c r="M315" s="51"/>
      <c r="N315" s="51"/>
    </row>
    <row r="316">
      <c r="L316" s="51"/>
      <c r="M316" s="51"/>
      <c r="N316" s="51"/>
    </row>
    <row r="317">
      <c r="L317" s="51"/>
      <c r="M317" s="51"/>
      <c r="N317" s="51"/>
    </row>
    <row r="318">
      <c r="L318" s="51"/>
      <c r="M318" s="51"/>
      <c r="N318" s="51"/>
    </row>
    <row r="319">
      <c r="L319" s="51"/>
      <c r="M319" s="51"/>
      <c r="N319" s="51"/>
    </row>
    <row r="320">
      <c r="L320" s="51"/>
      <c r="M320" s="51"/>
      <c r="N320" s="51"/>
    </row>
    <row r="321">
      <c r="L321" s="51"/>
      <c r="M321" s="51"/>
      <c r="N321" s="51"/>
    </row>
    <row r="322">
      <c r="L322" s="51"/>
      <c r="M322" s="51"/>
      <c r="N322" s="51"/>
    </row>
    <row r="323">
      <c r="L323" s="51"/>
      <c r="M323" s="51"/>
      <c r="N323" s="51"/>
    </row>
    <row r="324">
      <c r="L324" s="51"/>
      <c r="M324" s="51"/>
      <c r="N324" s="51"/>
    </row>
    <row r="325">
      <c r="L325" s="51"/>
      <c r="M325" s="51"/>
      <c r="N325" s="51"/>
    </row>
    <row r="326">
      <c r="L326" s="51"/>
      <c r="M326" s="51"/>
      <c r="N326" s="51"/>
    </row>
    <row r="327">
      <c r="L327" s="51"/>
      <c r="M327" s="51"/>
      <c r="N327" s="51"/>
    </row>
    <row r="328">
      <c r="L328" s="51"/>
      <c r="M328" s="51"/>
      <c r="N328" s="51"/>
    </row>
    <row r="329">
      <c r="L329" s="51"/>
      <c r="M329" s="51"/>
      <c r="N329" s="51"/>
    </row>
    <row r="330">
      <c r="L330" s="51"/>
      <c r="M330" s="51"/>
      <c r="N330" s="51"/>
    </row>
    <row r="331">
      <c r="L331" s="51"/>
      <c r="M331" s="51"/>
      <c r="N331" s="51"/>
    </row>
    <row r="332">
      <c r="L332" s="51"/>
      <c r="M332" s="51"/>
      <c r="N332" s="51"/>
    </row>
    <row r="333">
      <c r="L333" s="51"/>
      <c r="M333" s="51"/>
      <c r="N333" s="51"/>
    </row>
    <row r="334">
      <c r="L334" s="51"/>
      <c r="M334" s="51"/>
      <c r="N334" s="51"/>
    </row>
    <row r="335">
      <c r="L335" s="51"/>
      <c r="M335" s="51"/>
      <c r="N335" s="51"/>
    </row>
    <row r="336">
      <c r="L336" s="51"/>
      <c r="M336" s="51"/>
      <c r="N336" s="51"/>
    </row>
    <row r="337">
      <c r="L337" s="51"/>
      <c r="M337" s="51"/>
      <c r="N337" s="51"/>
    </row>
    <row r="338">
      <c r="L338" s="51"/>
      <c r="M338" s="51"/>
      <c r="N338" s="51"/>
    </row>
    <row r="339">
      <c r="L339" s="51"/>
      <c r="M339" s="51"/>
      <c r="N339" s="51"/>
    </row>
    <row r="340">
      <c r="L340" s="51"/>
      <c r="M340" s="51"/>
      <c r="N340" s="51"/>
    </row>
    <row r="341">
      <c r="L341" s="51"/>
      <c r="M341" s="51"/>
      <c r="N341" s="51"/>
    </row>
    <row r="342">
      <c r="L342" s="51"/>
      <c r="M342" s="51"/>
      <c r="N342" s="51"/>
    </row>
    <row r="343">
      <c r="L343" s="51"/>
      <c r="M343" s="51"/>
      <c r="N343" s="51"/>
    </row>
    <row r="344">
      <c r="L344" s="51"/>
      <c r="M344" s="51"/>
      <c r="N344" s="51"/>
    </row>
    <row r="345">
      <c r="L345" s="51"/>
      <c r="M345" s="51"/>
      <c r="N345" s="51"/>
    </row>
    <row r="346">
      <c r="L346" s="51"/>
      <c r="M346" s="51"/>
      <c r="N346" s="51"/>
    </row>
    <row r="347">
      <c r="L347" s="51"/>
      <c r="M347" s="51"/>
      <c r="N347" s="51"/>
    </row>
    <row r="348">
      <c r="L348" s="51"/>
      <c r="M348" s="51"/>
      <c r="N348" s="51"/>
    </row>
    <row r="349">
      <c r="L349" s="51"/>
      <c r="M349" s="51"/>
      <c r="N349" s="51"/>
    </row>
    <row r="350">
      <c r="L350" s="51"/>
      <c r="M350" s="51"/>
      <c r="N350" s="51"/>
    </row>
    <row r="351">
      <c r="L351" s="51"/>
      <c r="M351" s="51"/>
      <c r="N351" s="51"/>
    </row>
    <row r="352">
      <c r="L352" s="51"/>
      <c r="M352" s="51"/>
      <c r="N352" s="51"/>
    </row>
    <row r="353">
      <c r="L353" s="51"/>
      <c r="M353" s="51"/>
      <c r="N353" s="51"/>
    </row>
    <row r="354">
      <c r="L354" s="51"/>
      <c r="M354" s="51"/>
      <c r="N354" s="51"/>
    </row>
    <row r="355">
      <c r="L355" s="51"/>
      <c r="M355" s="51"/>
      <c r="N355" s="51"/>
    </row>
    <row r="356">
      <c r="L356" s="51"/>
      <c r="M356" s="51"/>
      <c r="N356" s="51"/>
    </row>
    <row r="357">
      <c r="L357" s="51"/>
      <c r="M357" s="51"/>
      <c r="N357" s="51"/>
    </row>
    <row r="358">
      <c r="L358" s="51"/>
      <c r="M358" s="51"/>
      <c r="N358" s="51"/>
    </row>
    <row r="359">
      <c r="L359" s="51"/>
      <c r="M359" s="51"/>
      <c r="N359" s="51"/>
    </row>
    <row r="360">
      <c r="L360" s="51"/>
      <c r="M360" s="51"/>
      <c r="N360" s="51"/>
    </row>
    <row r="361">
      <c r="L361" s="51"/>
      <c r="M361" s="51"/>
      <c r="N361" s="51"/>
    </row>
    <row r="362">
      <c r="L362" s="51"/>
      <c r="M362" s="51"/>
      <c r="N362" s="51"/>
    </row>
    <row r="363">
      <c r="L363" s="51"/>
      <c r="M363" s="51"/>
      <c r="N363" s="51"/>
    </row>
    <row r="364">
      <c r="L364" s="51"/>
      <c r="M364" s="51"/>
      <c r="N364" s="51"/>
    </row>
    <row r="365">
      <c r="L365" s="51"/>
      <c r="M365" s="51"/>
      <c r="N365" s="51"/>
    </row>
    <row r="366">
      <c r="L366" s="51"/>
      <c r="M366" s="51"/>
      <c r="N366" s="51"/>
    </row>
    <row r="367">
      <c r="L367" s="51"/>
      <c r="M367" s="51"/>
      <c r="N367" s="51"/>
    </row>
    <row r="368">
      <c r="L368" s="51"/>
      <c r="M368" s="51"/>
      <c r="N368" s="51"/>
    </row>
    <row r="369">
      <c r="L369" s="51"/>
      <c r="M369" s="51"/>
      <c r="N369" s="51"/>
    </row>
    <row r="370">
      <c r="L370" s="51"/>
      <c r="M370" s="51"/>
      <c r="N370" s="51"/>
    </row>
    <row r="371">
      <c r="L371" s="51"/>
      <c r="M371" s="51"/>
      <c r="N371" s="51"/>
    </row>
    <row r="372">
      <c r="L372" s="51"/>
      <c r="M372" s="51"/>
      <c r="N372" s="51"/>
    </row>
    <row r="373">
      <c r="L373" s="51"/>
      <c r="M373" s="51"/>
      <c r="N373" s="51"/>
    </row>
    <row r="374">
      <c r="L374" s="51"/>
      <c r="M374" s="51"/>
      <c r="N374" s="51"/>
    </row>
    <row r="375">
      <c r="L375" s="51"/>
      <c r="M375" s="51"/>
      <c r="N375" s="51"/>
    </row>
    <row r="376">
      <c r="L376" s="51"/>
      <c r="M376" s="51"/>
      <c r="N376" s="51"/>
    </row>
    <row r="377">
      <c r="L377" s="51"/>
      <c r="M377" s="51"/>
      <c r="N377" s="51"/>
    </row>
    <row r="378">
      <c r="L378" s="51"/>
      <c r="M378" s="51"/>
      <c r="N378" s="51"/>
    </row>
    <row r="379">
      <c r="L379" s="51"/>
      <c r="M379" s="51"/>
      <c r="N379" s="51"/>
    </row>
    <row r="380">
      <c r="L380" s="51"/>
      <c r="M380" s="51"/>
      <c r="N380" s="51"/>
    </row>
    <row r="381">
      <c r="L381" s="51"/>
      <c r="M381" s="51"/>
      <c r="N381" s="51"/>
    </row>
    <row r="382">
      <c r="L382" s="51"/>
      <c r="M382" s="51"/>
      <c r="N382" s="51"/>
    </row>
    <row r="383">
      <c r="L383" s="51"/>
      <c r="M383" s="51"/>
      <c r="N383" s="51"/>
    </row>
    <row r="384">
      <c r="L384" s="51"/>
      <c r="M384" s="51"/>
      <c r="N384" s="51"/>
    </row>
    <row r="385">
      <c r="L385" s="51"/>
      <c r="M385" s="51"/>
      <c r="N385" s="51"/>
    </row>
    <row r="386">
      <c r="L386" s="51"/>
      <c r="M386" s="51"/>
      <c r="N386" s="51"/>
    </row>
    <row r="387">
      <c r="L387" s="51"/>
      <c r="M387" s="51"/>
      <c r="N387" s="51"/>
    </row>
    <row r="388">
      <c r="L388" s="51"/>
      <c r="M388" s="51"/>
      <c r="N388" s="51"/>
    </row>
    <row r="389">
      <c r="L389" s="51"/>
      <c r="M389" s="51"/>
      <c r="N389" s="51"/>
    </row>
    <row r="390">
      <c r="L390" s="51"/>
      <c r="M390" s="51"/>
      <c r="N390" s="51"/>
    </row>
    <row r="391">
      <c r="L391" s="51"/>
      <c r="M391" s="51"/>
      <c r="N391" s="51"/>
    </row>
    <row r="392">
      <c r="L392" s="51"/>
      <c r="M392" s="51"/>
      <c r="N392" s="51"/>
    </row>
    <row r="393">
      <c r="L393" s="51"/>
      <c r="M393" s="51"/>
      <c r="N393" s="51"/>
    </row>
    <row r="394">
      <c r="L394" s="51"/>
      <c r="M394" s="51"/>
      <c r="N394" s="51"/>
    </row>
    <row r="395">
      <c r="L395" s="51"/>
      <c r="M395" s="51"/>
      <c r="N395" s="51"/>
    </row>
    <row r="396">
      <c r="L396" s="51"/>
      <c r="M396" s="51"/>
      <c r="N396" s="51"/>
    </row>
    <row r="397">
      <c r="L397" s="51"/>
      <c r="M397" s="51"/>
      <c r="N397" s="51"/>
    </row>
    <row r="398">
      <c r="L398" s="51"/>
      <c r="M398" s="51"/>
      <c r="N398" s="51"/>
    </row>
    <row r="399">
      <c r="L399" s="51"/>
      <c r="M399" s="51"/>
      <c r="N399" s="51"/>
    </row>
    <row r="400">
      <c r="L400" s="51"/>
      <c r="M400" s="51"/>
      <c r="N400" s="51"/>
    </row>
    <row r="401">
      <c r="L401" s="51"/>
      <c r="M401" s="51"/>
      <c r="N401" s="51"/>
    </row>
    <row r="402">
      <c r="L402" s="51"/>
      <c r="M402" s="51"/>
      <c r="N402" s="51"/>
    </row>
    <row r="403">
      <c r="L403" s="51"/>
      <c r="M403" s="51"/>
      <c r="N403" s="51"/>
    </row>
    <row r="404">
      <c r="L404" s="51"/>
      <c r="M404" s="51"/>
      <c r="N404" s="51"/>
    </row>
    <row r="405">
      <c r="L405" s="51"/>
      <c r="M405" s="51"/>
      <c r="N405" s="51"/>
    </row>
    <row r="406">
      <c r="L406" s="51"/>
      <c r="M406" s="51"/>
      <c r="N406" s="51"/>
    </row>
    <row r="407">
      <c r="L407" s="51"/>
      <c r="M407" s="51"/>
      <c r="N407" s="51"/>
    </row>
    <row r="408">
      <c r="L408" s="51"/>
      <c r="M408" s="51"/>
      <c r="N408" s="51"/>
    </row>
    <row r="409">
      <c r="L409" s="51"/>
      <c r="M409" s="51"/>
      <c r="N409" s="51"/>
    </row>
    <row r="410">
      <c r="L410" s="51"/>
      <c r="M410" s="51"/>
      <c r="N410" s="51"/>
    </row>
    <row r="411">
      <c r="L411" s="51"/>
      <c r="M411" s="51"/>
      <c r="N411" s="51"/>
    </row>
    <row r="412">
      <c r="L412" s="51"/>
      <c r="M412" s="51"/>
      <c r="N412" s="51"/>
    </row>
    <row r="413">
      <c r="L413" s="51"/>
      <c r="M413" s="51"/>
      <c r="N413" s="51"/>
    </row>
    <row r="414">
      <c r="L414" s="51"/>
      <c r="M414" s="51"/>
      <c r="N414" s="51"/>
    </row>
    <row r="415">
      <c r="L415" s="51"/>
      <c r="M415" s="51"/>
      <c r="N415" s="51"/>
    </row>
    <row r="416">
      <c r="L416" s="51"/>
      <c r="M416" s="51"/>
      <c r="N416" s="51"/>
    </row>
    <row r="417">
      <c r="L417" s="51"/>
      <c r="M417" s="51"/>
      <c r="N417" s="51"/>
    </row>
    <row r="418">
      <c r="L418" s="51"/>
      <c r="M418" s="51"/>
      <c r="N418" s="51"/>
    </row>
    <row r="419">
      <c r="L419" s="51"/>
      <c r="M419" s="51"/>
      <c r="N419" s="51"/>
    </row>
    <row r="420">
      <c r="L420" s="51"/>
      <c r="M420" s="51"/>
      <c r="N420" s="51"/>
    </row>
    <row r="421">
      <c r="L421" s="51"/>
      <c r="M421" s="51"/>
      <c r="N421" s="51"/>
    </row>
    <row r="422">
      <c r="L422" s="51"/>
      <c r="M422" s="51"/>
      <c r="N422" s="51"/>
    </row>
    <row r="423">
      <c r="L423" s="51"/>
      <c r="M423" s="51"/>
      <c r="N423" s="51"/>
    </row>
    <row r="424">
      <c r="L424" s="51"/>
      <c r="M424" s="51"/>
      <c r="N424" s="51"/>
    </row>
    <row r="425">
      <c r="L425" s="51"/>
      <c r="M425" s="51"/>
      <c r="N425" s="51"/>
    </row>
    <row r="426">
      <c r="L426" s="51"/>
      <c r="M426" s="51"/>
      <c r="N426" s="51"/>
    </row>
    <row r="427">
      <c r="L427" s="51"/>
      <c r="M427" s="51"/>
      <c r="N427" s="51"/>
    </row>
    <row r="428">
      <c r="L428" s="51"/>
      <c r="M428" s="51"/>
      <c r="N428" s="51"/>
    </row>
    <row r="429">
      <c r="L429" s="51"/>
      <c r="M429" s="51"/>
      <c r="N429" s="51"/>
    </row>
    <row r="430">
      <c r="L430" s="51"/>
      <c r="M430" s="51"/>
      <c r="N430" s="51"/>
    </row>
    <row r="431">
      <c r="L431" s="51"/>
      <c r="M431" s="51"/>
      <c r="N431" s="51"/>
    </row>
    <row r="432">
      <c r="L432" s="51"/>
      <c r="M432" s="51"/>
      <c r="N432" s="51"/>
    </row>
    <row r="433">
      <c r="L433" s="51"/>
      <c r="M433" s="51"/>
      <c r="N433" s="51"/>
    </row>
    <row r="434">
      <c r="L434" s="51"/>
      <c r="M434" s="51"/>
      <c r="N434" s="51"/>
    </row>
    <row r="435">
      <c r="L435" s="51"/>
      <c r="M435" s="51"/>
      <c r="N435" s="51"/>
    </row>
    <row r="436">
      <c r="L436" s="51"/>
      <c r="M436" s="51"/>
      <c r="N436" s="51"/>
    </row>
    <row r="437">
      <c r="L437" s="51"/>
      <c r="M437" s="51"/>
      <c r="N437" s="51"/>
    </row>
    <row r="438">
      <c r="L438" s="51"/>
      <c r="M438" s="51"/>
      <c r="N438" s="51"/>
    </row>
    <row r="439">
      <c r="L439" s="51"/>
      <c r="M439" s="51"/>
      <c r="N439" s="51"/>
    </row>
    <row r="440">
      <c r="L440" s="51"/>
      <c r="M440" s="51"/>
      <c r="N440" s="51"/>
    </row>
    <row r="441">
      <c r="L441" s="51"/>
      <c r="M441" s="51"/>
      <c r="N441" s="51"/>
    </row>
    <row r="442">
      <c r="L442" s="51"/>
      <c r="M442" s="51"/>
      <c r="N442" s="51"/>
    </row>
    <row r="443">
      <c r="L443" s="51"/>
      <c r="M443" s="51"/>
      <c r="N443" s="51"/>
    </row>
    <row r="444">
      <c r="L444" s="51"/>
      <c r="M444" s="51"/>
      <c r="N444" s="51"/>
    </row>
    <row r="445">
      <c r="L445" s="51"/>
      <c r="M445" s="51"/>
      <c r="N445" s="51"/>
    </row>
    <row r="446">
      <c r="L446" s="51"/>
      <c r="M446" s="51"/>
      <c r="N446" s="51"/>
    </row>
    <row r="447">
      <c r="L447" s="51"/>
      <c r="M447" s="51"/>
      <c r="N447" s="51"/>
    </row>
    <row r="448">
      <c r="L448" s="51"/>
      <c r="M448" s="51"/>
      <c r="N448" s="51"/>
    </row>
    <row r="449">
      <c r="L449" s="51"/>
      <c r="M449" s="51"/>
      <c r="N449" s="51"/>
    </row>
    <row r="450">
      <c r="L450" s="51"/>
      <c r="M450" s="51"/>
      <c r="N450" s="51"/>
    </row>
    <row r="451">
      <c r="L451" s="51"/>
      <c r="M451" s="51"/>
      <c r="N451" s="51"/>
    </row>
    <row r="452">
      <c r="L452" s="51"/>
      <c r="M452" s="51"/>
      <c r="N452" s="51"/>
    </row>
    <row r="453">
      <c r="L453" s="51"/>
      <c r="M453" s="51"/>
      <c r="N453" s="51"/>
    </row>
    <row r="454">
      <c r="L454" s="51"/>
      <c r="M454" s="51"/>
      <c r="N454" s="51"/>
    </row>
    <row r="455">
      <c r="L455" s="51"/>
      <c r="M455" s="51"/>
      <c r="N455" s="51"/>
    </row>
    <row r="456">
      <c r="L456" s="51"/>
      <c r="M456" s="51"/>
      <c r="N456" s="51"/>
    </row>
    <row r="457">
      <c r="L457" s="51"/>
      <c r="M457" s="51"/>
      <c r="N457" s="51"/>
    </row>
    <row r="458">
      <c r="L458" s="51"/>
      <c r="M458" s="51"/>
      <c r="N458" s="51"/>
    </row>
    <row r="459">
      <c r="L459" s="51"/>
      <c r="M459" s="51"/>
      <c r="N459" s="51"/>
    </row>
    <row r="460">
      <c r="L460" s="51"/>
      <c r="M460" s="51"/>
      <c r="N460" s="51"/>
    </row>
    <row r="461">
      <c r="L461" s="51"/>
      <c r="M461" s="51"/>
      <c r="N461" s="51"/>
    </row>
    <row r="462">
      <c r="L462" s="51"/>
      <c r="M462" s="51"/>
      <c r="N462" s="51"/>
    </row>
    <row r="463">
      <c r="L463" s="51"/>
      <c r="M463" s="51"/>
      <c r="N463" s="51"/>
    </row>
    <row r="464">
      <c r="L464" s="51"/>
      <c r="M464" s="51"/>
      <c r="N464" s="51"/>
    </row>
    <row r="465">
      <c r="L465" s="51"/>
      <c r="M465" s="51"/>
      <c r="N465" s="51"/>
    </row>
    <row r="466">
      <c r="L466" s="51"/>
      <c r="M466" s="51"/>
      <c r="N466" s="51"/>
    </row>
    <row r="467">
      <c r="L467" s="51"/>
      <c r="M467" s="51"/>
      <c r="N467" s="51"/>
    </row>
    <row r="468">
      <c r="L468" s="51"/>
      <c r="M468" s="51"/>
      <c r="N468" s="51"/>
    </row>
    <row r="469">
      <c r="L469" s="51"/>
      <c r="M469" s="51"/>
      <c r="N469" s="51"/>
    </row>
    <row r="470">
      <c r="L470" s="51"/>
      <c r="M470" s="51"/>
      <c r="N470" s="51"/>
    </row>
    <row r="471">
      <c r="L471" s="51"/>
      <c r="M471" s="51"/>
      <c r="N471" s="51"/>
    </row>
    <row r="472">
      <c r="L472" s="51"/>
      <c r="M472" s="51"/>
      <c r="N472" s="51"/>
    </row>
    <row r="473">
      <c r="L473" s="51"/>
      <c r="M473" s="51"/>
      <c r="N473" s="51"/>
    </row>
    <row r="474">
      <c r="L474" s="51"/>
      <c r="M474" s="51"/>
      <c r="N474" s="51"/>
    </row>
    <row r="475">
      <c r="L475" s="51"/>
      <c r="M475" s="51"/>
      <c r="N475" s="51"/>
    </row>
    <row r="476">
      <c r="L476" s="51"/>
      <c r="M476" s="51"/>
      <c r="N476" s="51"/>
    </row>
    <row r="477">
      <c r="L477" s="51"/>
      <c r="M477" s="51"/>
      <c r="N477" s="51"/>
    </row>
    <row r="478">
      <c r="L478" s="51"/>
      <c r="M478" s="51"/>
      <c r="N478" s="51"/>
    </row>
    <row r="479">
      <c r="L479" s="51"/>
      <c r="M479" s="51"/>
      <c r="N479" s="51"/>
    </row>
    <row r="480">
      <c r="L480" s="51"/>
      <c r="M480" s="51"/>
      <c r="N480" s="51"/>
    </row>
    <row r="481">
      <c r="L481" s="51"/>
      <c r="M481" s="51"/>
      <c r="N481" s="51"/>
    </row>
    <row r="482">
      <c r="L482" s="51"/>
      <c r="M482" s="51"/>
      <c r="N482" s="51"/>
    </row>
    <row r="483">
      <c r="L483" s="51"/>
      <c r="M483" s="51"/>
      <c r="N483" s="51"/>
    </row>
    <row r="484">
      <c r="L484" s="51"/>
      <c r="M484" s="51"/>
      <c r="N484" s="51"/>
    </row>
    <row r="485">
      <c r="L485" s="51"/>
      <c r="M485" s="51"/>
      <c r="N485" s="51"/>
    </row>
    <row r="486">
      <c r="L486" s="51"/>
      <c r="M486" s="51"/>
      <c r="N486" s="51"/>
    </row>
    <row r="487">
      <c r="L487" s="51"/>
      <c r="M487" s="51"/>
      <c r="N487" s="51"/>
    </row>
    <row r="488">
      <c r="L488" s="51"/>
      <c r="M488" s="51"/>
      <c r="N488" s="51"/>
    </row>
    <row r="489">
      <c r="L489" s="51"/>
      <c r="M489" s="51"/>
      <c r="N489" s="51"/>
    </row>
    <row r="490">
      <c r="L490" s="51"/>
      <c r="M490" s="51"/>
      <c r="N490" s="51"/>
    </row>
    <row r="491">
      <c r="L491" s="51"/>
      <c r="M491" s="51"/>
      <c r="N491" s="51"/>
    </row>
    <row r="492">
      <c r="L492" s="51"/>
      <c r="M492" s="51"/>
      <c r="N492" s="51"/>
    </row>
    <row r="493">
      <c r="L493" s="51"/>
      <c r="M493" s="51"/>
      <c r="N493" s="51"/>
    </row>
    <row r="494">
      <c r="L494" s="51"/>
      <c r="M494" s="51"/>
      <c r="N494" s="51"/>
    </row>
    <row r="495">
      <c r="L495" s="51"/>
      <c r="M495" s="51"/>
      <c r="N495" s="51"/>
    </row>
    <row r="496">
      <c r="L496" s="51"/>
      <c r="M496" s="51"/>
      <c r="N496" s="51"/>
    </row>
    <row r="497">
      <c r="L497" s="51"/>
      <c r="M497" s="51"/>
      <c r="N497" s="51"/>
    </row>
    <row r="498">
      <c r="L498" s="51"/>
      <c r="M498" s="51"/>
      <c r="N498" s="51"/>
    </row>
    <row r="499">
      <c r="L499" s="51"/>
      <c r="M499" s="51"/>
      <c r="N499" s="51"/>
    </row>
    <row r="500">
      <c r="L500" s="51"/>
      <c r="M500" s="51"/>
      <c r="N500" s="51"/>
    </row>
    <row r="501">
      <c r="L501" s="51"/>
      <c r="M501" s="51"/>
      <c r="N501" s="51"/>
    </row>
    <row r="502">
      <c r="L502" s="51"/>
      <c r="M502" s="51"/>
      <c r="N502" s="51"/>
    </row>
    <row r="503">
      <c r="L503" s="51"/>
      <c r="M503" s="51"/>
      <c r="N503" s="51"/>
    </row>
    <row r="504">
      <c r="L504" s="51"/>
      <c r="M504" s="51"/>
      <c r="N504" s="51"/>
    </row>
    <row r="505">
      <c r="L505" s="51"/>
      <c r="M505" s="51"/>
      <c r="N505" s="51"/>
    </row>
    <row r="506">
      <c r="L506" s="51"/>
      <c r="M506" s="51"/>
      <c r="N506" s="51"/>
    </row>
    <row r="507">
      <c r="L507" s="51"/>
      <c r="M507" s="51"/>
      <c r="N507" s="51"/>
    </row>
    <row r="508">
      <c r="L508" s="51"/>
      <c r="M508" s="51"/>
      <c r="N508" s="51"/>
    </row>
    <row r="509">
      <c r="L509" s="51"/>
      <c r="M509" s="51"/>
      <c r="N509" s="51"/>
    </row>
    <row r="510">
      <c r="L510" s="51"/>
      <c r="M510" s="51"/>
      <c r="N510" s="51"/>
    </row>
    <row r="511">
      <c r="L511" s="51"/>
      <c r="M511" s="51"/>
      <c r="N511" s="51"/>
    </row>
    <row r="512">
      <c r="L512" s="51"/>
      <c r="M512" s="51"/>
      <c r="N512" s="51"/>
    </row>
    <row r="513">
      <c r="L513" s="51"/>
      <c r="M513" s="51"/>
      <c r="N513" s="51"/>
    </row>
    <row r="514">
      <c r="L514" s="51"/>
      <c r="M514" s="51"/>
      <c r="N514" s="51"/>
    </row>
    <row r="515">
      <c r="L515" s="51"/>
      <c r="M515" s="51"/>
      <c r="N515" s="51"/>
    </row>
    <row r="516">
      <c r="L516" s="51"/>
      <c r="M516" s="51"/>
      <c r="N516" s="51"/>
    </row>
    <row r="517">
      <c r="L517" s="51"/>
      <c r="M517" s="51"/>
      <c r="N517" s="51"/>
    </row>
    <row r="518">
      <c r="L518" s="51"/>
      <c r="M518" s="51"/>
      <c r="N518" s="51"/>
    </row>
    <row r="519">
      <c r="L519" s="51"/>
      <c r="M519" s="51"/>
      <c r="N519" s="51"/>
    </row>
    <row r="520">
      <c r="L520" s="51"/>
      <c r="M520" s="51"/>
      <c r="N520" s="51"/>
    </row>
    <row r="521">
      <c r="L521" s="51"/>
      <c r="M521" s="51"/>
      <c r="N521" s="51"/>
    </row>
    <row r="522">
      <c r="L522" s="51"/>
      <c r="M522" s="51"/>
      <c r="N522" s="51"/>
    </row>
    <row r="523">
      <c r="L523" s="51"/>
      <c r="M523" s="51"/>
      <c r="N523" s="51"/>
    </row>
    <row r="524">
      <c r="L524" s="51"/>
      <c r="M524" s="51"/>
      <c r="N524" s="51"/>
    </row>
    <row r="525">
      <c r="L525" s="51"/>
      <c r="M525" s="51"/>
      <c r="N525" s="51"/>
    </row>
    <row r="526">
      <c r="L526" s="51"/>
      <c r="M526" s="51"/>
      <c r="N526" s="51"/>
    </row>
    <row r="527">
      <c r="L527" s="51"/>
      <c r="M527" s="51"/>
      <c r="N527" s="51"/>
    </row>
    <row r="528">
      <c r="L528" s="51"/>
      <c r="M528" s="51"/>
      <c r="N528" s="51"/>
    </row>
    <row r="529">
      <c r="L529" s="51"/>
      <c r="M529" s="51"/>
      <c r="N529" s="51"/>
    </row>
    <row r="530">
      <c r="L530" s="51"/>
      <c r="M530" s="51"/>
      <c r="N530" s="51"/>
    </row>
    <row r="531">
      <c r="L531" s="51"/>
      <c r="M531" s="51"/>
      <c r="N531" s="51"/>
    </row>
    <row r="532">
      <c r="L532" s="51"/>
      <c r="M532" s="51"/>
      <c r="N532" s="51"/>
    </row>
    <row r="533">
      <c r="L533" s="51"/>
      <c r="M533" s="51"/>
      <c r="N533" s="51"/>
    </row>
    <row r="534">
      <c r="L534" s="51"/>
      <c r="M534" s="51"/>
      <c r="N534" s="51"/>
    </row>
    <row r="535">
      <c r="L535" s="51"/>
      <c r="M535" s="51"/>
      <c r="N535" s="51"/>
    </row>
    <row r="536">
      <c r="L536" s="51"/>
      <c r="M536" s="51"/>
      <c r="N536" s="51"/>
    </row>
    <row r="537">
      <c r="L537" s="51"/>
      <c r="M537" s="51"/>
      <c r="N537" s="51"/>
    </row>
    <row r="538">
      <c r="L538" s="51"/>
      <c r="M538" s="51"/>
      <c r="N538" s="51"/>
    </row>
    <row r="539">
      <c r="L539" s="51"/>
      <c r="M539" s="51"/>
      <c r="N539" s="51"/>
    </row>
    <row r="540">
      <c r="L540" s="51"/>
      <c r="M540" s="51"/>
      <c r="N540" s="51"/>
    </row>
    <row r="541">
      <c r="L541" s="51"/>
      <c r="M541" s="51"/>
      <c r="N541" s="51"/>
    </row>
    <row r="542">
      <c r="L542" s="51"/>
      <c r="M542" s="51"/>
      <c r="N542" s="51"/>
    </row>
    <row r="543">
      <c r="L543" s="51"/>
      <c r="M543" s="51"/>
      <c r="N543" s="51"/>
    </row>
    <row r="544">
      <c r="L544" s="51"/>
      <c r="M544" s="51"/>
      <c r="N544" s="51"/>
    </row>
    <row r="545">
      <c r="L545" s="51"/>
      <c r="M545" s="51"/>
      <c r="N545" s="51"/>
    </row>
    <row r="546">
      <c r="L546" s="51"/>
      <c r="M546" s="51"/>
      <c r="N546" s="51"/>
    </row>
    <row r="547">
      <c r="L547" s="51"/>
      <c r="M547" s="51"/>
      <c r="N547" s="51"/>
    </row>
    <row r="548">
      <c r="L548" s="51"/>
      <c r="M548" s="51"/>
      <c r="N548" s="51"/>
    </row>
    <row r="549">
      <c r="L549" s="51"/>
      <c r="M549" s="51"/>
      <c r="N549" s="51"/>
    </row>
    <row r="550">
      <c r="L550" s="51"/>
      <c r="M550" s="51"/>
      <c r="N550" s="51"/>
    </row>
    <row r="551">
      <c r="L551" s="51"/>
      <c r="M551" s="51"/>
      <c r="N551" s="51"/>
    </row>
    <row r="552">
      <c r="L552" s="51"/>
      <c r="M552" s="51"/>
      <c r="N552" s="51"/>
    </row>
    <row r="553">
      <c r="L553" s="51"/>
      <c r="M553" s="51"/>
      <c r="N553" s="51"/>
    </row>
    <row r="554">
      <c r="L554" s="51"/>
      <c r="M554" s="51"/>
      <c r="N554" s="51"/>
    </row>
    <row r="555">
      <c r="L555" s="51"/>
      <c r="M555" s="51"/>
      <c r="N555" s="51"/>
    </row>
    <row r="556">
      <c r="L556" s="51"/>
      <c r="M556" s="51"/>
      <c r="N556" s="51"/>
    </row>
    <row r="557">
      <c r="L557" s="51"/>
      <c r="M557" s="51"/>
      <c r="N557" s="51"/>
    </row>
    <row r="558">
      <c r="L558" s="51"/>
      <c r="M558" s="51"/>
      <c r="N558" s="51"/>
    </row>
    <row r="559">
      <c r="L559" s="51"/>
      <c r="M559" s="51"/>
      <c r="N559" s="51"/>
    </row>
    <row r="560">
      <c r="L560" s="51"/>
      <c r="M560" s="51"/>
      <c r="N560" s="51"/>
    </row>
    <row r="561">
      <c r="L561" s="51"/>
      <c r="M561" s="51"/>
      <c r="N561" s="51"/>
    </row>
    <row r="562">
      <c r="L562" s="51"/>
      <c r="M562" s="51"/>
      <c r="N562" s="51"/>
    </row>
    <row r="563">
      <c r="L563" s="51"/>
      <c r="M563" s="51"/>
      <c r="N563" s="51"/>
    </row>
    <row r="564">
      <c r="L564" s="51"/>
      <c r="M564" s="51"/>
      <c r="N564" s="51"/>
    </row>
    <row r="565">
      <c r="L565" s="51"/>
      <c r="M565" s="51"/>
      <c r="N565" s="51"/>
    </row>
    <row r="566">
      <c r="L566" s="51"/>
      <c r="M566" s="51"/>
      <c r="N566" s="51"/>
    </row>
    <row r="567">
      <c r="L567" s="51"/>
      <c r="M567" s="51"/>
      <c r="N567" s="51"/>
    </row>
    <row r="568">
      <c r="L568" s="51"/>
      <c r="M568" s="51"/>
      <c r="N568" s="51"/>
    </row>
    <row r="569">
      <c r="L569" s="51"/>
      <c r="M569" s="51"/>
      <c r="N569" s="51"/>
    </row>
    <row r="570">
      <c r="L570" s="51"/>
      <c r="M570" s="51"/>
      <c r="N570" s="51"/>
    </row>
    <row r="571">
      <c r="L571" s="51"/>
      <c r="M571" s="51"/>
      <c r="N571" s="51"/>
    </row>
    <row r="572">
      <c r="L572" s="51"/>
      <c r="M572" s="51"/>
      <c r="N572" s="51"/>
    </row>
    <row r="573">
      <c r="L573" s="51"/>
      <c r="M573" s="51"/>
      <c r="N573" s="51"/>
    </row>
    <row r="574">
      <c r="L574" s="51"/>
      <c r="M574" s="51"/>
      <c r="N574" s="51"/>
    </row>
    <row r="575">
      <c r="L575" s="51"/>
      <c r="M575" s="51"/>
      <c r="N575" s="51"/>
    </row>
    <row r="576">
      <c r="L576" s="51"/>
      <c r="M576" s="51"/>
      <c r="N576" s="51"/>
    </row>
    <row r="577">
      <c r="L577" s="51"/>
      <c r="M577" s="51"/>
      <c r="N577" s="51"/>
    </row>
    <row r="578">
      <c r="L578" s="51"/>
      <c r="M578" s="51"/>
      <c r="N578" s="51"/>
    </row>
    <row r="579">
      <c r="L579" s="51"/>
      <c r="M579" s="51"/>
      <c r="N579" s="51"/>
    </row>
    <row r="580">
      <c r="L580" s="51"/>
      <c r="M580" s="51"/>
      <c r="N580" s="51"/>
    </row>
    <row r="581">
      <c r="L581" s="51"/>
      <c r="M581" s="51"/>
      <c r="N581" s="51"/>
    </row>
    <row r="582">
      <c r="L582" s="51"/>
      <c r="M582" s="51"/>
      <c r="N582" s="51"/>
    </row>
    <row r="583">
      <c r="L583" s="51"/>
      <c r="M583" s="51"/>
      <c r="N583" s="51"/>
    </row>
    <row r="584">
      <c r="L584" s="51"/>
      <c r="M584" s="51"/>
      <c r="N584" s="51"/>
    </row>
    <row r="585">
      <c r="L585" s="51"/>
      <c r="M585" s="51"/>
      <c r="N585" s="51"/>
    </row>
    <row r="586">
      <c r="L586" s="51"/>
      <c r="M586" s="51"/>
      <c r="N586" s="51"/>
    </row>
    <row r="587">
      <c r="L587" s="51"/>
      <c r="M587" s="51"/>
      <c r="N587" s="51"/>
    </row>
    <row r="588">
      <c r="L588" s="51"/>
      <c r="M588" s="51"/>
      <c r="N588" s="51"/>
    </row>
    <row r="589">
      <c r="L589" s="51"/>
      <c r="M589" s="51"/>
      <c r="N589" s="51"/>
    </row>
    <row r="590">
      <c r="L590" s="51"/>
      <c r="M590" s="51"/>
      <c r="N590" s="51"/>
    </row>
    <row r="591">
      <c r="L591" s="51"/>
      <c r="M591" s="51"/>
      <c r="N591" s="51"/>
    </row>
    <row r="592">
      <c r="L592" s="51"/>
      <c r="M592" s="51"/>
      <c r="N592" s="51"/>
    </row>
    <row r="593">
      <c r="L593" s="51"/>
      <c r="M593" s="51"/>
      <c r="N593" s="51"/>
    </row>
    <row r="594">
      <c r="L594" s="51"/>
      <c r="M594" s="51"/>
      <c r="N594" s="51"/>
    </row>
    <row r="595">
      <c r="L595" s="51"/>
      <c r="M595" s="51"/>
      <c r="N595" s="51"/>
    </row>
    <row r="596">
      <c r="L596" s="51"/>
      <c r="M596" s="51"/>
      <c r="N596" s="51"/>
    </row>
    <row r="597">
      <c r="L597" s="51"/>
      <c r="M597" s="51"/>
      <c r="N597" s="51"/>
    </row>
    <row r="598">
      <c r="L598" s="51"/>
      <c r="M598" s="51"/>
      <c r="N598" s="51"/>
    </row>
    <row r="599">
      <c r="L599" s="51"/>
      <c r="M599" s="51"/>
      <c r="N599" s="51"/>
    </row>
    <row r="600">
      <c r="L600" s="51"/>
      <c r="M600" s="51"/>
      <c r="N600" s="51"/>
    </row>
    <row r="601">
      <c r="L601" s="51"/>
      <c r="M601" s="51"/>
      <c r="N601" s="51"/>
    </row>
    <row r="602">
      <c r="L602" s="51"/>
      <c r="M602" s="51"/>
      <c r="N602" s="51"/>
    </row>
    <row r="603">
      <c r="L603" s="51"/>
      <c r="M603" s="51"/>
      <c r="N603" s="51"/>
    </row>
    <row r="604">
      <c r="L604" s="51"/>
      <c r="M604" s="51"/>
      <c r="N604" s="51"/>
    </row>
    <row r="605">
      <c r="L605" s="51"/>
      <c r="M605" s="51"/>
      <c r="N605" s="51"/>
    </row>
    <row r="606">
      <c r="L606" s="51"/>
      <c r="M606" s="51"/>
      <c r="N606" s="51"/>
    </row>
    <row r="607">
      <c r="L607" s="51"/>
      <c r="M607" s="51"/>
      <c r="N607" s="51"/>
    </row>
    <row r="608">
      <c r="L608" s="51"/>
      <c r="M608" s="51"/>
      <c r="N608" s="51"/>
    </row>
    <row r="609">
      <c r="L609" s="51"/>
      <c r="M609" s="51"/>
      <c r="N609" s="51"/>
    </row>
    <row r="610">
      <c r="L610" s="51"/>
      <c r="M610" s="51"/>
      <c r="N610" s="51"/>
    </row>
    <row r="611">
      <c r="L611" s="51"/>
      <c r="M611" s="51"/>
      <c r="N611" s="51"/>
    </row>
    <row r="612">
      <c r="L612" s="51"/>
      <c r="M612" s="51"/>
      <c r="N612" s="51"/>
    </row>
    <row r="613">
      <c r="L613" s="51"/>
      <c r="M613" s="51"/>
      <c r="N613" s="51"/>
    </row>
    <row r="614">
      <c r="L614" s="51"/>
      <c r="M614" s="51"/>
      <c r="N614" s="51"/>
    </row>
    <row r="615">
      <c r="L615" s="51"/>
      <c r="M615" s="51"/>
      <c r="N615" s="51"/>
    </row>
    <row r="616">
      <c r="L616" s="51"/>
      <c r="M616" s="51"/>
      <c r="N616" s="51"/>
    </row>
    <row r="617">
      <c r="L617" s="51"/>
      <c r="M617" s="51"/>
      <c r="N617" s="51"/>
    </row>
    <row r="618">
      <c r="L618" s="51"/>
      <c r="M618" s="51"/>
      <c r="N618" s="51"/>
    </row>
    <row r="619">
      <c r="L619" s="51"/>
      <c r="M619" s="51"/>
      <c r="N619" s="51"/>
    </row>
    <row r="620">
      <c r="L620" s="51"/>
      <c r="M620" s="51"/>
      <c r="N620" s="51"/>
    </row>
    <row r="621">
      <c r="L621" s="51"/>
      <c r="M621" s="51"/>
      <c r="N621" s="51"/>
    </row>
    <row r="622">
      <c r="L622" s="51"/>
      <c r="M622" s="51"/>
      <c r="N622" s="51"/>
    </row>
    <row r="623">
      <c r="L623" s="51"/>
      <c r="M623" s="51"/>
      <c r="N623" s="51"/>
    </row>
    <row r="624">
      <c r="L624" s="51"/>
      <c r="M624" s="51"/>
      <c r="N624" s="51"/>
    </row>
    <row r="625">
      <c r="L625" s="51"/>
      <c r="M625" s="51"/>
      <c r="N625" s="51"/>
    </row>
    <row r="626">
      <c r="L626" s="51"/>
      <c r="M626" s="51"/>
      <c r="N626" s="51"/>
    </row>
    <row r="627">
      <c r="L627" s="51"/>
      <c r="M627" s="51"/>
      <c r="N627" s="51"/>
    </row>
    <row r="628">
      <c r="L628" s="51"/>
      <c r="M628" s="51"/>
      <c r="N628" s="51"/>
    </row>
    <row r="629">
      <c r="L629" s="51"/>
      <c r="M629" s="51"/>
      <c r="N629" s="51"/>
    </row>
    <row r="630">
      <c r="L630" s="51"/>
      <c r="M630" s="51"/>
      <c r="N630" s="51"/>
    </row>
    <row r="631">
      <c r="L631" s="51"/>
      <c r="M631" s="51"/>
      <c r="N631" s="51"/>
    </row>
    <row r="632">
      <c r="L632" s="51"/>
      <c r="M632" s="51"/>
      <c r="N632" s="51"/>
    </row>
    <row r="633">
      <c r="L633" s="51"/>
      <c r="M633" s="51"/>
      <c r="N633" s="51"/>
    </row>
    <row r="634">
      <c r="L634" s="51"/>
      <c r="M634" s="51"/>
      <c r="N634" s="51"/>
    </row>
    <row r="635">
      <c r="L635" s="51"/>
      <c r="M635" s="51"/>
      <c r="N635" s="51"/>
    </row>
    <row r="636">
      <c r="L636" s="51"/>
      <c r="M636" s="51"/>
      <c r="N636" s="51"/>
    </row>
    <row r="637">
      <c r="L637" s="51"/>
      <c r="M637" s="51"/>
      <c r="N637" s="51"/>
    </row>
    <row r="638">
      <c r="L638" s="51"/>
      <c r="M638" s="51"/>
      <c r="N638" s="51"/>
    </row>
    <row r="639">
      <c r="L639" s="51"/>
      <c r="M639" s="51"/>
      <c r="N639" s="51"/>
    </row>
    <row r="640">
      <c r="L640" s="51"/>
      <c r="M640" s="51"/>
      <c r="N640" s="51"/>
    </row>
    <row r="641">
      <c r="L641" s="51"/>
      <c r="M641" s="51"/>
      <c r="N641" s="51"/>
    </row>
    <row r="642">
      <c r="L642" s="51"/>
      <c r="M642" s="51"/>
      <c r="N642" s="51"/>
    </row>
    <row r="643">
      <c r="L643" s="51"/>
      <c r="M643" s="51"/>
      <c r="N643" s="51"/>
    </row>
    <row r="644">
      <c r="L644" s="51"/>
      <c r="M644" s="51"/>
      <c r="N644" s="51"/>
    </row>
    <row r="645">
      <c r="L645" s="51"/>
      <c r="M645" s="51"/>
      <c r="N645" s="51"/>
    </row>
    <row r="646">
      <c r="L646" s="51"/>
      <c r="M646" s="51"/>
      <c r="N646" s="51"/>
    </row>
    <row r="647">
      <c r="L647" s="51"/>
      <c r="M647" s="51"/>
      <c r="N647" s="51"/>
    </row>
    <row r="648">
      <c r="L648" s="51"/>
      <c r="M648" s="51"/>
      <c r="N648" s="51"/>
    </row>
    <row r="649">
      <c r="L649" s="51"/>
      <c r="M649" s="51"/>
      <c r="N649" s="51"/>
    </row>
    <row r="650">
      <c r="L650" s="51"/>
      <c r="M650" s="51"/>
      <c r="N650" s="51"/>
    </row>
    <row r="651">
      <c r="L651" s="51"/>
      <c r="M651" s="51"/>
      <c r="N651" s="51"/>
    </row>
    <row r="652">
      <c r="L652" s="51"/>
      <c r="M652" s="51"/>
      <c r="N652" s="51"/>
    </row>
    <row r="653">
      <c r="L653" s="51"/>
      <c r="M653" s="51"/>
      <c r="N653" s="51"/>
    </row>
    <row r="654">
      <c r="L654" s="51"/>
      <c r="M654" s="51"/>
      <c r="N654" s="51"/>
    </row>
    <row r="655">
      <c r="L655" s="51"/>
      <c r="M655" s="51"/>
      <c r="N655" s="51"/>
    </row>
    <row r="656">
      <c r="L656" s="51"/>
      <c r="M656" s="51"/>
      <c r="N656" s="51"/>
    </row>
    <row r="657">
      <c r="L657" s="51"/>
      <c r="M657" s="51"/>
      <c r="N657" s="51"/>
    </row>
    <row r="658">
      <c r="L658" s="51"/>
      <c r="M658" s="51"/>
      <c r="N658" s="51"/>
    </row>
    <row r="659">
      <c r="L659" s="51"/>
      <c r="M659" s="51"/>
      <c r="N659" s="51"/>
    </row>
    <row r="660">
      <c r="L660" s="51"/>
      <c r="M660" s="51"/>
      <c r="N660" s="51"/>
    </row>
    <row r="661">
      <c r="L661" s="51"/>
      <c r="M661" s="51"/>
      <c r="N661" s="51"/>
    </row>
    <row r="662">
      <c r="L662" s="51"/>
      <c r="M662" s="51"/>
      <c r="N662" s="51"/>
    </row>
    <row r="663">
      <c r="L663" s="51"/>
      <c r="M663" s="51"/>
      <c r="N663" s="51"/>
    </row>
    <row r="664">
      <c r="L664" s="51"/>
      <c r="M664" s="51"/>
      <c r="N664" s="51"/>
    </row>
    <row r="665">
      <c r="L665" s="51"/>
      <c r="M665" s="51"/>
      <c r="N665" s="51"/>
    </row>
    <row r="666">
      <c r="L666" s="51"/>
      <c r="M666" s="51"/>
      <c r="N666" s="51"/>
    </row>
    <row r="667">
      <c r="L667" s="51"/>
      <c r="M667" s="51"/>
      <c r="N667" s="51"/>
    </row>
    <row r="668">
      <c r="L668" s="51"/>
      <c r="M668" s="51"/>
      <c r="N668" s="51"/>
    </row>
    <row r="669">
      <c r="L669" s="51"/>
      <c r="M669" s="51"/>
      <c r="N669" s="51"/>
    </row>
    <row r="670">
      <c r="L670" s="51"/>
      <c r="M670" s="51"/>
      <c r="N670" s="51"/>
    </row>
    <row r="671">
      <c r="L671" s="51"/>
      <c r="M671" s="51"/>
      <c r="N671" s="51"/>
    </row>
    <row r="672">
      <c r="L672" s="51"/>
      <c r="M672" s="51"/>
      <c r="N672" s="51"/>
    </row>
    <row r="673">
      <c r="L673" s="51"/>
      <c r="M673" s="51"/>
      <c r="N673" s="51"/>
    </row>
    <row r="674">
      <c r="L674" s="51"/>
      <c r="M674" s="51"/>
      <c r="N674" s="51"/>
    </row>
    <row r="675">
      <c r="L675" s="51"/>
      <c r="M675" s="51"/>
      <c r="N675" s="51"/>
    </row>
    <row r="676">
      <c r="L676" s="51"/>
      <c r="M676" s="51"/>
      <c r="N676" s="51"/>
    </row>
    <row r="677">
      <c r="L677" s="51"/>
      <c r="M677" s="51"/>
      <c r="N677" s="51"/>
    </row>
    <row r="678">
      <c r="L678" s="51"/>
      <c r="M678" s="51"/>
      <c r="N678" s="51"/>
    </row>
    <row r="679">
      <c r="L679" s="51"/>
      <c r="M679" s="51"/>
      <c r="N679" s="51"/>
    </row>
    <row r="680">
      <c r="L680" s="51"/>
      <c r="M680" s="51"/>
      <c r="N680" s="51"/>
    </row>
    <row r="681">
      <c r="L681" s="51"/>
      <c r="M681" s="51"/>
      <c r="N681" s="51"/>
    </row>
    <row r="682">
      <c r="L682" s="51"/>
      <c r="M682" s="51"/>
      <c r="N682" s="51"/>
    </row>
    <row r="683">
      <c r="L683" s="51"/>
      <c r="M683" s="51"/>
      <c r="N683" s="51"/>
    </row>
    <row r="684">
      <c r="L684" s="51"/>
      <c r="M684" s="51"/>
      <c r="N684" s="51"/>
    </row>
    <row r="685">
      <c r="L685" s="51"/>
      <c r="M685" s="51"/>
      <c r="N685" s="51"/>
    </row>
    <row r="686">
      <c r="L686" s="51"/>
      <c r="M686" s="51"/>
      <c r="N686" s="51"/>
    </row>
    <row r="687">
      <c r="L687" s="51"/>
      <c r="M687" s="51"/>
      <c r="N687" s="51"/>
    </row>
    <row r="688">
      <c r="L688" s="51"/>
      <c r="M688" s="51"/>
      <c r="N688" s="51"/>
    </row>
    <row r="689">
      <c r="L689" s="51"/>
      <c r="M689" s="51"/>
      <c r="N689" s="51"/>
    </row>
    <row r="690">
      <c r="L690" s="51"/>
      <c r="M690" s="51"/>
      <c r="N690" s="51"/>
    </row>
    <row r="691">
      <c r="L691" s="51"/>
      <c r="M691" s="51"/>
      <c r="N691" s="51"/>
    </row>
    <row r="692">
      <c r="L692" s="51"/>
      <c r="M692" s="51"/>
      <c r="N692" s="51"/>
    </row>
    <row r="693">
      <c r="L693" s="51"/>
      <c r="M693" s="51"/>
      <c r="N693" s="51"/>
    </row>
    <row r="694">
      <c r="L694" s="51"/>
      <c r="M694" s="51"/>
      <c r="N694" s="51"/>
    </row>
    <row r="695">
      <c r="L695" s="51"/>
      <c r="M695" s="51"/>
      <c r="N695" s="51"/>
    </row>
    <row r="696">
      <c r="L696" s="51"/>
      <c r="M696" s="51"/>
      <c r="N696" s="51"/>
    </row>
    <row r="697">
      <c r="L697" s="51"/>
      <c r="M697" s="51"/>
      <c r="N697" s="51"/>
    </row>
    <row r="698">
      <c r="L698" s="51"/>
      <c r="M698" s="51"/>
      <c r="N698" s="51"/>
    </row>
    <row r="699">
      <c r="L699" s="51"/>
      <c r="M699" s="51"/>
      <c r="N699" s="51"/>
    </row>
    <row r="700">
      <c r="L700" s="51"/>
      <c r="M700" s="51"/>
      <c r="N700" s="51"/>
    </row>
    <row r="701">
      <c r="L701" s="51"/>
      <c r="M701" s="51"/>
      <c r="N701" s="51"/>
    </row>
    <row r="702">
      <c r="L702" s="51"/>
      <c r="M702" s="51"/>
      <c r="N702" s="51"/>
    </row>
    <row r="703">
      <c r="L703" s="51"/>
      <c r="M703" s="51"/>
      <c r="N703" s="51"/>
    </row>
    <row r="704">
      <c r="L704" s="51"/>
      <c r="M704" s="51"/>
      <c r="N704" s="51"/>
    </row>
    <row r="705">
      <c r="L705" s="51"/>
      <c r="M705" s="51"/>
      <c r="N705" s="51"/>
    </row>
    <row r="706">
      <c r="L706" s="51"/>
      <c r="M706" s="51"/>
      <c r="N706" s="51"/>
    </row>
    <row r="707">
      <c r="L707" s="51"/>
      <c r="M707" s="51"/>
      <c r="N707" s="51"/>
    </row>
    <row r="708">
      <c r="L708" s="51"/>
      <c r="M708" s="51"/>
      <c r="N708" s="51"/>
    </row>
    <row r="709">
      <c r="L709" s="51"/>
      <c r="M709" s="51"/>
      <c r="N709" s="51"/>
    </row>
    <row r="710">
      <c r="L710" s="51"/>
      <c r="M710" s="51"/>
      <c r="N710" s="51"/>
    </row>
    <row r="711">
      <c r="L711" s="51"/>
      <c r="M711" s="51"/>
      <c r="N711" s="51"/>
    </row>
    <row r="712">
      <c r="L712" s="51"/>
      <c r="M712" s="51"/>
      <c r="N712" s="51"/>
    </row>
    <row r="713">
      <c r="L713" s="51"/>
      <c r="M713" s="51"/>
      <c r="N713" s="51"/>
    </row>
    <row r="714">
      <c r="L714" s="51"/>
      <c r="M714" s="51"/>
      <c r="N714" s="51"/>
    </row>
    <row r="715">
      <c r="L715" s="51"/>
      <c r="M715" s="51"/>
      <c r="N715" s="51"/>
    </row>
    <row r="716">
      <c r="L716" s="51"/>
      <c r="M716" s="51"/>
      <c r="N716" s="51"/>
    </row>
    <row r="717">
      <c r="L717" s="51"/>
      <c r="M717" s="51"/>
      <c r="N717" s="51"/>
    </row>
    <row r="718">
      <c r="L718" s="51"/>
      <c r="M718" s="51"/>
      <c r="N718" s="51"/>
    </row>
    <row r="719">
      <c r="L719" s="51"/>
      <c r="M719" s="51"/>
      <c r="N719" s="51"/>
    </row>
    <row r="720">
      <c r="L720" s="51"/>
      <c r="M720" s="51"/>
      <c r="N720" s="51"/>
    </row>
    <row r="721">
      <c r="L721" s="51"/>
      <c r="M721" s="51"/>
      <c r="N721" s="51"/>
    </row>
    <row r="722">
      <c r="L722" s="51"/>
      <c r="M722" s="51"/>
      <c r="N722" s="51"/>
    </row>
    <row r="723">
      <c r="L723" s="51"/>
      <c r="M723" s="51"/>
      <c r="N723" s="51"/>
    </row>
    <row r="724">
      <c r="L724" s="51"/>
      <c r="M724" s="51"/>
      <c r="N724" s="51"/>
    </row>
    <row r="725">
      <c r="L725" s="51"/>
      <c r="M725" s="51"/>
      <c r="N725" s="51"/>
    </row>
    <row r="726">
      <c r="L726" s="51"/>
      <c r="M726" s="51"/>
      <c r="N726" s="51"/>
    </row>
    <row r="727">
      <c r="L727" s="51"/>
      <c r="M727" s="51"/>
      <c r="N727" s="51"/>
    </row>
    <row r="728">
      <c r="L728" s="51"/>
      <c r="M728" s="51"/>
      <c r="N728" s="51"/>
    </row>
    <row r="729">
      <c r="L729" s="51"/>
      <c r="M729" s="51"/>
      <c r="N729" s="51"/>
    </row>
    <row r="730">
      <c r="L730" s="51"/>
      <c r="M730" s="51"/>
      <c r="N730" s="51"/>
    </row>
    <row r="731">
      <c r="L731" s="51"/>
      <c r="M731" s="51"/>
      <c r="N731" s="51"/>
    </row>
    <row r="732">
      <c r="L732" s="51"/>
      <c r="M732" s="51"/>
      <c r="N732" s="51"/>
    </row>
    <row r="733">
      <c r="L733" s="51"/>
      <c r="M733" s="51"/>
      <c r="N733" s="51"/>
    </row>
    <row r="734">
      <c r="L734" s="51"/>
      <c r="M734" s="51"/>
      <c r="N734" s="51"/>
    </row>
    <row r="735">
      <c r="L735" s="51"/>
      <c r="M735" s="51"/>
      <c r="N735" s="51"/>
    </row>
    <row r="736">
      <c r="L736" s="51"/>
      <c r="M736" s="51"/>
      <c r="N736" s="51"/>
    </row>
    <row r="737">
      <c r="L737" s="51"/>
      <c r="M737" s="51"/>
      <c r="N737" s="51"/>
    </row>
    <row r="738">
      <c r="L738" s="51"/>
      <c r="M738" s="51"/>
      <c r="N738" s="51"/>
    </row>
    <row r="739">
      <c r="L739" s="51"/>
      <c r="M739" s="51"/>
      <c r="N739" s="51"/>
    </row>
    <row r="740">
      <c r="L740" s="51"/>
      <c r="M740" s="51"/>
      <c r="N740" s="51"/>
    </row>
    <row r="741">
      <c r="L741" s="51"/>
      <c r="M741" s="51"/>
      <c r="N741" s="51"/>
    </row>
    <row r="742">
      <c r="L742" s="51"/>
      <c r="M742" s="51"/>
      <c r="N742" s="51"/>
    </row>
    <row r="743">
      <c r="L743" s="51"/>
      <c r="M743" s="51"/>
      <c r="N743" s="51"/>
    </row>
    <row r="744">
      <c r="L744" s="51"/>
      <c r="M744" s="51"/>
      <c r="N744" s="51"/>
    </row>
    <row r="745">
      <c r="L745" s="51"/>
      <c r="M745" s="51"/>
      <c r="N745" s="51"/>
    </row>
    <row r="746">
      <c r="L746" s="51"/>
      <c r="M746" s="51"/>
      <c r="N746" s="51"/>
    </row>
    <row r="747">
      <c r="L747" s="51"/>
      <c r="M747" s="51"/>
      <c r="N747" s="51"/>
    </row>
    <row r="748">
      <c r="L748" s="51"/>
      <c r="M748" s="51"/>
      <c r="N748" s="51"/>
    </row>
    <row r="749">
      <c r="L749" s="51"/>
      <c r="M749" s="51"/>
      <c r="N749" s="51"/>
    </row>
    <row r="750">
      <c r="L750" s="51"/>
      <c r="M750" s="51"/>
      <c r="N750" s="51"/>
    </row>
    <row r="751">
      <c r="L751" s="51"/>
      <c r="M751" s="51"/>
      <c r="N751" s="51"/>
    </row>
    <row r="752">
      <c r="L752" s="51"/>
      <c r="M752" s="51"/>
      <c r="N752" s="51"/>
    </row>
    <row r="753">
      <c r="L753" s="51"/>
      <c r="M753" s="51"/>
      <c r="N753" s="51"/>
    </row>
    <row r="754">
      <c r="L754" s="51"/>
      <c r="M754" s="51"/>
      <c r="N754" s="51"/>
    </row>
    <row r="755">
      <c r="L755" s="51"/>
      <c r="M755" s="51"/>
      <c r="N755" s="51"/>
    </row>
    <row r="756">
      <c r="L756" s="51"/>
      <c r="M756" s="51"/>
      <c r="N756" s="51"/>
    </row>
    <row r="757">
      <c r="L757" s="51"/>
      <c r="M757" s="51"/>
      <c r="N757" s="51"/>
    </row>
    <row r="758">
      <c r="L758" s="51"/>
      <c r="M758" s="51"/>
      <c r="N758" s="51"/>
    </row>
    <row r="759">
      <c r="L759" s="51"/>
      <c r="M759" s="51"/>
      <c r="N759" s="51"/>
    </row>
    <row r="760">
      <c r="L760" s="51"/>
      <c r="M760" s="51"/>
      <c r="N760" s="51"/>
    </row>
    <row r="761">
      <c r="L761" s="51"/>
      <c r="M761" s="51"/>
      <c r="N761" s="51"/>
    </row>
    <row r="762">
      <c r="L762" s="51"/>
      <c r="M762" s="51"/>
      <c r="N762" s="51"/>
    </row>
    <row r="763">
      <c r="L763" s="51"/>
      <c r="M763" s="51"/>
      <c r="N763" s="51"/>
    </row>
    <row r="764">
      <c r="L764" s="51"/>
      <c r="M764" s="51"/>
      <c r="N764" s="51"/>
    </row>
    <row r="765">
      <c r="L765" s="51"/>
      <c r="M765" s="51"/>
      <c r="N765" s="51"/>
    </row>
    <row r="766">
      <c r="L766" s="51"/>
      <c r="M766" s="51"/>
      <c r="N766" s="51"/>
    </row>
    <row r="767">
      <c r="L767" s="51"/>
      <c r="M767" s="51"/>
      <c r="N767" s="51"/>
    </row>
    <row r="768">
      <c r="L768" s="51"/>
      <c r="M768" s="51"/>
      <c r="N768" s="51"/>
    </row>
    <row r="769">
      <c r="L769" s="51"/>
      <c r="M769" s="51"/>
      <c r="N769" s="51"/>
    </row>
    <row r="770">
      <c r="L770" s="51"/>
      <c r="M770" s="51"/>
      <c r="N770" s="51"/>
    </row>
    <row r="771">
      <c r="L771" s="51"/>
      <c r="M771" s="51"/>
      <c r="N771" s="51"/>
    </row>
    <row r="772">
      <c r="L772" s="51"/>
      <c r="M772" s="51"/>
      <c r="N772" s="51"/>
    </row>
    <row r="773">
      <c r="L773" s="51"/>
      <c r="M773" s="51"/>
      <c r="N773" s="51"/>
    </row>
    <row r="774">
      <c r="L774" s="51"/>
      <c r="M774" s="51"/>
      <c r="N774" s="51"/>
    </row>
    <row r="775">
      <c r="L775" s="51"/>
      <c r="M775" s="51"/>
      <c r="N775" s="51"/>
    </row>
    <row r="776">
      <c r="L776" s="51"/>
      <c r="M776" s="51"/>
      <c r="N776" s="51"/>
    </row>
    <row r="777">
      <c r="L777" s="51"/>
      <c r="M777" s="51"/>
      <c r="N777" s="51"/>
    </row>
    <row r="778">
      <c r="L778" s="51"/>
      <c r="M778" s="51"/>
      <c r="N778" s="51"/>
    </row>
    <row r="779">
      <c r="L779" s="51"/>
      <c r="M779" s="51"/>
      <c r="N779" s="51"/>
    </row>
    <row r="780">
      <c r="L780" s="51"/>
      <c r="M780" s="51"/>
      <c r="N780" s="51"/>
    </row>
    <row r="781">
      <c r="L781" s="51"/>
      <c r="M781" s="51"/>
      <c r="N781" s="51"/>
    </row>
    <row r="782">
      <c r="L782" s="51"/>
      <c r="M782" s="51"/>
      <c r="N782" s="51"/>
    </row>
    <row r="783">
      <c r="L783" s="51"/>
      <c r="M783" s="51"/>
      <c r="N783" s="51"/>
    </row>
    <row r="784">
      <c r="L784" s="51"/>
      <c r="M784" s="51"/>
      <c r="N784" s="51"/>
    </row>
    <row r="785">
      <c r="L785" s="51"/>
      <c r="M785" s="51"/>
      <c r="N785" s="51"/>
    </row>
    <row r="786">
      <c r="L786" s="51"/>
      <c r="M786" s="51"/>
      <c r="N786" s="51"/>
    </row>
    <row r="787">
      <c r="L787" s="51"/>
      <c r="M787" s="51"/>
      <c r="N787" s="51"/>
    </row>
    <row r="788">
      <c r="L788" s="51"/>
      <c r="M788" s="51"/>
      <c r="N788" s="51"/>
    </row>
    <row r="789">
      <c r="L789" s="51"/>
      <c r="M789" s="51"/>
      <c r="N789" s="51"/>
    </row>
    <row r="790">
      <c r="L790" s="51"/>
      <c r="M790" s="51"/>
      <c r="N790" s="51"/>
    </row>
    <row r="791">
      <c r="L791" s="51"/>
      <c r="M791" s="51"/>
      <c r="N791" s="51"/>
    </row>
    <row r="792">
      <c r="L792" s="51"/>
      <c r="M792" s="51"/>
      <c r="N792" s="51"/>
    </row>
    <row r="793">
      <c r="L793" s="51"/>
      <c r="M793" s="51"/>
      <c r="N793" s="51"/>
    </row>
    <row r="794">
      <c r="L794" s="51"/>
      <c r="M794" s="51"/>
      <c r="N794" s="51"/>
    </row>
    <row r="795">
      <c r="L795" s="51"/>
      <c r="M795" s="51"/>
      <c r="N795" s="51"/>
    </row>
    <row r="796">
      <c r="L796" s="51"/>
      <c r="M796" s="51"/>
      <c r="N796" s="51"/>
    </row>
    <row r="797">
      <c r="L797" s="51"/>
      <c r="M797" s="51"/>
      <c r="N797" s="51"/>
    </row>
    <row r="798">
      <c r="L798" s="51"/>
      <c r="M798" s="51"/>
      <c r="N798" s="51"/>
    </row>
    <row r="799">
      <c r="L799" s="51"/>
      <c r="M799" s="51"/>
      <c r="N799" s="51"/>
    </row>
    <row r="800">
      <c r="L800" s="51"/>
      <c r="M800" s="51"/>
      <c r="N800" s="51"/>
    </row>
    <row r="801">
      <c r="L801" s="51"/>
      <c r="M801" s="51"/>
      <c r="N801" s="51"/>
    </row>
    <row r="802">
      <c r="L802" s="51"/>
      <c r="M802" s="51"/>
      <c r="N802" s="51"/>
    </row>
    <row r="803">
      <c r="L803" s="51"/>
      <c r="M803" s="51"/>
      <c r="N803" s="51"/>
    </row>
    <row r="804">
      <c r="L804" s="51"/>
      <c r="M804" s="51"/>
      <c r="N804" s="51"/>
    </row>
    <row r="805">
      <c r="L805" s="51"/>
      <c r="M805" s="51"/>
      <c r="N805" s="51"/>
    </row>
    <row r="806">
      <c r="L806" s="51"/>
      <c r="M806" s="51"/>
      <c r="N806" s="51"/>
    </row>
    <row r="807">
      <c r="L807" s="51"/>
      <c r="M807" s="51"/>
      <c r="N807" s="51"/>
    </row>
    <row r="808">
      <c r="L808" s="51"/>
      <c r="M808" s="51"/>
      <c r="N808" s="51"/>
    </row>
    <row r="809">
      <c r="L809" s="51"/>
      <c r="M809" s="51"/>
      <c r="N809" s="51"/>
    </row>
    <row r="810">
      <c r="L810" s="51"/>
      <c r="M810" s="51"/>
      <c r="N810" s="51"/>
    </row>
    <row r="811">
      <c r="L811" s="51"/>
      <c r="M811" s="51"/>
      <c r="N811" s="51"/>
    </row>
    <row r="812">
      <c r="L812" s="51"/>
      <c r="M812" s="51"/>
      <c r="N812" s="51"/>
    </row>
    <row r="813">
      <c r="L813" s="51"/>
      <c r="M813" s="51"/>
      <c r="N813" s="51"/>
    </row>
    <row r="814">
      <c r="L814" s="51"/>
      <c r="M814" s="51"/>
      <c r="N814" s="51"/>
    </row>
    <row r="815">
      <c r="L815" s="51"/>
      <c r="M815" s="51"/>
      <c r="N815" s="51"/>
    </row>
    <row r="816">
      <c r="L816" s="51"/>
      <c r="M816" s="51"/>
      <c r="N816" s="51"/>
    </row>
    <row r="817">
      <c r="L817" s="51"/>
      <c r="M817" s="51"/>
      <c r="N817" s="51"/>
    </row>
    <row r="818">
      <c r="L818" s="51"/>
      <c r="M818" s="51"/>
      <c r="N818" s="51"/>
    </row>
    <row r="819">
      <c r="L819" s="51"/>
      <c r="M819" s="51"/>
      <c r="N819" s="51"/>
    </row>
    <row r="820">
      <c r="L820" s="51"/>
      <c r="M820" s="51"/>
      <c r="N820" s="51"/>
    </row>
    <row r="821">
      <c r="L821" s="51"/>
      <c r="M821" s="51"/>
      <c r="N821" s="51"/>
    </row>
    <row r="822">
      <c r="L822" s="51"/>
      <c r="M822" s="51"/>
      <c r="N822" s="51"/>
    </row>
    <row r="823">
      <c r="L823" s="51"/>
      <c r="M823" s="51"/>
      <c r="N823" s="51"/>
    </row>
    <row r="824">
      <c r="L824" s="51"/>
      <c r="M824" s="51"/>
      <c r="N824" s="51"/>
    </row>
    <row r="825">
      <c r="L825" s="51"/>
      <c r="M825" s="51"/>
      <c r="N825" s="51"/>
    </row>
    <row r="826">
      <c r="L826" s="51"/>
      <c r="M826" s="51"/>
      <c r="N826" s="51"/>
    </row>
    <row r="827">
      <c r="L827" s="51"/>
      <c r="M827" s="51"/>
      <c r="N827" s="51"/>
    </row>
    <row r="828">
      <c r="L828" s="51"/>
      <c r="M828" s="51"/>
      <c r="N828" s="51"/>
    </row>
    <row r="829">
      <c r="L829" s="51"/>
      <c r="M829" s="51"/>
      <c r="N829" s="51"/>
    </row>
    <row r="830">
      <c r="L830" s="51"/>
      <c r="M830" s="51"/>
      <c r="N830" s="51"/>
    </row>
    <row r="831">
      <c r="L831" s="51"/>
      <c r="M831" s="51"/>
      <c r="N831" s="51"/>
    </row>
    <row r="832">
      <c r="L832" s="51"/>
      <c r="M832" s="51"/>
      <c r="N832" s="51"/>
    </row>
    <row r="833">
      <c r="L833" s="51"/>
      <c r="M833" s="51"/>
      <c r="N833" s="51"/>
    </row>
    <row r="834">
      <c r="L834" s="51"/>
      <c r="M834" s="51"/>
      <c r="N834" s="51"/>
    </row>
    <row r="835">
      <c r="L835" s="51"/>
      <c r="M835" s="51"/>
      <c r="N835" s="51"/>
    </row>
    <row r="836">
      <c r="L836" s="51"/>
      <c r="M836" s="51"/>
      <c r="N836" s="51"/>
    </row>
    <row r="837">
      <c r="L837" s="51"/>
      <c r="M837" s="51"/>
      <c r="N837" s="51"/>
    </row>
    <row r="838">
      <c r="L838" s="51"/>
      <c r="M838" s="51"/>
      <c r="N838" s="51"/>
    </row>
    <row r="839">
      <c r="L839" s="51"/>
      <c r="M839" s="51"/>
      <c r="N839" s="51"/>
    </row>
    <row r="840">
      <c r="L840" s="51"/>
      <c r="M840" s="51"/>
      <c r="N840" s="51"/>
    </row>
    <row r="841">
      <c r="L841" s="51"/>
      <c r="M841" s="51"/>
      <c r="N841" s="51"/>
    </row>
    <row r="842">
      <c r="L842" s="51"/>
      <c r="M842" s="51"/>
      <c r="N842" s="51"/>
    </row>
    <row r="843">
      <c r="L843" s="51"/>
      <c r="M843" s="51"/>
      <c r="N843" s="51"/>
    </row>
    <row r="844">
      <c r="L844" s="51"/>
      <c r="M844" s="51"/>
      <c r="N844" s="51"/>
    </row>
    <row r="845">
      <c r="L845" s="51"/>
      <c r="M845" s="51"/>
      <c r="N845" s="51"/>
    </row>
    <row r="846">
      <c r="L846" s="51"/>
      <c r="M846" s="51"/>
      <c r="N846" s="51"/>
    </row>
    <row r="847">
      <c r="L847" s="51"/>
      <c r="M847" s="51"/>
      <c r="N847" s="51"/>
    </row>
    <row r="848">
      <c r="L848" s="51"/>
      <c r="M848" s="51"/>
      <c r="N848" s="51"/>
    </row>
    <row r="849">
      <c r="L849" s="51"/>
      <c r="M849" s="51"/>
      <c r="N849" s="51"/>
    </row>
    <row r="850">
      <c r="L850" s="51"/>
      <c r="M850" s="51"/>
      <c r="N850" s="51"/>
    </row>
    <row r="851">
      <c r="L851" s="51"/>
      <c r="M851" s="51"/>
      <c r="N851" s="51"/>
    </row>
    <row r="852">
      <c r="L852" s="51"/>
      <c r="M852" s="51"/>
      <c r="N852" s="51"/>
    </row>
    <row r="853">
      <c r="L853" s="51"/>
      <c r="M853" s="51"/>
      <c r="N853" s="51"/>
    </row>
    <row r="854">
      <c r="L854" s="51"/>
      <c r="M854" s="51"/>
      <c r="N854" s="51"/>
    </row>
    <row r="855">
      <c r="L855" s="51"/>
      <c r="M855" s="51"/>
      <c r="N855" s="51"/>
    </row>
    <row r="856">
      <c r="L856" s="51"/>
      <c r="M856" s="51"/>
      <c r="N856" s="51"/>
    </row>
    <row r="857">
      <c r="L857" s="51"/>
      <c r="M857" s="51"/>
      <c r="N857" s="51"/>
    </row>
    <row r="858">
      <c r="L858" s="51"/>
      <c r="M858" s="51"/>
      <c r="N858" s="51"/>
    </row>
    <row r="859">
      <c r="L859" s="51"/>
      <c r="M859" s="51"/>
      <c r="N859" s="51"/>
    </row>
    <row r="860">
      <c r="L860" s="51"/>
      <c r="M860" s="51"/>
      <c r="N860" s="51"/>
    </row>
    <row r="861">
      <c r="L861" s="51"/>
      <c r="M861" s="51"/>
      <c r="N861" s="51"/>
    </row>
    <row r="862">
      <c r="L862" s="51"/>
      <c r="M862" s="51"/>
      <c r="N862" s="51"/>
    </row>
    <row r="863">
      <c r="L863" s="51"/>
      <c r="M863" s="51"/>
      <c r="N863" s="51"/>
    </row>
    <row r="864">
      <c r="L864" s="51"/>
      <c r="M864" s="51"/>
      <c r="N864" s="51"/>
    </row>
    <row r="865">
      <c r="L865" s="51"/>
      <c r="M865" s="51"/>
      <c r="N865" s="51"/>
    </row>
    <row r="866">
      <c r="L866" s="51"/>
      <c r="M866" s="51"/>
      <c r="N866" s="51"/>
    </row>
    <row r="867">
      <c r="L867" s="51"/>
      <c r="M867" s="51"/>
      <c r="N867" s="51"/>
    </row>
    <row r="868">
      <c r="L868" s="51"/>
      <c r="M868" s="51"/>
      <c r="N868" s="51"/>
    </row>
    <row r="869">
      <c r="L869" s="51"/>
      <c r="M869" s="51"/>
      <c r="N869" s="51"/>
    </row>
    <row r="870">
      <c r="L870" s="51"/>
      <c r="M870" s="51"/>
      <c r="N870" s="51"/>
    </row>
    <row r="871">
      <c r="L871" s="51"/>
      <c r="M871" s="51"/>
      <c r="N871" s="51"/>
    </row>
    <row r="872">
      <c r="L872" s="51"/>
      <c r="M872" s="51"/>
      <c r="N872" s="51"/>
    </row>
    <row r="873">
      <c r="L873" s="51"/>
      <c r="M873" s="51"/>
      <c r="N873" s="51"/>
    </row>
    <row r="874">
      <c r="L874" s="51"/>
      <c r="M874" s="51"/>
      <c r="N874" s="51"/>
    </row>
    <row r="875">
      <c r="L875" s="51"/>
      <c r="M875" s="51"/>
      <c r="N875" s="51"/>
    </row>
    <row r="876">
      <c r="L876" s="51"/>
      <c r="M876" s="51"/>
      <c r="N876" s="51"/>
    </row>
    <row r="877">
      <c r="L877" s="51"/>
      <c r="M877" s="51"/>
      <c r="N877" s="51"/>
    </row>
    <row r="878">
      <c r="L878" s="51"/>
      <c r="M878" s="51"/>
      <c r="N878" s="51"/>
    </row>
    <row r="879">
      <c r="L879" s="51"/>
      <c r="M879" s="51"/>
      <c r="N879" s="51"/>
    </row>
    <row r="880">
      <c r="L880" s="51"/>
      <c r="M880" s="51"/>
      <c r="N880" s="51"/>
    </row>
    <row r="881">
      <c r="L881" s="51"/>
      <c r="M881" s="51"/>
      <c r="N881" s="51"/>
    </row>
    <row r="882">
      <c r="L882" s="51"/>
      <c r="M882" s="51"/>
      <c r="N882" s="51"/>
    </row>
    <row r="883">
      <c r="L883" s="51"/>
      <c r="M883" s="51"/>
      <c r="N883" s="51"/>
    </row>
    <row r="884">
      <c r="L884" s="51"/>
      <c r="M884" s="51"/>
      <c r="N884" s="51"/>
    </row>
    <row r="885">
      <c r="L885" s="51"/>
      <c r="M885" s="51"/>
      <c r="N885" s="51"/>
    </row>
    <row r="886">
      <c r="L886" s="51"/>
      <c r="M886" s="51"/>
      <c r="N886" s="51"/>
    </row>
    <row r="887">
      <c r="L887" s="51"/>
      <c r="M887" s="51"/>
      <c r="N887" s="51"/>
    </row>
    <row r="888">
      <c r="L888" s="51"/>
      <c r="M888" s="51"/>
      <c r="N888" s="51"/>
    </row>
    <row r="889">
      <c r="L889" s="51"/>
      <c r="M889" s="51"/>
      <c r="N889" s="51"/>
    </row>
    <row r="890">
      <c r="L890" s="51"/>
      <c r="M890" s="51"/>
      <c r="N890" s="51"/>
    </row>
    <row r="891">
      <c r="L891" s="51"/>
      <c r="M891" s="51"/>
      <c r="N891" s="51"/>
    </row>
    <row r="892">
      <c r="L892" s="51"/>
      <c r="M892" s="51"/>
      <c r="N892" s="51"/>
    </row>
    <row r="893">
      <c r="L893" s="51"/>
      <c r="M893" s="51"/>
      <c r="N893" s="51"/>
    </row>
    <row r="894">
      <c r="L894" s="51"/>
      <c r="M894" s="51"/>
      <c r="N894" s="51"/>
    </row>
    <row r="895">
      <c r="L895" s="51"/>
      <c r="M895" s="51"/>
      <c r="N895" s="51"/>
    </row>
    <row r="896">
      <c r="L896" s="51"/>
      <c r="M896" s="51"/>
      <c r="N896" s="51"/>
    </row>
    <row r="897">
      <c r="L897" s="51"/>
      <c r="M897" s="51"/>
      <c r="N897" s="51"/>
    </row>
    <row r="898">
      <c r="L898" s="51"/>
      <c r="M898" s="51"/>
      <c r="N898" s="51"/>
    </row>
    <row r="899">
      <c r="L899" s="51"/>
      <c r="M899" s="51"/>
      <c r="N899" s="51"/>
    </row>
    <row r="900">
      <c r="L900" s="51"/>
      <c r="M900" s="51"/>
      <c r="N900" s="51"/>
    </row>
    <row r="901">
      <c r="L901" s="51"/>
      <c r="M901" s="51"/>
      <c r="N901" s="51"/>
    </row>
    <row r="902">
      <c r="L902" s="51"/>
      <c r="M902" s="51"/>
      <c r="N902" s="51"/>
    </row>
    <row r="903">
      <c r="L903" s="51"/>
      <c r="M903" s="51"/>
      <c r="N903" s="51"/>
    </row>
    <row r="904">
      <c r="L904" s="51"/>
      <c r="M904" s="51"/>
      <c r="N904" s="51"/>
    </row>
    <row r="905">
      <c r="L905" s="51"/>
      <c r="M905" s="51"/>
      <c r="N905" s="51"/>
    </row>
    <row r="906">
      <c r="L906" s="51"/>
      <c r="M906" s="51"/>
      <c r="N906" s="51"/>
    </row>
    <row r="907">
      <c r="L907" s="51"/>
      <c r="M907" s="51"/>
      <c r="N907" s="51"/>
    </row>
    <row r="908">
      <c r="L908" s="51"/>
      <c r="M908" s="51"/>
      <c r="N908" s="51"/>
    </row>
    <row r="909">
      <c r="L909" s="51"/>
      <c r="M909" s="51"/>
      <c r="N909" s="51"/>
    </row>
    <row r="910">
      <c r="L910" s="51"/>
      <c r="M910" s="51"/>
      <c r="N910" s="51"/>
    </row>
    <row r="911">
      <c r="L911" s="51"/>
      <c r="M911" s="51"/>
      <c r="N911" s="51"/>
    </row>
    <row r="912">
      <c r="L912" s="51"/>
      <c r="M912" s="51"/>
      <c r="N912" s="51"/>
    </row>
    <row r="913">
      <c r="L913" s="51"/>
      <c r="M913" s="51"/>
      <c r="N913" s="51"/>
    </row>
    <row r="914">
      <c r="L914" s="51"/>
      <c r="M914" s="51"/>
      <c r="N914" s="51"/>
    </row>
    <row r="915">
      <c r="L915" s="51"/>
      <c r="M915" s="51"/>
      <c r="N915" s="51"/>
    </row>
    <row r="916">
      <c r="L916" s="51"/>
      <c r="M916" s="51"/>
      <c r="N916" s="51"/>
    </row>
    <row r="917">
      <c r="L917" s="51"/>
      <c r="M917" s="51"/>
      <c r="N917" s="51"/>
    </row>
    <row r="918">
      <c r="L918" s="51"/>
      <c r="M918" s="51"/>
      <c r="N918" s="51"/>
    </row>
    <row r="919">
      <c r="L919" s="51"/>
      <c r="M919" s="51"/>
      <c r="N919" s="51"/>
    </row>
    <row r="920">
      <c r="L920" s="51"/>
      <c r="M920" s="51"/>
      <c r="N920" s="51"/>
    </row>
    <row r="921">
      <c r="L921" s="51"/>
      <c r="M921" s="51"/>
      <c r="N921" s="51"/>
    </row>
    <row r="922">
      <c r="L922" s="51"/>
      <c r="M922" s="51"/>
      <c r="N922" s="51"/>
    </row>
    <row r="923">
      <c r="L923" s="51"/>
      <c r="M923" s="51"/>
      <c r="N923" s="51"/>
    </row>
    <row r="924">
      <c r="L924" s="51"/>
      <c r="M924" s="51"/>
      <c r="N924" s="51"/>
    </row>
    <row r="925">
      <c r="L925" s="51"/>
      <c r="M925" s="51"/>
      <c r="N925" s="51"/>
    </row>
    <row r="926">
      <c r="L926" s="51"/>
      <c r="M926" s="51"/>
      <c r="N926" s="51"/>
    </row>
    <row r="927">
      <c r="L927" s="51"/>
      <c r="M927" s="51"/>
      <c r="N927" s="51"/>
    </row>
    <row r="928">
      <c r="L928" s="51"/>
      <c r="M928" s="51"/>
      <c r="N928" s="51"/>
    </row>
    <row r="929">
      <c r="L929" s="51"/>
      <c r="M929" s="51"/>
      <c r="N929" s="51"/>
    </row>
    <row r="930">
      <c r="L930" s="51"/>
      <c r="M930" s="51"/>
      <c r="N930" s="51"/>
    </row>
    <row r="931">
      <c r="L931" s="51"/>
      <c r="M931" s="51"/>
      <c r="N931" s="51"/>
    </row>
    <row r="932">
      <c r="L932" s="51"/>
      <c r="M932" s="51"/>
      <c r="N932" s="51"/>
    </row>
    <row r="933">
      <c r="L933" s="51"/>
      <c r="M933" s="51"/>
      <c r="N933" s="51"/>
    </row>
    <row r="934">
      <c r="L934" s="51"/>
      <c r="M934" s="51"/>
      <c r="N934" s="51"/>
    </row>
    <row r="935">
      <c r="L935" s="51"/>
      <c r="M935" s="51"/>
      <c r="N935" s="51"/>
    </row>
    <row r="936">
      <c r="L936" s="51"/>
      <c r="M936" s="51"/>
      <c r="N936" s="51"/>
    </row>
    <row r="937">
      <c r="L937" s="51"/>
      <c r="M937" s="51"/>
      <c r="N937" s="51"/>
    </row>
    <row r="938">
      <c r="L938" s="51"/>
      <c r="M938" s="51"/>
      <c r="N938" s="51"/>
    </row>
    <row r="939">
      <c r="L939" s="51"/>
      <c r="M939" s="51"/>
      <c r="N939" s="51"/>
    </row>
    <row r="940">
      <c r="L940" s="51"/>
      <c r="M940" s="51"/>
      <c r="N940" s="51"/>
    </row>
    <row r="941">
      <c r="L941" s="51"/>
      <c r="M941" s="51"/>
      <c r="N941" s="51"/>
    </row>
    <row r="942">
      <c r="L942" s="51"/>
      <c r="M942" s="51"/>
      <c r="N942" s="51"/>
    </row>
    <row r="943">
      <c r="L943" s="51"/>
      <c r="M943" s="51"/>
      <c r="N943" s="51"/>
    </row>
    <row r="944">
      <c r="L944" s="51"/>
      <c r="M944" s="51"/>
      <c r="N944" s="51"/>
    </row>
    <row r="945">
      <c r="L945" s="51"/>
      <c r="M945" s="51"/>
      <c r="N945" s="51"/>
    </row>
    <row r="946">
      <c r="L946" s="51"/>
      <c r="M946" s="51"/>
      <c r="N946" s="51"/>
    </row>
    <row r="947">
      <c r="L947" s="51"/>
      <c r="M947" s="51"/>
      <c r="N947" s="51"/>
    </row>
    <row r="948">
      <c r="L948" s="51"/>
      <c r="M948" s="51"/>
      <c r="N948" s="51"/>
    </row>
    <row r="949">
      <c r="L949" s="51"/>
      <c r="M949" s="51"/>
      <c r="N949" s="51"/>
    </row>
    <row r="950">
      <c r="L950" s="51"/>
      <c r="M950" s="51"/>
      <c r="N950" s="51"/>
    </row>
    <row r="951">
      <c r="L951" s="51"/>
      <c r="M951" s="51"/>
      <c r="N951" s="51"/>
    </row>
    <row r="952">
      <c r="L952" s="51"/>
      <c r="M952" s="51"/>
      <c r="N952" s="51"/>
    </row>
    <row r="953">
      <c r="L953" s="51"/>
      <c r="M953" s="51"/>
      <c r="N953" s="51"/>
    </row>
    <row r="954">
      <c r="L954" s="51"/>
      <c r="M954" s="51"/>
      <c r="N954" s="51"/>
    </row>
    <row r="955">
      <c r="L955" s="51"/>
      <c r="M955" s="51"/>
      <c r="N955" s="51"/>
    </row>
    <row r="956">
      <c r="L956" s="51"/>
      <c r="M956" s="51"/>
      <c r="N956" s="51"/>
    </row>
    <row r="957">
      <c r="L957" s="51"/>
      <c r="M957" s="51"/>
      <c r="N957" s="51"/>
    </row>
    <row r="958">
      <c r="L958" s="51"/>
      <c r="M958" s="51"/>
      <c r="N958" s="51"/>
    </row>
    <row r="959">
      <c r="L959" s="51"/>
      <c r="M959" s="51"/>
      <c r="N959" s="51"/>
    </row>
    <row r="960">
      <c r="L960" s="51"/>
      <c r="M960" s="51"/>
      <c r="N960" s="51"/>
    </row>
    <row r="961">
      <c r="L961" s="51"/>
      <c r="M961" s="51"/>
      <c r="N961" s="51"/>
    </row>
    <row r="962">
      <c r="L962" s="51"/>
      <c r="M962" s="51"/>
      <c r="N962" s="51"/>
    </row>
    <row r="963">
      <c r="L963" s="51"/>
      <c r="M963" s="51"/>
      <c r="N963" s="51"/>
    </row>
    <row r="964">
      <c r="L964" s="51"/>
      <c r="M964" s="51"/>
      <c r="N964" s="51"/>
    </row>
    <row r="965">
      <c r="L965" s="51"/>
      <c r="M965" s="51"/>
      <c r="N965" s="51"/>
    </row>
    <row r="966">
      <c r="L966" s="51"/>
      <c r="M966" s="51"/>
      <c r="N966" s="51"/>
    </row>
    <row r="967">
      <c r="L967" s="51"/>
      <c r="M967" s="51"/>
      <c r="N967" s="51"/>
    </row>
    <row r="968">
      <c r="L968" s="51"/>
      <c r="M968" s="51"/>
      <c r="N968" s="51"/>
    </row>
    <row r="969">
      <c r="L969" s="51"/>
      <c r="M969" s="51"/>
      <c r="N969" s="51"/>
    </row>
    <row r="970">
      <c r="L970" s="51"/>
      <c r="M970" s="51"/>
      <c r="N970" s="51"/>
    </row>
    <row r="971">
      <c r="L971" s="51"/>
      <c r="M971" s="51"/>
      <c r="N971" s="51"/>
    </row>
    <row r="972">
      <c r="L972" s="51"/>
      <c r="M972" s="51"/>
      <c r="N972" s="51"/>
    </row>
    <row r="973">
      <c r="L973" s="51"/>
      <c r="M973" s="51"/>
      <c r="N973" s="51"/>
    </row>
    <row r="974">
      <c r="L974" s="51"/>
      <c r="M974" s="51"/>
      <c r="N974" s="51"/>
    </row>
    <row r="975">
      <c r="L975" s="51"/>
      <c r="M975" s="51"/>
      <c r="N975" s="51"/>
    </row>
    <row r="976">
      <c r="L976" s="51"/>
      <c r="M976" s="51"/>
      <c r="N976" s="51"/>
    </row>
    <row r="977">
      <c r="L977" s="51"/>
      <c r="M977" s="51"/>
      <c r="N977" s="51"/>
    </row>
    <row r="978">
      <c r="L978" s="51"/>
      <c r="M978" s="51"/>
      <c r="N978" s="51"/>
    </row>
    <row r="979">
      <c r="L979" s="51"/>
      <c r="M979" s="51"/>
      <c r="N979" s="51"/>
    </row>
    <row r="980">
      <c r="L980" s="51"/>
      <c r="M980" s="51"/>
      <c r="N980" s="51"/>
    </row>
    <row r="981">
      <c r="L981" s="51"/>
      <c r="M981" s="51"/>
      <c r="N981" s="51"/>
    </row>
    <row r="982">
      <c r="L982" s="51"/>
      <c r="M982" s="51"/>
      <c r="N982" s="51"/>
    </row>
    <row r="983">
      <c r="L983" s="51"/>
      <c r="M983" s="51"/>
      <c r="N983" s="51"/>
    </row>
    <row r="984">
      <c r="L984" s="51"/>
      <c r="M984" s="51"/>
      <c r="N984" s="51"/>
    </row>
    <row r="985">
      <c r="L985" s="51"/>
      <c r="M985" s="51"/>
      <c r="N985" s="51"/>
    </row>
    <row r="986">
      <c r="L986" s="51"/>
      <c r="M986" s="51"/>
      <c r="N986" s="51"/>
    </row>
    <row r="987">
      <c r="L987" s="51"/>
      <c r="M987" s="51"/>
      <c r="N987" s="51"/>
    </row>
    <row r="988">
      <c r="L988" s="51"/>
      <c r="M988" s="51"/>
      <c r="N988" s="51"/>
    </row>
    <row r="989">
      <c r="L989" s="51"/>
      <c r="M989" s="51"/>
      <c r="N989" s="51"/>
    </row>
    <row r="990">
      <c r="L990" s="51"/>
      <c r="M990" s="51"/>
      <c r="N990" s="51"/>
    </row>
    <row r="991">
      <c r="L991" s="51"/>
      <c r="M991" s="51"/>
      <c r="N991" s="51"/>
    </row>
    <row r="992">
      <c r="L992" s="51"/>
      <c r="M992" s="51"/>
      <c r="N992" s="51"/>
    </row>
    <row r="993">
      <c r="L993" s="51"/>
      <c r="M993" s="51"/>
      <c r="N993" s="51"/>
    </row>
    <row r="994">
      <c r="L994" s="51"/>
      <c r="M994" s="51"/>
      <c r="N994" s="51"/>
    </row>
    <row r="995">
      <c r="L995" s="51"/>
      <c r="M995" s="51"/>
      <c r="N995" s="51"/>
    </row>
    <row r="996">
      <c r="L996" s="51"/>
      <c r="M996" s="51"/>
      <c r="N996" s="51"/>
    </row>
    <row r="997">
      <c r="L997" s="51"/>
      <c r="M997" s="51"/>
      <c r="N997" s="51"/>
    </row>
    <row r="998">
      <c r="L998" s="51"/>
      <c r="M998" s="51"/>
      <c r="N998" s="51"/>
    </row>
    <row r="999">
      <c r="L999" s="51"/>
      <c r="M999" s="51"/>
      <c r="N999" s="51"/>
    </row>
    <row r="1000">
      <c r="L1000" s="51"/>
      <c r="M1000" s="51"/>
      <c r="N1000" s="51"/>
    </row>
    <row r="1001">
      <c r="L1001" s="51"/>
      <c r="M1001" s="51"/>
      <c r="N1001" s="51"/>
    </row>
    <row r="1002">
      <c r="L1002" s="51"/>
      <c r="M1002" s="51"/>
      <c r="N1002" s="51"/>
    </row>
    <row r="1003">
      <c r="L1003" s="51"/>
      <c r="M1003" s="51"/>
      <c r="N1003" s="51"/>
    </row>
    <row r="1004">
      <c r="L1004" s="51"/>
      <c r="M1004" s="51"/>
      <c r="N1004" s="51"/>
    </row>
    <row r="1005">
      <c r="L1005" s="51"/>
      <c r="M1005" s="51"/>
      <c r="N1005" s="51"/>
    </row>
    <row r="1006">
      <c r="L1006" s="51"/>
      <c r="M1006" s="51"/>
      <c r="N1006" s="51"/>
    </row>
    <row r="1007">
      <c r="L1007" s="51"/>
      <c r="M1007" s="51"/>
      <c r="N1007" s="51"/>
    </row>
  </sheetData>
  <conditionalFormatting sqref="E2:E23">
    <cfRule type="expression" dxfId="4" priority="1">
      <formula>F2:F1007="Vacant"</formula>
    </cfRule>
  </conditionalFormatting>
  <conditionalFormatting sqref="E2:E23">
    <cfRule type="expression" dxfId="0" priority="2">
      <formula>F2:F1007="Sold"</formula>
    </cfRule>
  </conditionalFormatting>
  <conditionalFormatting sqref="E2:E23">
    <cfRule type="expression" dxfId="5" priority="3">
      <formula>F2:F1007=""</formula>
    </cfRule>
  </conditionalFormatting>
  <conditionalFormatting sqref="E2:E23">
    <cfRule type="expression" dxfId="0" priority="4">
      <formula>F2:F1007="Occupied"</formula>
    </cfRule>
  </conditionalFormatting>
  <conditionalFormatting sqref="E2:E23">
    <cfRule type="expression" dxfId="6" priority="5">
      <formula>F2:F1007="Churning"</formula>
    </cfRule>
  </conditionalFormatting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hidden="1" min="2" max="2" width="8.0"/>
    <col customWidth="1" min="3" max="3" width="7.25"/>
    <col customWidth="1" hidden="1" min="4" max="4" width="11.5"/>
    <col customWidth="1" min="5" max="5" width="12.88"/>
    <col customWidth="1" min="6" max="6" width="11.88"/>
    <col customWidth="1" min="7" max="7" width="13.0"/>
    <col customWidth="1" min="8" max="8" width="8.75"/>
    <col customWidth="1" min="9" max="9" width="6.25"/>
    <col customWidth="1" min="10" max="10" width="52.5"/>
    <col customWidth="1" min="11" max="11" width="33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</row>
    <row r="17"/>
    <row r="18"/>
    <row r="19"/>
    <row r="20"/>
    <row r="21"/>
    <row r="22"/>
    <row r="23"/>
    <row r="24"/>
    <row r="25"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</row>
    <row r="26"/>
    <row r="27"/>
    <row r="28"/>
    <row r="29"/>
    <row r="30"/>
    <row r="31"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</row>
    <row r="32"/>
    <row r="33"/>
    <row r="34"/>
    <row r="35"/>
    <row r="36">
      <c r="E36" s="10"/>
    </row>
    <row r="37">
      <c r="E37" s="10"/>
    </row>
  </sheetData>
  <conditionalFormatting sqref="E2:E37">
    <cfRule type="expression" dxfId="4" priority="1">
      <formula>F2:F1000="Vacant"</formula>
    </cfRule>
  </conditionalFormatting>
  <conditionalFormatting sqref="E2:E37">
    <cfRule type="expression" dxfId="0" priority="2">
      <formula>F2:F1000="Sold"</formula>
    </cfRule>
  </conditionalFormatting>
  <conditionalFormatting sqref="E2:E37">
    <cfRule type="expression" dxfId="5" priority="3">
      <formula>F2:F1000=""</formula>
    </cfRule>
  </conditionalFormatting>
  <conditionalFormatting sqref="E2:E37">
    <cfRule type="expression" dxfId="0" priority="4">
      <formula>F2:F1000="Occupied"</formula>
    </cfRule>
  </conditionalFormatting>
  <conditionalFormatting sqref="E2:E37">
    <cfRule type="expression" dxfId="6" priority="5">
      <formula>F2:F1000="Churning"</formula>
    </cfRule>
  </conditionalFormatting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7.25"/>
    <col customWidth="1" hidden="1" min="4" max="4" width="11.5"/>
    <col customWidth="1" min="5" max="5" width="11.88"/>
    <col customWidth="1" min="6" max="6" width="7.63"/>
    <col customWidth="1" min="7" max="7" width="13.75"/>
    <col customWidth="1" min="8" max="8" width="11.88"/>
    <col customWidth="1" min="9" max="9" width="8.75"/>
    <col customWidth="1" min="10" max="10" width="5.88"/>
    <col customWidth="1" min="11" max="11" width="34.25"/>
    <col customWidth="1" min="12" max="13" width="10.88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L14" s="18"/>
      <c r="M14" s="18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conditionalFormatting sqref="E2:E30">
    <cfRule type="expression" dxfId="4" priority="1">
      <formula>F2:F1000="Vacant"</formula>
    </cfRule>
  </conditionalFormatting>
  <conditionalFormatting sqref="E2:E30">
    <cfRule type="expression" dxfId="0" priority="2">
      <formula>F2:F1000="Sold"</formula>
    </cfRule>
  </conditionalFormatting>
  <conditionalFormatting sqref="E2:E30">
    <cfRule type="expression" dxfId="5" priority="3">
      <formula>F2:F1000=""</formula>
    </cfRule>
  </conditionalFormatting>
  <conditionalFormatting sqref="E2:E30">
    <cfRule type="expression" dxfId="0" priority="4">
      <formula>F2:F1000="Occupied"</formula>
    </cfRule>
  </conditionalFormatting>
  <conditionalFormatting sqref="E2:E30">
    <cfRule type="expression" dxfId="6" priority="5">
      <formula>F2:F1000="Churning"</formula>
    </cfRule>
  </conditionalFormatting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0"/>
    <col customWidth="1" min="3" max="3" width="11.5"/>
    <col customWidth="1" hidden="1" min="4" max="4" width="11.5"/>
    <col customWidth="1" min="5" max="5" width="12.13"/>
    <col customWidth="1" min="6" max="6" width="11.88"/>
    <col customWidth="1" min="7" max="7" width="7.63"/>
    <col customWidth="1" min="8" max="8" width="8.75"/>
    <col customWidth="1" min="9" max="10" width="5.88"/>
    <col customWidth="1" min="11" max="11" width="33.75"/>
    <col customWidth="1" min="15" max="15" width="13.38"/>
  </cols>
  <sheetData>
    <row r="1">
      <c r="N1" s="18" t="s">
        <v>4063</v>
      </c>
      <c r="O1" s="18" t="s">
        <v>4061</v>
      </c>
    </row>
    <row r="2">
      <c r="N2" s="10" t="str">
        <f t="shared" ref="N2:N23" si="1">ceiling(C2*0.8,50)</f>
        <v>#VALUE!</v>
      </c>
      <c r="O2" s="22">
        <f>COUNTIF(K:K,"&lt;&gt;"&amp;"")/23</f>
        <v>0</v>
      </c>
    </row>
    <row r="3">
      <c r="N3" s="10" t="str">
        <f t="shared" si="1"/>
        <v>#VALUE!</v>
      </c>
    </row>
    <row r="4">
      <c r="N4" s="10" t="str">
        <f t="shared" si="1"/>
        <v>#VALUE!</v>
      </c>
    </row>
    <row r="5">
      <c r="N5" s="10" t="str">
        <f t="shared" si="1"/>
        <v>#VALUE!</v>
      </c>
    </row>
    <row r="6">
      <c r="N6" s="10" t="str">
        <f t="shared" si="1"/>
        <v>#VALUE!</v>
      </c>
    </row>
    <row r="7">
      <c r="N7" s="10" t="str">
        <f t="shared" si="1"/>
        <v>#VALUE!</v>
      </c>
    </row>
    <row r="8">
      <c r="N8" s="10" t="str">
        <f t="shared" si="1"/>
        <v>#VALUE!</v>
      </c>
    </row>
    <row r="9">
      <c r="N9" s="10" t="str">
        <f t="shared" si="1"/>
        <v>#VALUE!</v>
      </c>
    </row>
    <row r="10">
      <c r="N10" s="10" t="str">
        <f t="shared" si="1"/>
        <v>#VALUE!</v>
      </c>
    </row>
    <row r="11">
      <c r="N11" s="10" t="str">
        <f t="shared" si="1"/>
        <v>#VALUE!</v>
      </c>
    </row>
    <row r="12">
      <c r="N12" s="10" t="str">
        <f t="shared" si="1"/>
        <v>#VALUE!</v>
      </c>
    </row>
    <row r="13">
      <c r="N13" s="10" t="str">
        <f t="shared" si="1"/>
        <v>#VALUE!</v>
      </c>
    </row>
    <row r="14">
      <c r="N14" s="10" t="str">
        <f t="shared" si="1"/>
        <v>#VALUE!</v>
      </c>
    </row>
    <row r="15">
      <c r="N15" s="10" t="str">
        <f t="shared" si="1"/>
        <v>#VALUE!</v>
      </c>
    </row>
    <row r="16">
      <c r="N16" s="10" t="str">
        <f t="shared" si="1"/>
        <v>#VALUE!</v>
      </c>
    </row>
    <row r="17">
      <c r="N17" s="10" t="str">
        <f t="shared" si="1"/>
        <v>#VALUE!</v>
      </c>
    </row>
    <row r="18">
      <c r="N18" s="10" t="str">
        <f t="shared" si="1"/>
        <v>#VALUE!</v>
      </c>
    </row>
    <row r="19">
      <c r="N19" s="10" t="str">
        <f t="shared" si="1"/>
        <v>#VALUE!</v>
      </c>
    </row>
    <row r="20">
      <c r="N20" s="10" t="str">
        <f t="shared" si="1"/>
        <v>#VALUE!</v>
      </c>
    </row>
    <row r="21">
      <c r="N21" s="10" t="str">
        <f t="shared" si="1"/>
        <v>#VALUE!</v>
      </c>
    </row>
    <row r="22">
      <c r="N22" s="10" t="str">
        <f t="shared" si="1"/>
        <v>#VALUE!</v>
      </c>
    </row>
    <row r="23">
      <c r="N23" s="10" t="str">
        <f t="shared" si="1"/>
        <v>#VALUE!</v>
      </c>
    </row>
    <row r="24">
      <c r="E24" s="10"/>
    </row>
    <row r="31">
      <c r="G31" s="56"/>
    </row>
    <row r="32">
      <c r="G32" s="56"/>
    </row>
    <row r="33">
      <c r="G33" s="56"/>
    </row>
    <row r="34">
      <c r="G34" s="56"/>
    </row>
    <row r="35">
      <c r="G35" s="56"/>
    </row>
    <row r="36">
      <c r="G36" s="56"/>
    </row>
    <row r="37">
      <c r="G37" s="56"/>
    </row>
    <row r="38">
      <c r="G38" s="56"/>
    </row>
    <row r="39">
      <c r="G39" s="56"/>
    </row>
    <row r="40">
      <c r="G40" s="56"/>
    </row>
    <row r="41">
      <c r="G41" s="56"/>
    </row>
    <row r="42">
      <c r="G42" s="56"/>
    </row>
    <row r="43">
      <c r="G43" s="56"/>
    </row>
    <row r="44">
      <c r="G44" s="56"/>
    </row>
    <row r="45">
      <c r="G45" s="56"/>
    </row>
    <row r="46">
      <c r="G46" s="56"/>
    </row>
    <row r="47">
      <c r="G47" s="56"/>
    </row>
    <row r="48">
      <c r="G48" s="56"/>
    </row>
    <row r="49">
      <c r="G49" s="56"/>
    </row>
    <row r="50">
      <c r="G50" s="56"/>
    </row>
    <row r="51">
      <c r="G51" s="56"/>
    </row>
    <row r="52">
      <c r="G52" s="56"/>
    </row>
    <row r="53">
      <c r="G53" s="56"/>
    </row>
  </sheetData>
  <conditionalFormatting sqref="E2:E24">
    <cfRule type="expression" dxfId="4" priority="1">
      <formula>F2:F1000="Vacant"</formula>
    </cfRule>
  </conditionalFormatting>
  <conditionalFormatting sqref="E2:E24">
    <cfRule type="expression" dxfId="0" priority="2">
      <formula>F2:F1000="Sold"</formula>
    </cfRule>
  </conditionalFormatting>
  <conditionalFormatting sqref="E2:E24">
    <cfRule type="expression" dxfId="5" priority="3">
      <formula>F2:F1000=""</formula>
    </cfRule>
  </conditionalFormatting>
  <conditionalFormatting sqref="E2:E24">
    <cfRule type="expression" dxfId="0" priority="4">
      <formula>F2:F1000="Occupied"</formula>
    </cfRule>
  </conditionalFormatting>
  <conditionalFormatting sqref="E2:E24">
    <cfRule type="expression" dxfId="6" priority="5">
      <formula>F2:F1000="Churning"</formula>
    </cfRule>
  </conditionalFormatting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7.25"/>
    <col customWidth="1" hidden="1" min="4" max="4" width="11.5"/>
    <col customWidth="1" min="5" max="5" width="12.13"/>
    <col customWidth="1" min="6" max="6" width="10.5"/>
    <col customWidth="1" min="7" max="7" width="12.25"/>
    <col customWidth="1" min="8" max="8" width="7.63"/>
    <col customWidth="1" min="9" max="9" width="8.75"/>
    <col customWidth="1" min="10" max="10" width="6.25"/>
    <col customWidth="1" min="11" max="11" width="37.63"/>
    <col customWidth="1" min="13" max="13" width="11.63"/>
    <col customWidth="1" min="14" max="14" width="13.38"/>
    <col hidden="1" min="15" max="15" width="12.63"/>
  </cols>
  <sheetData>
    <row r="1">
      <c r="L1" s="18"/>
      <c r="M1" s="18" t="s">
        <v>4064</v>
      </c>
      <c r="N1" s="18" t="s">
        <v>4061</v>
      </c>
    </row>
    <row r="2">
      <c r="M2" s="10">
        <f t="shared" ref="M2:M28" si="1">ceiling(B2*0.85,50)</f>
        <v>3500</v>
      </c>
      <c r="N2" s="22">
        <f>COUNTIF(K:K,"&lt;&gt;"&amp;"")/27</f>
        <v>0</v>
      </c>
      <c r="O2" s="18" t="s">
        <v>49</v>
      </c>
    </row>
    <row r="3">
      <c r="M3" s="10">
        <f t="shared" si="1"/>
        <v>3500</v>
      </c>
    </row>
    <row r="4">
      <c r="M4" s="10">
        <f t="shared" si="1"/>
        <v>3500</v>
      </c>
    </row>
    <row r="5">
      <c r="M5" s="10">
        <f t="shared" si="1"/>
        <v>3500</v>
      </c>
    </row>
    <row r="6">
      <c r="M6" s="10">
        <f t="shared" si="1"/>
        <v>3500</v>
      </c>
    </row>
    <row r="7">
      <c r="M7" s="10">
        <f t="shared" si="1"/>
        <v>2900</v>
      </c>
    </row>
    <row r="8">
      <c r="M8" s="10">
        <f t="shared" si="1"/>
        <v>5300</v>
      </c>
    </row>
    <row r="9">
      <c r="M9" s="10">
        <f t="shared" si="1"/>
        <v>5600</v>
      </c>
    </row>
    <row r="10">
      <c r="M10" s="10">
        <f t="shared" si="1"/>
        <v>5600</v>
      </c>
    </row>
    <row r="11">
      <c r="M11" s="10">
        <f t="shared" si="1"/>
        <v>6350</v>
      </c>
    </row>
    <row r="12" ht="15.0" customHeight="1">
      <c r="M12" s="10">
        <f t="shared" si="1"/>
        <v>6350</v>
      </c>
    </row>
    <row r="13">
      <c r="M13" s="10">
        <f t="shared" si="1"/>
        <v>6350</v>
      </c>
    </row>
    <row r="14">
      <c r="M14" s="10">
        <f t="shared" si="1"/>
        <v>6350</v>
      </c>
    </row>
    <row r="15">
      <c r="M15" s="10">
        <f t="shared" si="1"/>
        <v>6350</v>
      </c>
    </row>
    <row r="16">
      <c r="M16" s="10">
        <f t="shared" si="1"/>
        <v>6350</v>
      </c>
    </row>
    <row r="17">
      <c r="M17" s="10">
        <f t="shared" si="1"/>
        <v>6350</v>
      </c>
    </row>
    <row r="18">
      <c r="M18" s="10">
        <f t="shared" si="1"/>
        <v>6350</v>
      </c>
    </row>
    <row r="19">
      <c r="M19" s="10">
        <f t="shared" si="1"/>
        <v>6350</v>
      </c>
    </row>
    <row r="20">
      <c r="M20" s="10">
        <f t="shared" si="1"/>
        <v>7200</v>
      </c>
    </row>
    <row r="21">
      <c r="M21" s="10">
        <f t="shared" si="1"/>
        <v>7200</v>
      </c>
    </row>
    <row r="22">
      <c r="M22" s="10">
        <f t="shared" si="1"/>
        <v>7200</v>
      </c>
    </row>
    <row r="23">
      <c r="M23" s="10">
        <f t="shared" si="1"/>
        <v>7200</v>
      </c>
    </row>
    <row r="24">
      <c r="M24" s="10">
        <f t="shared" si="1"/>
        <v>7200</v>
      </c>
    </row>
    <row r="25">
      <c r="M25" s="10">
        <f t="shared" si="1"/>
        <v>7200</v>
      </c>
    </row>
    <row r="26">
      <c r="M26" s="10">
        <f t="shared" si="1"/>
        <v>8150</v>
      </c>
    </row>
    <row r="27">
      <c r="M27" s="10">
        <f t="shared" si="1"/>
        <v>8150</v>
      </c>
    </row>
    <row r="28">
      <c r="M28" s="10">
        <f t="shared" si="1"/>
        <v>8150</v>
      </c>
    </row>
    <row r="29"/>
  </sheetData>
  <conditionalFormatting sqref="E2:E28">
    <cfRule type="expression" dxfId="4" priority="1">
      <formula>F2:F1000="Vacant"</formula>
    </cfRule>
  </conditionalFormatting>
  <conditionalFormatting sqref="E2:E28">
    <cfRule type="expression" dxfId="0" priority="2">
      <formula>F2:F1000="Sold"</formula>
    </cfRule>
  </conditionalFormatting>
  <conditionalFormatting sqref="E2:E28">
    <cfRule type="expression" dxfId="5" priority="3">
      <formula>F2:F1000=""</formula>
    </cfRule>
  </conditionalFormatting>
  <conditionalFormatting sqref="E2:E28">
    <cfRule type="expression" dxfId="0" priority="4">
      <formula>F2:F1000="Occupied"</formula>
    </cfRule>
  </conditionalFormatting>
  <conditionalFormatting sqref="E2:E28">
    <cfRule type="expression" dxfId="6" priority="5">
      <formula>F2:F1000="Churning"</formula>
    </cfRule>
  </conditionalFormatting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8.25"/>
    <col customWidth="1" hidden="1" min="4" max="4" width="11.5"/>
    <col customWidth="1" min="5" max="5" width="12.25"/>
    <col customWidth="1" min="6" max="6" width="10.5"/>
    <col customWidth="1" min="7" max="7" width="11.88"/>
    <col customWidth="1" min="8" max="8" width="7.63"/>
    <col customWidth="1" min="9" max="9" width="8.75"/>
    <col customWidth="1" min="10" max="10" width="7.0"/>
    <col customWidth="1" min="11" max="11" width="50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>
      <c r="E22" s="10"/>
    </row>
    <row r="23">
      <c r="E23" s="10"/>
    </row>
    <row r="24">
      <c r="E24" s="10"/>
    </row>
    <row r="25">
      <c r="E25" s="10"/>
    </row>
    <row r="26">
      <c r="E26" s="10"/>
    </row>
  </sheetData>
  <conditionalFormatting sqref="E2:E26">
    <cfRule type="expression" dxfId="4" priority="1">
      <formula>F2:F1000="Vacant"</formula>
    </cfRule>
  </conditionalFormatting>
  <conditionalFormatting sqref="E2:E26">
    <cfRule type="expression" dxfId="0" priority="2">
      <formula>F2:F1000="Sold"</formula>
    </cfRule>
  </conditionalFormatting>
  <conditionalFormatting sqref="E2:E26">
    <cfRule type="expression" dxfId="5" priority="3">
      <formula>F2:F1000=""</formula>
    </cfRule>
  </conditionalFormatting>
  <conditionalFormatting sqref="E2:E26">
    <cfRule type="expression" dxfId="0" priority="4">
      <formula>F2:F1000="Occupied"</formula>
    </cfRule>
  </conditionalFormatting>
  <conditionalFormatting sqref="E2:E26">
    <cfRule type="expression" dxfId="6" priority="5">
      <formula>F2:F1000="Churning"</formula>
    </cfRule>
  </conditionalFormatting>
  <drawing r:id="rId5"/>
  <legacyDrawing r:id="rId6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hidden="1" min="2" max="2" width="9.0"/>
    <col customWidth="1" min="3" max="3" width="7.25"/>
    <col customWidth="1" hidden="1" min="4" max="4" width="11.5"/>
    <col customWidth="1" min="5" max="5" width="12.25"/>
    <col customWidth="1" min="6" max="6" width="10.5"/>
    <col customWidth="1" min="7" max="7" width="11.88"/>
    <col customWidth="1" min="8" max="8" width="7.63"/>
    <col customWidth="1" min="9" max="9" width="11.38"/>
    <col customWidth="1" min="10" max="10" width="10.5"/>
    <col customWidth="1" min="11" max="11" width="56.63"/>
    <col customWidth="1" min="13" max="13" width="8.13"/>
    <col customWidth="1" min="14" max="14" width="13.38"/>
    <col customWidth="1" min="15" max="15" width="17.25"/>
  </cols>
  <sheetData>
    <row r="1">
      <c r="L1" s="18"/>
      <c r="M1" s="18" t="s">
        <v>4060</v>
      </c>
      <c r="N1" s="18" t="s">
        <v>4061</v>
      </c>
    </row>
    <row r="2">
      <c r="M2" s="10">
        <f t="shared" ref="M2:M8" si="1">CEILING(B2*0.7,50)</f>
        <v>1650</v>
      </c>
      <c r="N2" s="10" t="str">
        <f>VLOOKUP(O2,Occupancy!A:K,10,FALSE)</f>
        <v>#REF!</v>
      </c>
      <c r="O2" s="57" t="s">
        <v>171</v>
      </c>
    </row>
    <row r="3">
      <c r="M3" s="10">
        <f t="shared" si="1"/>
        <v>1650</v>
      </c>
    </row>
    <row r="4">
      <c r="M4" s="10">
        <f t="shared" si="1"/>
        <v>1650</v>
      </c>
    </row>
    <row r="5">
      <c r="M5" s="10">
        <f t="shared" si="1"/>
        <v>1650</v>
      </c>
    </row>
    <row r="6">
      <c r="M6" s="10">
        <f t="shared" si="1"/>
        <v>2050</v>
      </c>
    </row>
    <row r="7">
      <c r="M7" s="10">
        <f t="shared" si="1"/>
        <v>2050</v>
      </c>
    </row>
    <row r="8">
      <c r="M8" s="10">
        <f t="shared" si="1"/>
        <v>2050</v>
      </c>
    </row>
    <row r="9">
      <c r="M9" s="10">
        <f t="shared" ref="M9:M32" si="2">CEILING(B9*0.85,50)</f>
        <v>5900</v>
      </c>
    </row>
    <row r="10">
      <c r="M10" s="10">
        <f t="shared" si="2"/>
        <v>5900</v>
      </c>
    </row>
    <row r="11">
      <c r="M11" s="10">
        <f t="shared" si="2"/>
        <v>5900</v>
      </c>
    </row>
    <row r="12">
      <c r="M12" s="10">
        <f t="shared" si="2"/>
        <v>2500</v>
      </c>
    </row>
    <row r="13">
      <c r="M13" s="10">
        <f t="shared" si="2"/>
        <v>2950</v>
      </c>
    </row>
    <row r="14">
      <c r="M14" s="10">
        <f t="shared" si="2"/>
        <v>2950</v>
      </c>
    </row>
    <row r="15">
      <c r="M15" s="10">
        <f t="shared" si="2"/>
        <v>4200</v>
      </c>
    </row>
    <row r="16">
      <c r="M16" s="10">
        <f t="shared" si="2"/>
        <v>4200</v>
      </c>
    </row>
    <row r="17">
      <c r="M17" s="10">
        <f t="shared" si="2"/>
        <v>4200</v>
      </c>
    </row>
    <row r="18">
      <c r="M18" s="10">
        <f t="shared" si="2"/>
        <v>4200</v>
      </c>
    </row>
    <row r="19">
      <c r="M19" s="10">
        <f t="shared" si="2"/>
        <v>4200</v>
      </c>
    </row>
    <row r="20">
      <c r="M20" s="10">
        <f t="shared" si="2"/>
        <v>4200</v>
      </c>
    </row>
    <row r="21">
      <c r="M21" s="10">
        <f t="shared" si="2"/>
        <v>4200</v>
      </c>
    </row>
    <row r="22">
      <c r="M22" s="10">
        <f t="shared" si="2"/>
        <v>4200</v>
      </c>
    </row>
    <row r="23">
      <c r="M23" s="10">
        <f t="shared" si="2"/>
        <v>4200</v>
      </c>
    </row>
    <row r="24">
      <c r="M24" s="10">
        <f t="shared" si="2"/>
        <v>4200</v>
      </c>
    </row>
    <row r="25">
      <c r="M25" s="10">
        <f t="shared" si="2"/>
        <v>4200</v>
      </c>
    </row>
    <row r="26">
      <c r="M26" s="10">
        <f t="shared" si="2"/>
        <v>4200</v>
      </c>
    </row>
    <row r="27">
      <c r="M27" s="10">
        <f t="shared" si="2"/>
        <v>4200</v>
      </c>
    </row>
    <row r="28">
      <c r="M28" s="10">
        <f t="shared" si="2"/>
        <v>4900</v>
      </c>
    </row>
    <row r="29">
      <c r="M29" s="10">
        <f t="shared" si="2"/>
        <v>5150</v>
      </c>
    </row>
    <row r="30">
      <c r="M30" s="10">
        <f t="shared" si="2"/>
        <v>5400</v>
      </c>
    </row>
    <row r="31">
      <c r="M31" s="10">
        <f t="shared" si="2"/>
        <v>5400</v>
      </c>
    </row>
    <row r="32">
      <c r="M32" s="10">
        <f t="shared" si="2"/>
        <v>0</v>
      </c>
    </row>
  </sheetData>
  <conditionalFormatting sqref="E2:E31">
    <cfRule type="expression" dxfId="4" priority="1">
      <formula>F2:F1000="Vacant"</formula>
    </cfRule>
  </conditionalFormatting>
  <conditionalFormatting sqref="E2:E31">
    <cfRule type="expression" dxfId="0" priority="2">
      <formula>F2:F1000="Sold"</formula>
    </cfRule>
  </conditionalFormatting>
  <conditionalFormatting sqref="E2:E31">
    <cfRule type="expression" dxfId="5" priority="3">
      <formula>F2:F1000=""</formula>
    </cfRule>
  </conditionalFormatting>
  <conditionalFormatting sqref="E2:E31">
    <cfRule type="expression" dxfId="0" priority="4">
      <formula>F2:F1000="Occupied"</formula>
    </cfRule>
  </conditionalFormatting>
  <conditionalFormatting sqref="E2:E31">
    <cfRule type="expression" dxfId="6" priority="5">
      <formula>F2:F1000="Churning"</formula>
    </cfRule>
  </conditionalFormatting>
  <drawing r:id="rId5"/>
  <legacyDrawing r:id="rId6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7.25"/>
    <col customWidth="1" hidden="1" min="4" max="4" width="11.5"/>
    <col customWidth="1" min="5" max="5" width="12.0"/>
    <col customWidth="1" min="6" max="6" width="10.5"/>
    <col customWidth="1" min="7" max="7" width="11.88"/>
    <col customWidth="1" min="8" max="8" width="7.63"/>
    <col customWidth="1" min="9" max="9" width="8.75"/>
    <col customWidth="1" min="10" max="10" width="5.88"/>
    <col customWidth="1" min="11" max="11" width="76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conditionalFormatting sqref="E2:E25">
    <cfRule type="expression" dxfId="4" priority="1">
      <formula>F2:F1000="Vacant"</formula>
    </cfRule>
  </conditionalFormatting>
  <conditionalFormatting sqref="E2:E25">
    <cfRule type="expression" dxfId="0" priority="2">
      <formula>F2:F1000="Sold"</formula>
    </cfRule>
  </conditionalFormatting>
  <conditionalFormatting sqref="E2:E25">
    <cfRule type="expression" dxfId="5" priority="3">
      <formula>F2:F1000=""</formula>
    </cfRule>
  </conditionalFormatting>
  <conditionalFormatting sqref="E2:E25">
    <cfRule type="expression" dxfId="0" priority="4">
      <formula>F2:F1000="Occupied"</formula>
    </cfRule>
  </conditionalFormatting>
  <conditionalFormatting sqref="E2:E25">
    <cfRule type="expression" dxfId="6" priority="5">
      <formula>F2:F1000="Churning"</formula>
    </cfRule>
  </conditionalFormatting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7.25"/>
    <col customWidth="1" hidden="1" min="4" max="4" width="11.5"/>
    <col customWidth="1" min="5" max="5" width="11.63"/>
    <col customWidth="1" min="6" max="6" width="10.5"/>
    <col customWidth="1" min="7" max="7" width="11.88"/>
    <col customWidth="1" min="8" max="8" width="7.63"/>
    <col customWidth="1" min="9" max="9" width="8.75"/>
    <col customWidth="1" min="10" max="10" width="10.0"/>
    <col customWidth="1" min="11" max="11" width="31.63"/>
    <col customWidth="1" min="14" max="14" width="8.13"/>
    <col customWidth="1" min="15" max="15" width="13.38"/>
    <col customWidth="1" min="16" max="16" width="15.88"/>
  </cols>
  <sheetData>
    <row r="1">
      <c r="M1" s="18"/>
      <c r="N1" s="18" t="s">
        <v>4060</v>
      </c>
      <c r="O1" s="18" t="s">
        <v>4061</v>
      </c>
    </row>
    <row r="2">
      <c r="N2" s="10">
        <f t="shared" ref="N2:N25" si="1">CEILING(B2*0.8,50)</f>
        <v>1450</v>
      </c>
      <c r="O2" s="10" t="str">
        <f>VLOOKUP(P2,Occupancy!A:J,10,FALSE)</f>
        <v>#REF!</v>
      </c>
      <c r="P2" s="57" t="s">
        <v>165</v>
      </c>
    </row>
    <row r="3">
      <c r="N3" s="10">
        <f t="shared" si="1"/>
        <v>1850</v>
      </c>
    </row>
    <row r="4">
      <c r="N4" s="10">
        <f t="shared" si="1"/>
        <v>1850</v>
      </c>
    </row>
    <row r="5">
      <c r="N5" s="10">
        <f t="shared" si="1"/>
        <v>1850</v>
      </c>
    </row>
    <row r="6">
      <c r="N6" s="10">
        <f t="shared" si="1"/>
        <v>1850</v>
      </c>
    </row>
    <row r="7">
      <c r="N7" s="10">
        <f t="shared" si="1"/>
        <v>3000</v>
      </c>
    </row>
    <row r="8">
      <c r="N8" s="10">
        <f t="shared" si="1"/>
        <v>3450</v>
      </c>
    </row>
    <row r="9">
      <c r="N9" s="10">
        <f t="shared" si="1"/>
        <v>3450</v>
      </c>
    </row>
    <row r="10">
      <c r="N10" s="10">
        <f t="shared" si="1"/>
        <v>3450</v>
      </c>
    </row>
    <row r="11">
      <c r="N11" s="10">
        <f t="shared" si="1"/>
        <v>3450</v>
      </c>
    </row>
    <row r="12">
      <c r="N12" s="10">
        <f t="shared" si="1"/>
        <v>3450</v>
      </c>
    </row>
    <row r="13">
      <c r="N13" s="10">
        <f t="shared" si="1"/>
        <v>3450</v>
      </c>
    </row>
    <row r="14">
      <c r="N14" s="10">
        <f t="shared" si="1"/>
        <v>3450</v>
      </c>
    </row>
    <row r="15">
      <c r="N15" s="10">
        <f t="shared" si="1"/>
        <v>3900</v>
      </c>
    </row>
    <row r="16">
      <c r="N16" s="10">
        <f t="shared" si="1"/>
        <v>3900</v>
      </c>
    </row>
    <row r="17">
      <c r="N17" s="10">
        <f t="shared" si="1"/>
        <v>3900</v>
      </c>
    </row>
    <row r="18">
      <c r="N18" s="10">
        <f t="shared" si="1"/>
        <v>3900</v>
      </c>
    </row>
    <row r="19">
      <c r="N19" s="10">
        <f t="shared" si="1"/>
        <v>3900</v>
      </c>
    </row>
    <row r="20">
      <c r="N20" s="10">
        <f t="shared" si="1"/>
        <v>4150</v>
      </c>
    </row>
    <row r="21">
      <c r="N21" s="10">
        <f t="shared" si="1"/>
        <v>4150</v>
      </c>
    </row>
    <row r="22">
      <c r="N22" s="10">
        <f t="shared" si="1"/>
        <v>4400</v>
      </c>
    </row>
    <row r="23">
      <c r="N23" s="10">
        <f t="shared" si="1"/>
        <v>4600</v>
      </c>
    </row>
    <row r="24">
      <c r="N24" s="10">
        <f t="shared" si="1"/>
        <v>4600</v>
      </c>
    </row>
    <row r="25">
      <c r="N25" s="10">
        <f t="shared" si="1"/>
        <v>6900</v>
      </c>
    </row>
  </sheetData>
  <conditionalFormatting sqref="E2:E25">
    <cfRule type="expression" dxfId="4" priority="1">
      <formula>F2:F1000="Vacant"</formula>
    </cfRule>
  </conditionalFormatting>
  <conditionalFormatting sqref="E2:E25">
    <cfRule type="expression" dxfId="0" priority="2">
      <formula>F2:F1000="Sold"</formula>
    </cfRule>
  </conditionalFormatting>
  <conditionalFormatting sqref="E2:E25">
    <cfRule type="expression" dxfId="5" priority="3">
      <formula>F2:F1000=""</formula>
    </cfRule>
  </conditionalFormatting>
  <conditionalFormatting sqref="E2:E25">
    <cfRule type="expression" dxfId="0" priority="4">
      <formula>F2:F1000="Occupied"</formula>
    </cfRule>
  </conditionalFormatting>
  <conditionalFormatting sqref="E2:E25">
    <cfRule type="expression" dxfId="6" priority="5">
      <formula>F2:F1000="Churning"</formula>
    </cfRule>
  </conditionalFormatting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hidden="1" min="2" max="2" width="9.0"/>
    <col customWidth="1" min="3" max="3" width="7.25"/>
    <col customWidth="1" hidden="1" min="4" max="4" width="11.5"/>
    <col customWidth="1" min="5" max="5" width="12.25"/>
    <col customWidth="1" min="6" max="6" width="10.5"/>
    <col customWidth="1" min="7" max="7" width="9.5"/>
    <col customWidth="1" min="8" max="8" width="7.63"/>
    <col customWidth="1" min="9" max="9" width="11.88"/>
    <col customWidth="1" min="10" max="10" width="5.88"/>
    <col customWidth="1" min="11" max="11" width="41.0"/>
    <col customWidth="1" min="14" max="14" width="8.13"/>
    <col customWidth="1" min="15" max="15" width="13.38"/>
    <col hidden="1" min="16" max="16" width="12.63"/>
  </cols>
  <sheetData>
    <row r="1">
      <c r="L1" s="18"/>
      <c r="M1" s="18"/>
      <c r="N1" s="18" t="s">
        <v>4063</v>
      </c>
      <c r="O1" s="18" t="s">
        <v>4061</v>
      </c>
    </row>
    <row r="2">
      <c r="N2" s="10">
        <f t="shared" ref="N2:N28" si="1">ceiling(B2*0.8,50)</f>
        <v>1200</v>
      </c>
      <c r="O2" s="10" t="str">
        <f>VLOOKUP(P2,Occupancy!A:L,10,FALSE)</f>
        <v>#REF!</v>
      </c>
      <c r="P2" s="18" t="s">
        <v>132</v>
      </c>
    </row>
    <row r="3">
      <c r="N3" s="10">
        <f t="shared" si="1"/>
        <v>1200</v>
      </c>
    </row>
    <row r="4">
      <c r="N4" s="10">
        <f t="shared" si="1"/>
        <v>1200</v>
      </c>
    </row>
    <row r="5">
      <c r="N5" s="10">
        <f t="shared" si="1"/>
        <v>1200</v>
      </c>
    </row>
    <row r="6">
      <c r="N6" s="10">
        <f t="shared" si="1"/>
        <v>1950</v>
      </c>
    </row>
    <row r="7">
      <c r="N7" s="10">
        <f t="shared" si="1"/>
        <v>1950</v>
      </c>
    </row>
    <row r="8">
      <c r="N8" s="10">
        <f t="shared" si="1"/>
        <v>1950</v>
      </c>
    </row>
    <row r="9">
      <c r="N9" s="10">
        <f t="shared" si="1"/>
        <v>1950</v>
      </c>
    </row>
    <row r="10">
      <c r="N10" s="10">
        <f t="shared" si="1"/>
        <v>1950</v>
      </c>
    </row>
    <row r="11">
      <c r="N11" s="10">
        <f t="shared" si="1"/>
        <v>1950</v>
      </c>
    </row>
    <row r="12">
      <c r="N12" s="10">
        <f t="shared" si="1"/>
        <v>2550</v>
      </c>
    </row>
    <row r="13">
      <c r="N13" s="10">
        <f t="shared" si="1"/>
        <v>2550</v>
      </c>
    </row>
    <row r="14">
      <c r="N14" s="10">
        <f t="shared" si="1"/>
        <v>2550</v>
      </c>
    </row>
    <row r="15">
      <c r="N15" s="10">
        <f t="shared" si="1"/>
        <v>2550</v>
      </c>
    </row>
    <row r="16">
      <c r="N16" s="10">
        <f t="shared" si="1"/>
        <v>2650</v>
      </c>
    </row>
    <row r="17">
      <c r="N17" s="10">
        <f t="shared" si="1"/>
        <v>2650</v>
      </c>
    </row>
    <row r="18">
      <c r="N18" s="10">
        <f t="shared" si="1"/>
        <v>2800</v>
      </c>
    </row>
    <row r="19">
      <c r="N19" s="10">
        <f t="shared" si="1"/>
        <v>3000</v>
      </c>
    </row>
    <row r="20">
      <c r="N20" s="10">
        <f t="shared" si="1"/>
        <v>3600</v>
      </c>
    </row>
    <row r="21">
      <c r="N21" s="10">
        <f t="shared" si="1"/>
        <v>3750</v>
      </c>
    </row>
    <row r="22">
      <c r="E22" s="10"/>
      <c r="N22" s="10">
        <f t="shared" si="1"/>
        <v>0</v>
      </c>
    </row>
    <row r="23">
      <c r="E23" s="10"/>
      <c r="N23" s="10">
        <f t="shared" si="1"/>
        <v>0</v>
      </c>
    </row>
    <row r="24">
      <c r="E24" s="10"/>
      <c r="N24" s="10">
        <f t="shared" si="1"/>
        <v>0</v>
      </c>
    </row>
    <row r="25">
      <c r="E25" s="10"/>
      <c r="N25" s="10">
        <f t="shared" si="1"/>
        <v>0</v>
      </c>
    </row>
    <row r="26">
      <c r="E26" s="10"/>
      <c r="N26" s="10">
        <f t="shared" si="1"/>
        <v>0</v>
      </c>
    </row>
    <row r="27">
      <c r="E27" s="10"/>
      <c r="N27" s="10">
        <f t="shared" si="1"/>
        <v>0</v>
      </c>
    </row>
    <row r="28">
      <c r="E28" s="10"/>
      <c r="N28" s="10">
        <f t="shared" si="1"/>
        <v>0</v>
      </c>
    </row>
  </sheetData>
  <conditionalFormatting sqref="E2:E28">
    <cfRule type="expression" dxfId="4" priority="1">
      <formula>F2:F1000="Vacant"</formula>
    </cfRule>
  </conditionalFormatting>
  <conditionalFormatting sqref="E2:E28">
    <cfRule type="expression" dxfId="0" priority="2">
      <formula>F2:F1000="Sold"</formula>
    </cfRule>
  </conditionalFormatting>
  <conditionalFormatting sqref="E2:E28">
    <cfRule type="expression" dxfId="5" priority="3">
      <formula>F2:F1000=""</formula>
    </cfRule>
  </conditionalFormatting>
  <conditionalFormatting sqref="E2:E28">
    <cfRule type="expression" dxfId="0" priority="4">
      <formula>F2:F1000="Occupied"</formula>
    </cfRule>
  </conditionalFormatting>
  <conditionalFormatting sqref="E2:E28">
    <cfRule type="expression" dxfId="6" priority="5">
      <formula>F2:F1000="Churning"</formula>
    </cfRule>
  </conditionalFormatting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hidden="1" min="2" max="2" width="9.0"/>
    <col customWidth="1" min="3" max="3" width="7.25"/>
    <col customWidth="1" hidden="1" min="4" max="4" width="11.5"/>
    <col customWidth="1" min="5" max="5" width="12.0"/>
    <col customWidth="1" min="6" max="6" width="8.63"/>
    <col customWidth="1" min="7" max="7" width="9.5"/>
    <col customWidth="1" min="8" max="8" width="7.63"/>
    <col customWidth="1" min="9" max="9" width="8.75"/>
    <col customWidth="1" min="10" max="10" width="6.25"/>
    <col customWidth="1" min="11" max="11" width="40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conditionalFormatting sqref="E2:E19">
    <cfRule type="expression" dxfId="4" priority="1">
      <formula>F2:F1000="Vacant"</formula>
    </cfRule>
  </conditionalFormatting>
  <conditionalFormatting sqref="E2:E19">
    <cfRule type="expression" dxfId="0" priority="2">
      <formula>F2:F1000="Sold"</formula>
    </cfRule>
  </conditionalFormatting>
  <conditionalFormatting sqref="E2:E19">
    <cfRule type="expression" dxfId="5" priority="3">
      <formula>F2:F1000=""</formula>
    </cfRule>
  </conditionalFormatting>
  <conditionalFormatting sqref="E2:E19">
    <cfRule type="expression" dxfId="0" priority="4">
      <formula>F2:F1000="Occupied"</formula>
    </cfRule>
  </conditionalFormatting>
  <conditionalFormatting sqref="E2:E19">
    <cfRule type="expression" dxfId="6" priority="5">
      <formula>F2:F1000="Churning"</formula>
    </cfRule>
  </conditionalFormatting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I2:I25">
    <cfRule type="expression" dxfId="3" priority="1">
      <formula>IF(D2:D1000="Churning",I2:I1000&gt;"")</formula>
    </cfRule>
  </conditionalFormatting>
  <conditionalFormatting sqref="I2:I25">
    <cfRule type="expression" dxfId="3" priority="2">
      <formula>IF(D2:D1000="Vacant",I2:I1000&gt;"")</formula>
    </cfRule>
  </conditionalFormatting>
  <conditionalFormatting sqref="C2:C19 E2:E19">
    <cfRule type="expression" dxfId="4" priority="3">
      <formula>D2:D1000="Vacant"</formula>
    </cfRule>
  </conditionalFormatting>
  <conditionalFormatting sqref="C2:C19 E2:E19">
    <cfRule type="expression" dxfId="0" priority="4">
      <formula>D2:D1000="Sold"</formula>
    </cfRule>
  </conditionalFormatting>
  <conditionalFormatting sqref="C2:C19 E2:E19">
    <cfRule type="expression" dxfId="5" priority="5">
      <formula>D2:D1000=""</formula>
    </cfRule>
  </conditionalFormatting>
  <conditionalFormatting sqref="C2:C19 E2:E19">
    <cfRule type="expression" dxfId="0" priority="6">
      <formula>D2:D1000="Occupied"</formula>
    </cfRule>
  </conditionalFormatting>
  <conditionalFormatting sqref="C2:C19 E2:E19">
    <cfRule type="expression" dxfId="6" priority="7">
      <formula>D2:D1000="Churning"</formula>
    </cfRule>
  </conditionalFormatting>
  <conditionalFormatting sqref="C1:C19 C63:C1000">
    <cfRule type="expression" dxfId="7" priority="8">
      <formula>C2&lt;B2</formula>
    </cfRule>
  </conditionalFormatting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I2:I21">
    <cfRule type="expression" dxfId="3" priority="1">
      <formula>IF(D2:D1000="Churning",I2:I1000&gt;"")</formula>
    </cfRule>
  </conditionalFormatting>
  <conditionalFormatting sqref="I2:I21">
    <cfRule type="expression" dxfId="3" priority="2">
      <formula>IF(D2:D1000="Vacant",I2:I1000&gt;"")</formula>
    </cfRule>
  </conditionalFormatting>
  <conditionalFormatting sqref="C2:C22 E2:E21">
    <cfRule type="expression" dxfId="4" priority="3">
      <formula>D2:D1000="Vacant"</formula>
    </cfRule>
  </conditionalFormatting>
  <conditionalFormatting sqref="C2:C22 E2:E21">
    <cfRule type="expression" dxfId="0" priority="4">
      <formula>D2:D1000="Sold"</formula>
    </cfRule>
  </conditionalFormatting>
  <conditionalFormatting sqref="C2:C22 E2:E21">
    <cfRule type="expression" dxfId="5" priority="5">
      <formula>D2:D1000=""</formula>
    </cfRule>
  </conditionalFormatting>
  <conditionalFormatting sqref="C2:C22 E2:E21">
    <cfRule type="expression" dxfId="0" priority="6">
      <formula>D2:D1000="Occupied"</formula>
    </cfRule>
  </conditionalFormatting>
  <conditionalFormatting sqref="C2:C22 E2:E21">
    <cfRule type="expression" dxfId="6" priority="7">
      <formula>D2:D1000="Churning"</formula>
    </cfRule>
  </conditionalFormatting>
  <conditionalFormatting sqref="C1:C22 C63:C1000">
    <cfRule type="expression" dxfId="7" priority="8">
      <formula>C2&lt;B2</formula>
    </cfRule>
  </conditionalFormatting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62.13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I2:I25">
    <cfRule type="expression" dxfId="3" priority="1">
      <formula>IF(D2:D1000="Churning",I2:I1000&gt;"")</formula>
    </cfRule>
  </conditionalFormatting>
  <conditionalFormatting sqref="I2:I25">
    <cfRule type="expression" dxfId="3" priority="2">
      <formula>IF(D2:D1000="Vacant",I2:I1000&gt;"")</formula>
    </cfRule>
  </conditionalFormatting>
  <conditionalFormatting sqref="C2:C22 E2:E21">
    <cfRule type="expression" dxfId="4" priority="3">
      <formula>D2:D1000="Vacant"</formula>
    </cfRule>
  </conditionalFormatting>
  <conditionalFormatting sqref="C2:C22 E2:E21">
    <cfRule type="expression" dxfId="0" priority="4">
      <formula>D2:D1000="Sold"</formula>
    </cfRule>
  </conditionalFormatting>
  <conditionalFormatting sqref="C2:C22 E2:E21">
    <cfRule type="expression" dxfId="5" priority="5">
      <formula>D2:D1000=""</formula>
    </cfRule>
  </conditionalFormatting>
  <conditionalFormatting sqref="C2:C22 E2:E21">
    <cfRule type="expression" dxfId="0" priority="6">
      <formula>D2:D1000="Occupied"</formula>
    </cfRule>
  </conditionalFormatting>
  <conditionalFormatting sqref="C2:C22 E2:E21">
    <cfRule type="expression" dxfId="6" priority="7">
      <formula>D2:D1000="Churning"</formula>
    </cfRule>
  </conditionalFormatting>
  <conditionalFormatting sqref="C1:C22 C63:C1000">
    <cfRule type="expression" dxfId="7" priority="8">
      <formula>C2&lt;B2</formula>
    </cfRule>
  </conditionalFormatting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9.0"/>
    <col customWidth="1" min="3" max="3" width="25.5"/>
    <col customWidth="1" min="4" max="4" width="11.5"/>
    <col customWidth="1" min="5" max="5" width="10.5"/>
    <col customWidth="1" min="6" max="6" width="11.88"/>
    <col customWidth="1" min="7" max="7" width="11.63"/>
    <col customWidth="1" min="8" max="8" width="8.75"/>
    <col customWidth="1" min="9" max="9" width="53.38"/>
    <col customWidth="1" min="10" max="10" width="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</sheetData>
  <conditionalFormatting sqref="I2:I57">
    <cfRule type="expression" dxfId="3" priority="1">
      <formula>IF(D2:D1000="Churning",I2:I1000&gt;"")</formula>
    </cfRule>
  </conditionalFormatting>
  <conditionalFormatting sqref="I2:I57">
    <cfRule type="expression" dxfId="3" priority="2">
      <formula>IF(D2:D1000="Vacant",I2:I1000&gt;"")</formula>
    </cfRule>
  </conditionalFormatting>
  <conditionalFormatting sqref="C2:C24 E2:E24">
    <cfRule type="expression" dxfId="4" priority="3">
      <formula>D2:D1000="Vacant"</formula>
    </cfRule>
  </conditionalFormatting>
  <conditionalFormatting sqref="C2:C24 E2:E24">
    <cfRule type="expression" dxfId="0" priority="4">
      <formula>D2:D1000="Sold"</formula>
    </cfRule>
  </conditionalFormatting>
  <conditionalFormatting sqref="C2:C24 E2:E24">
    <cfRule type="expression" dxfId="5" priority="5">
      <formula>D2:D1000=""</formula>
    </cfRule>
  </conditionalFormatting>
  <conditionalFormatting sqref="C2:C24 E2:E24">
    <cfRule type="expression" dxfId="0" priority="6">
      <formula>D2:D1000="Occupied"</formula>
    </cfRule>
  </conditionalFormatting>
  <conditionalFormatting sqref="C2:C24 E2:E24">
    <cfRule type="expression" dxfId="6" priority="7">
      <formula>D2:D1000="Churning"</formula>
    </cfRule>
  </conditionalFormatting>
  <conditionalFormatting sqref="C1:C24 C59:C1000">
    <cfRule type="expression" dxfId="7" priority="8">
      <formula>C2&lt;B2</formula>
    </cfRule>
  </conditionalFormatting>
  <drawing r:id="rId2"/>
</worksheet>
</file>